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8075\Downloads\"/>
    </mc:Choice>
  </mc:AlternateContent>
  <xr:revisionPtr revIDLastSave="0" documentId="8_{4B40EA41-F45B-406E-B0B5-25F8191F6D45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変更後の事業費内訳" sheetId="4" r:id="rId1"/>
    <sheet name="ボイラ排出量算定（追加)" sheetId="39" state="hidden" r:id="rId2"/>
    <sheet name="Sheet1" sheetId="40" state="hidden" r:id="rId3"/>
  </sheets>
  <definedNames>
    <definedName name="inv補正COP">#REF!</definedName>
    <definedName name="_xlnm.Print_Area" localSheetId="1">'ボイラ排出量算定（追加)'!$A$1:$AI$64</definedName>
    <definedName name="_xlnm.Print_Area" localSheetId="0">変更後の事業費内訳!$A$1:$AH$38</definedName>
    <definedName name="サービス業">#REF!</definedName>
    <definedName name="医療・福祉">#REF!</definedName>
    <definedName name="運輸業・郵便業">#REF!</definedName>
    <definedName name="卸売業・小売業">#REF!</definedName>
    <definedName name="学術研究・専門・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鉱業・採石業・砂利採取業">#REF!</definedName>
    <definedName name="宿泊業・飲食サービス業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燃料">#REF!</definedName>
    <definedName name="農業_林業">#REF!</definedName>
    <definedName name="農業・林業">#REF!</definedName>
    <definedName name="不動産業・物品賃貸業">#REF!</definedName>
    <definedName name="複合サービス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4" l="1"/>
  <c r="S19" i="4" l="1"/>
  <c r="AC19" i="4" s="1"/>
  <c r="S7" i="4" l="1"/>
  <c r="S5" i="4" l="1"/>
  <c r="AC5" i="4" s="1"/>
  <c r="S6" i="4"/>
  <c r="S14" i="4" l="1"/>
  <c r="S16" i="4"/>
  <c r="S18" i="4"/>
  <c r="AC18" i="4" s="1"/>
  <c r="X21" i="4" l="1"/>
  <c r="S15" i="4"/>
  <c r="S17" i="4"/>
  <c r="AC17" i="4" s="1"/>
  <c r="S20" i="4"/>
  <c r="AC20" i="4" s="1"/>
  <c r="S11" i="4"/>
  <c r="S21" i="4" l="1"/>
  <c r="AC7" i="4" l="1"/>
  <c r="S8" i="4"/>
  <c r="AC16" i="4"/>
  <c r="AC15" i="4"/>
  <c r="AC14" i="4"/>
  <c r="AC11" i="4"/>
  <c r="S10" i="4"/>
  <c r="S9" i="4"/>
  <c r="AC9" i="4" s="1"/>
  <c r="AC8" i="4" l="1"/>
  <c r="S12" i="4"/>
  <c r="AC21" i="4"/>
  <c r="AC6" i="4"/>
  <c r="AC10" i="4"/>
  <c r="AC12" i="4" l="1"/>
  <c r="AR20" i="39"/>
  <c r="AR21" i="39"/>
  <c r="AR22" i="39"/>
  <c r="AR19" i="39"/>
  <c r="AC41" i="39"/>
  <c r="Z50" i="39" s="1"/>
  <c r="N54" i="39" s="1"/>
  <c r="AT22" i="39"/>
  <c r="AT21" i="39"/>
  <c r="AT20" i="39"/>
  <c r="AT19" i="39"/>
  <c r="AE22" i="39"/>
  <c r="AE21" i="39"/>
  <c r="AE20" i="39"/>
  <c r="AE19" i="39"/>
  <c r="AL41" i="39"/>
  <c r="AL22" i="39"/>
  <c r="AL21" i="39"/>
  <c r="AL20" i="39"/>
  <c r="AL19" i="39"/>
  <c r="B33" i="4" l="1"/>
  <c r="P33" i="4" s="1"/>
  <c r="Z37" i="4" s="1"/>
  <c r="AC22" i="4"/>
  <c r="AC23" i="4" s="1"/>
  <c r="AC24" i="4" s="1"/>
  <c r="Z27" i="39"/>
  <c r="AI6" i="39" l="1"/>
  <c r="AA41" i="39"/>
  <c r="P49" i="39" l="1"/>
  <c r="P26" i="39"/>
  <c r="L157" i="40"/>
  <c r="L156" i="40"/>
  <c r="L155" i="40"/>
  <c r="L154" i="40"/>
  <c r="L153" i="40"/>
  <c r="L152" i="40"/>
  <c r="L151" i="40"/>
  <c r="L150" i="40"/>
  <c r="L149" i="40"/>
  <c r="L148" i="40"/>
  <c r="L147" i="40"/>
  <c r="L146" i="40"/>
  <c r="F147" i="40"/>
  <c r="F148" i="40"/>
  <c r="F149" i="40"/>
  <c r="F150" i="40"/>
  <c r="F151" i="40"/>
  <c r="F152" i="40"/>
  <c r="F153" i="40"/>
  <c r="F154" i="40"/>
  <c r="F155" i="40"/>
  <c r="F156" i="40"/>
  <c r="F157" i="40"/>
  <c r="F146" i="40"/>
  <c r="N183" i="40"/>
  <c r="I183" i="40"/>
  <c r="N182" i="40"/>
  <c r="I182" i="40"/>
  <c r="N181" i="40"/>
  <c r="I181" i="40"/>
  <c r="N180" i="40"/>
  <c r="I180" i="40"/>
  <c r="N179" i="40"/>
  <c r="I179" i="40"/>
  <c r="N178" i="40"/>
  <c r="I178" i="40"/>
  <c r="N177" i="40"/>
  <c r="I177" i="40"/>
  <c r="N176" i="40"/>
  <c r="I176" i="40"/>
  <c r="N175" i="40"/>
  <c r="I175" i="40"/>
  <c r="N174" i="40"/>
  <c r="I174" i="40"/>
  <c r="N173" i="40"/>
  <c r="I173" i="40"/>
  <c r="N172" i="40"/>
  <c r="I172" i="40"/>
  <c r="N171" i="40"/>
  <c r="I171" i="40"/>
  <c r="N170" i="40"/>
  <c r="I170" i="40"/>
  <c r="N169" i="40"/>
  <c r="I169" i="40"/>
  <c r="N168" i="40"/>
  <c r="I168" i="40"/>
  <c r="N167" i="40"/>
  <c r="I167" i="40"/>
  <c r="N166" i="40"/>
  <c r="I166" i="40"/>
  <c r="N165" i="40"/>
  <c r="I165" i="40"/>
  <c r="M158" i="40"/>
  <c r="K158" i="40"/>
  <c r="E158" i="40"/>
  <c r="D158" i="40"/>
  <c r="C158" i="40"/>
  <c r="J147" i="40"/>
  <c r="C111" i="40"/>
  <c r="C112" i="40" s="1"/>
  <c r="C113" i="40" s="1"/>
  <c r="C114" i="40" s="1"/>
  <c r="C115" i="40" s="1"/>
  <c r="C116" i="40" s="1"/>
  <c r="C117" i="40" s="1"/>
  <c r="C118" i="40" s="1"/>
  <c r="C119" i="40" s="1"/>
  <c r="C120" i="40" s="1"/>
  <c r="C121" i="40" s="1"/>
  <c r="C122" i="40" s="1"/>
  <c r="C123" i="40" s="1"/>
  <c r="C124" i="40" s="1"/>
  <c r="C125" i="40" s="1"/>
  <c r="C126" i="40" s="1"/>
  <c r="C127" i="40" s="1"/>
  <c r="C128" i="40" s="1"/>
  <c r="C129" i="40" s="1"/>
  <c r="C130" i="40" s="1"/>
  <c r="C131" i="40" s="1"/>
  <c r="C132" i="40" s="1"/>
  <c r="C133" i="40" s="1"/>
  <c r="E85" i="40"/>
  <c r="F85" i="40"/>
  <c r="E86" i="40"/>
  <c r="F86" i="40"/>
  <c r="H130" i="40" s="1"/>
  <c r="E88" i="40"/>
  <c r="F88" i="40"/>
  <c r="E89" i="40"/>
  <c r="F89" i="40"/>
  <c r="E90" i="40"/>
  <c r="I133" i="40" s="1"/>
  <c r="F90" i="40"/>
  <c r="F84" i="40"/>
  <c r="E84" i="40"/>
  <c r="C85" i="40"/>
  <c r="C86" i="40"/>
  <c r="C84" i="40"/>
  <c r="P78" i="40"/>
  <c r="O78" i="40"/>
  <c r="N78" i="40"/>
  <c r="M78" i="40"/>
  <c r="P77" i="40"/>
  <c r="O77" i="40"/>
  <c r="N77" i="40"/>
  <c r="M77" i="40"/>
  <c r="H73" i="40"/>
  <c r="G73" i="40"/>
  <c r="F73" i="40"/>
  <c r="E73" i="40"/>
  <c r="C90" i="40" s="1"/>
  <c r="D73" i="40"/>
  <c r="D90" i="40" s="1"/>
  <c r="H72" i="40"/>
  <c r="G72" i="40"/>
  <c r="F72" i="40"/>
  <c r="E72" i="40"/>
  <c r="D72" i="40"/>
  <c r="D89" i="40" s="1"/>
  <c r="C72" i="40"/>
  <c r="H71" i="40"/>
  <c r="G71" i="40"/>
  <c r="F71" i="40"/>
  <c r="E71" i="40"/>
  <c r="C88" i="40" s="1"/>
  <c r="D71" i="40"/>
  <c r="H69" i="40"/>
  <c r="F69" i="40"/>
  <c r="D86" i="40" s="1"/>
  <c r="H68" i="40"/>
  <c r="F68" i="40"/>
  <c r="D85" i="40" s="1"/>
  <c r="H67" i="40"/>
  <c r="F67" i="40"/>
  <c r="D84" i="40" s="1"/>
  <c r="D110" i="40" l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3" i="40" s="1"/>
  <c r="G133" i="40"/>
  <c r="J110" i="40"/>
  <c r="C89" i="40"/>
  <c r="I119" i="40"/>
  <c r="D88" i="40"/>
  <c r="F115" i="40" s="1"/>
  <c r="J148" i="40"/>
  <c r="J149" i="40" s="1"/>
  <c r="J150" i="40" s="1"/>
  <c r="J151" i="40" s="1"/>
  <c r="J152" i="40" s="1"/>
  <c r="J153" i="40" s="1"/>
  <c r="J154" i="40" s="1"/>
  <c r="J155" i="40" s="1"/>
  <c r="J156" i="40" s="1"/>
  <c r="J157" i="40" s="1"/>
  <c r="F118" i="40"/>
  <c r="F111" i="40"/>
  <c r="I112" i="40"/>
  <c r="I116" i="40"/>
  <c r="I120" i="40"/>
  <c r="I124" i="40"/>
  <c r="I128" i="40"/>
  <c r="I132" i="40"/>
  <c r="G122" i="40"/>
  <c r="G126" i="40"/>
  <c r="G130" i="40"/>
  <c r="F130" i="40"/>
  <c r="G116" i="40"/>
  <c r="F113" i="40"/>
  <c r="F117" i="40"/>
  <c r="I110" i="40"/>
  <c r="I114" i="40"/>
  <c r="I118" i="40"/>
  <c r="I122" i="40"/>
  <c r="I126" i="40"/>
  <c r="I130" i="40"/>
  <c r="G120" i="40"/>
  <c r="G124" i="40"/>
  <c r="G128" i="40"/>
  <c r="G132" i="40"/>
  <c r="E118" i="40"/>
  <c r="E116" i="40"/>
  <c r="E114" i="40"/>
  <c r="E112" i="40"/>
  <c r="E110" i="40"/>
  <c r="J133" i="40"/>
  <c r="J131" i="40"/>
  <c r="J129" i="40"/>
  <c r="J127" i="40"/>
  <c r="J125" i="40"/>
  <c r="J123" i="40"/>
  <c r="J121" i="40"/>
  <c r="J132" i="40"/>
  <c r="J130" i="40"/>
  <c r="J128" i="40"/>
  <c r="J126" i="40"/>
  <c r="J124" i="40"/>
  <c r="J122" i="40"/>
  <c r="J120" i="40"/>
  <c r="H119" i="40"/>
  <c r="H117" i="40"/>
  <c r="H115" i="40"/>
  <c r="H113" i="40"/>
  <c r="H111" i="40"/>
  <c r="E120" i="40"/>
  <c r="G119" i="40"/>
  <c r="E111" i="40"/>
  <c r="E115" i="40"/>
  <c r="E119" i="40"/>
  <c r="E137" i="40"/>
  <c r="E123" i="40"/>
  <c r="E127" i="40"/>
  <c r="E131" i="40"/>
  <c r="F122" i="40"/>
  <c r="F126" i="40"/>
  <c r="G110" i="40"/>
  <c r="G114" i="40"/>
  <c r="G118" i="40"/>
  <c r="H110" i="40"/>
  <c r="H114" i="40"/>
  <c r="H118" i="40"/>
  <c r="H122" i="40"/>
  <c r="H126" i="40"/>
  <c r="F133" i="40"/>
  <c r="F131" i="40"/>
  <c r="F129" i="40"/>
  <c r="F127" i="40"/>
  <c r="F125" i="40"/>
  <c r="F123" i="40"/>
  <c r="F121" i="40"/>
  <c r="J119" i="40"/>
  <c r="J117" i="40"/>
  <c r="J115" i="40"/>
  <c r="J113" i="40"/>
  <c r="J111" i="40"/>
  <c r="J118" i="40"/>
  <c r="J116" i="40"/>
  <c r="J114" i="40"/>
  <c r="H133" i="40"/>
  <c r="H131" i="40"/>
  <c r="H129" i="40"/>
  <c r="H127" i="40"/>
  <c r="H125" i="40"/>
  <c r="H123" i="40"/>
  <c r="H121" i="40"/>
  <c r="E113" i="40"/>
  <c r="E117" i="40"/>
  <c r="E135" i="40"/>
  <c r="E121" i="40"/>
  <c r="E125" i="40"/>
  <c r="E129" i="40"/>
  <c r="E133" i="40"/>
  <c r="F120" i="40"/>
  <c r="F124" i="40"/>
  <c r="F128" i="40"/>
  <c r="F132" i="40"/>
  <c r="G112" i="40"/>
  <c r="H112" i="40"/>
  <c r="H116" i="40"/>
  <c r="H120" i="40"/>
  <c r="H124" i="40"/>
  <c r="H128" i="40"/>
  <c r="H132" i="40"/>
  <c r="J112" i="40"/>
  <c r="E134" i="40"/>
  <c r="E136" i="40"/>
  <c r="E138" i="40"/>
  <c r="E122" i="40"/>
  <c r="E124" i="40"/>
  <c r="E126" i="40"/>
  <c r="E128" i="40"/>
  <c r="E130" i="40"/>
  <c r="E132" i="40"/>
  <c r="F110" i="40"/>
  <c r="F112" i="40"/>
  <c r="F114" i="40"/>
  <c r="F116" i="40"/>
  <c r="I111" i="40"/>
  <c r="I113" i="40"/>
  <c r="I115" i="40"/>
  <c r="I117" i="40"/>
  <c r="I121" i="40"/>
  <c r="I123" i="40"/>
  <c r="I125" i="40"/>
  <c r="I127" i="40"/>
  <c r="I129" i="40"/>
  <c r="I131" i="40"/>
  <c r="G111" i="40"/>
  <c r="G113" i="40"/>
  <c r="G115" i="40"/>
  <c r="G117" i="40"/>
  <c r="G121" i="40"/>
  <c r="G123" i="40"/>
  <c r="G125" i="40"/>
  <c r="G127" i="40"/>
  <c r="G129" i="40"/>
  <c r="G131" i="40"/>
  <c r="E96" i="40"/>
  <c r="E109" i="40"/>
  <c r="E107" i="40"/>
  <c r="E105" i="40"/>
  <c r="E103" i="40"/>
  <c r="E101" i="40"/>
  <c r="E99" i="40"/>
  <c r="E97" i="40"/>
  <c r="E108" i="40"/>
  <c r="E106" i="40"/>
  <c r="E104" i="40"/>
  <c r="E102" i="40"/>
  <c r="E100" i="40"/>
  <c r="E98" i="40"/>
  <c r="K78" i="40"/>
  <c r="F119" i="40" l="1"/>
  <c r="J158" i="40"/>
  <c r="Q55" i="40" l="1"/>
  <c r="Q54" i="40"/>
  <c r="Q53" i="40"/>
  <c r="Q52" i="40"/>
  <c r="Q51" i="40"/>
  <c r="Q50" i="40"/>
  <c r="Q49" i="40"/>
  <c r="Q48" i="40"/>
  <c r="Q47" i="40"/>
  <c r="Q46" i="40"/>
  <c r="Q45" i="40"/>
  <c r="Q44" i="40"/>
  <c r="P45" i="40"/>
  <c r="P46" i="40"/>
  <c r="P47" i="40"/>
  <c r="P48" i="40"/>
  <c r="P49" i="40"/>
  <c r="P50" i="40"/>
  <c r="P51" i="40"/>
  <c r="P52" i="40"/>
  <c r="P53" i="40"/>
  <c r="P54" i="40"/>
  <c r="P55" i="40"/>
  <c r="P44" i="40"/>
  <c r="S37" i="40"/>
  <c r="X55" i="40" s="1"/>
  <c r="S36" i="40"/>
  <c r="X54" i="40" s="1"/>
  <c r="S35" i="40"/>
  <c r="X53" i="40" s="1"/>
  <c r="S34" i="40"/>
  <c r="X52" i="40" s="1"/>
  <c r="S33" i="40"/>
  <c r="X51" i="40" s="1"/>
  <c r="S32" i="40"/>
  <c r="X50" i="40" s="1"/>
  <c r="S31" i="40"/>
  <c r="X49" i="40" s="1"/>
  <c r="S30" i="40"/>
  <c r="X48" i="40" s="1"/>
  <c r="S29" i="40"/>
  <c r="X47" i="40" s="1"/>
  <c r="S28" i="40"/>
  <c r="X46" i="40" s="1"/>
  <c r="S27" i="40"/>
  <c r="X45" i="40" s="1"/>
  <c r="S26" i="40"/>
  <c r="X44" i="40" s="1"/>
  <c r="R37" i="40"/>
  <c r="W55" i="40" s="1"/>
  <c r="R36" i="40"/>
  <c r="R35" i="40"/>
  <c r="W53" i="40" s="1"/>
  <c r="R34" i="40"/>
  <c r="W52" i="40" s="1"/>
  <c r="R33" i="40"/>
  <c r="W51" i="40" s="1"/>
  <c r="R32" i="40"/>
  <c r="W50" i="40" s="1"/>
  <c r="R31" i="40"/>
  <c r="R30" i="40"/>
  <c r="R29" i="40"/>
  <c r="W47" i="40" s="1"/>
  <c r="R28" i="40"/>
  <c r="R27" i="40"/>
  <c r="W45" i="40" s="1"/>
  <c r="R26" i="40"/>
  <c r="W44" i="40" s="1"/>
  <c r="Q37" i="40"/>
  <c r="Q36" i="40"/>
  <c r="V36" i="40" s="1"/>
  <c r="Q35" i="40"/>
  <c r="V53" i="40" s="1"/>
  <c r="Z53" i="40" s="1"/>
  <c r="Q34" i="40"/>
  <c r="V34" i="40" s="1"/>
  <c r="Q33" i="40"/>
  <c r="V51" i="40" s="1"/>
  <c r="Z51" i="40" s="1"/>
  <c r="Q32" i="40"/>
  <c r="V32" i="40" s="1"/>
  <c r="Q31" i="40"/>
  <c r="V49" i="40" s="1"/>
  <c r="Z49" i="40" s="1"/>
  <c r="Q30" i="40"/>
  <c r="V30" i="40" s="1"/>
  <c r="Q29" i="40"/>
  <c r="Q28" i="40"/>
  <c r="V28" i="40" s="1"/>
  <c r="Q27" i="40"/>
  <c r="V45" i="40" s="1"/>
  <c r="Z45" i="40" s="1"/>
  <c r="Q26" i="40"/>
  <c r="V26" i="40" s="1"/>
  <c r="P27" i="40"/>
  <c r="P28" i="40"/>
  <c r="U28" i="40" s="1"/>
  <c r="P29" i="40"/>
  <c r="P30" i="40"/>
  <c r="U30" i="40" s="1"/>
  <c r="W30" i="40" s="1"/>
  <c r="P31" i="40"/>
  <c r="U31" i="40" s="1"/>
  <c r="P32" i="40"/>
  <c r="U32" i="40" s="1"/>
  <c r="W32" i="40" s="1"/>
  <c r="P33" i="40"/>
  <c r="U33" i="40" s="1"/>
  <c r="P34" i="40"/>
  <c r="P35" i="40"/>
  <c r="P36" i="40"/>
  <c r="U36" i="40" s="1"/>
  <c r="P37" i="40"/>
  <c r="U37" i="40" s="1"/>
  <c r="P26" i="40"/>
  <c r="U26" i="40" s="1"/>
  <c r="U27" i="40" l="1"/>
  <c r="U35" i="40"/>
  <c r="W49" i="40"/>
  <c r="V47" i="40"/>
  <c r="Z47" i="40" s="1"/>
  <c r="V55" i="40"/>
  <c r="Z55" i="40" s="1"/>
  <c r="U34" i="40"/>
  <c r="W34" i="40" s="1"/>
  <c r="W48" i="40"/>
  <c r="U29" i="40"/>
  <c r="W36" i="40"/>
  <c r="W28" i="40"/>
  <c r="W46" i="40"/>
  <c r="W54" i="40"/>
  <c r="W26" i="40"/>
  <c r="U44" i="40"/>
  <c r="Y44" i="40" s="1"/>
  <c r="U54" i="40"/>
  <c r="U52" i="40"/>
  <c r="Y52" i="40" s="1"/>
  <c r="U50" i="40"/>
  <c r="Y50" i="40" s="1"/>
  <c r="U48" i="40"/>
  <c r="U46" i="40"/>
  <c r="V44" i="40"/>
  <c r="Z44" i="40" s="1"/>
  <c r="V54" i="40"/>
  <c r="Z54" i="40" s="1"/>
  <c r="V52" i="40"/>
  <c r="Z52" i="40" s="1"/>
  <c r="V50" i="40"/>
  <c r="Z50" i="40" s="1"/>
  <c r="V48" i="40"/>
  <c r="Z48" i="40" s="1"/>
  <c r="V46" i="40"/>
  <c r="Z46" i="40" s="1"/>
  <c r="V37" i="40"/>
  <c r="W37" i="40" s="1"/>
  <c r="V35" i="40"/>
  <c r="W35" i="40" s="1"/>
  <c r="V33" i="40"/>
  <c r="W33" i="40" s="1"/>
  <c r="V31" i="40"/>
  <c r="W31" i="40" s="1"/>
  <c r="V29" i="40"/>
  <c r="W29" i="40" s="1"/>
  <c r="V27" i="40"/>
  <c r="U55" i="40"/>
  <c r="Y55" i="40" s="1"/>
  <c r="AA55" i="40" s="1"/>
  <c r="U53" i="40"/>
  <c r="Y53" i="40" s="1"/>
  <c r="AA53" i="40" s="1"/>
  <c r="U51" i="40"/>
  <c r="Y51" i="40" s="1"/>
  <c r="AA51" i="40" s="1"/>
  <c r="U49" i="40"/>
  <c r="Y49" i="40" s="1"/>
  <c r="AA49" i="40" s="1"/>
  <c r="U47" i="40"/>
  <c r="Y47" i="40" s="1"/>
  <c r="AA47" i="40" s="1"/>
  <c r="U45" i="40"/>
  <c r="Y45" i="40" s="1"/>
  <c r="AA45" i="40" s="1"/>
  <c r="R80" i="39"/>
  <c r="R79" i="39"/>
  <c r="R78" i="39"/>
  <c r="R77" i="39"/>
  <c r="N58" i="39"/>
  <c r="T45" i="39"/>
  <c r="AP44" i="39"/>
  <c r="AM44" i="39"/>
  <c r="AP43" i="39"/>
  <c r="AM43" i="39"/>
  <c r="AP42" i="39"/>
  <c r="AM42" i="39"/>
  <c r="AP41" i="39"/>
  <c r="AM41" i="39"/>
  <c r="K24" i="39"/>
  <c r="AP22" i="39"/>
  <c r="AM22" i="39"/>
  <c r="AA22" i="39"/>
  <c r="AP21" i="39"/>
  <c r="AM21" i="39"/>
  <c r="AA21" i="39"/>
  <c r="AP20" i="39"/>
  <c r="AM20" i="39"/>
  <c r="AA20" i="39"/>
  <c r="AQ19" i="39"/>
  <c r="AP19" i="39"/>
  <c r="AM19" i="39"/>
  <c r="AA19" i="39"/>
  <c r="AD1" i="39"/>
  <c r="U38" i="40" l="1"/>
  <c r="Y48" i="40"/>
  <c r="Y46" i="40"/>
  <c r="AA46" i="40" s="1"/>
  <c r="Y54" i="40"/>
  <c r="AR23" i="39"/>
  <c r="AR44" i="39" s="1"/>
  <c r="V38" i="40"/>
  <c r="AA48" i="40"/>
  <c r="AA52" i="40"/>
  <c r="AA44" i="40"/>
  <c r="AA50" i="40"/>
  <c r="AA54" i="40"/>
  <c r="W27" i="40"/>
  <c r="W38" i="40" s="1"/>
  <c r="AR41" i="39" l="1"/>
  <c r="AR43" i="39"/>
  <c r="AR42" i="39"/>
  <c r="AA56" i="40"/>
  <c r="B54" i="39"/>
  <c r="Z54" i="39" s="1"/>
  <c r="Z58" i="39" s="1"/>
  <c r="AR45" i="39" l="1"/>
  <c r="W41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Q1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27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5" authorId="0" shapeId="0" xr:uid="{00000000-0006-0000-0D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50" authorId="0" shapeId="0" xr:uid="{00000000-0006-0000-0D00-000006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</commentList>
</comments>
</file>

<file path=xl/sharedStrings.xml><?xml version="1.0" encoding="utf-8"?>
<sst xmlns="http://schemas.openxmlformats.org/spreadsheetml/2006/main" count="517" uniqueCount="243">
  <si>
    <t>導入設備</t>
    <rPh sb="0" eb="2">
      <t>ドウニュウ</t>
    </rPh>
    <rPh sb="2" eb="4">
      <t>セツビ</t>
    </rPh>
    <phoneticPr fontId="4"/>
  </si>
  <si>
    <t>年</t>
    <rPh sb="0" eb="1">
      <t>ネン</t>
    </rPh>
    <phoneticPr fontId="4"/>
  </si>
  <si>
    <t>導入前</t>
    <rPh sb="0" eb="2">
      <t>ドウニュウ</t>
    </rPh>
    <rPh sb="2" eb="3">
      <t>マエ</t>
    </rPh>
    <phoneticPr fontId="4"/>
  </si>
  <si>
    <t>導入後</t>
    <rPh sb="0" eb="2">
      <t>ドウニュウ</t>
    </rPh>
    <rPh sb="2" eb="3">
      <t>ゴ</t>
    </rPh>
    <phoneticPr fontId="4"/>
  </si>
  <si>
    <t>総事業費</t>
    <rPh sb="0" eb="4">
      <t>ソウジギョウヒ</t>
    </rPh>
    <phoneticPr fontId="4"/>
  </si>
  <si>
    <t>t-CO2/年</t>
    <rPh sb="6" eb="7">
      <t>ネン</t>
    </rPh>
    <phoneticPr fontId="4"/>
  </si>
  <si>
    <t>CO2排出削減予測量</t>
    <rPh sb="3" eb="5">
      <t>ハイシュツ</t>
    </rPh>
    <rPh sb="5" eb="7">
      <t>サクゲン</t>
    </rPh>
    <rPh sb="7" eb="9">
      <t>ヨソク</t>
    </rPh>
    <rPh sb="9" eb="10">
      <t>リョウ</t>
    </rPh>
    <phoneticPr fontId="4"/>
  </si>
  <si>
    <t>＝</t>
    <phoneticPr fontId="4"/>
  </si>
  <si>
    <t>導入前のCO2排出量</t>
    <rPh sb="0" eb="2">
      <t>ドウニュウ</t>
    </rPh>
    <rPh sb="2" eb="3">
      <t>マエ</t>
    </rPh>
    <rPh sb="7" eb="9">
      <t>ハイシュツ</t>
    </rPh>
    <rPh sb="9" eb="10">
      <t>リョウ</t>
    </rPh>
    <phoneticPr fontId="4"/>
  </si>
  <si>
    <t>導入後のCO2排出量</t>
    <rPh sb="0" eb="2">
      <t>ドウニュウ</t>
    </rPh>
    <rPh sb="2" eb="3">
      <t>ゴ</t>
    </rPh>
    <rPh sb="7" eb="9">
      <t>ハイシュツ</t>
    </rPh>
    <rPh sb="9" eb="10">
      <t>リョウ</t>
    </rPh>
    <phoneticPr fontId="4"/>
  </si>
  <si>
    <t>－</t>
    <phoneticPr fontId="4"/>
  </si>
  <si>
    <t>※</t>
    <phoneticPr fontId="4"/>
  </si>
  <si>
    <t>区　　分</t>
    <rPh sb="0" eb="1">
      <t>ク</t>
    </rPh>
    <rPh sb="3" eb="4">
      <t>フン</t>
    </rPh>
    <phoneticPr fontId="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</si>
  <si>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</si>
  <si>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4"/>
  </si>
  <si>
    <t>単位</t>
    <rPh sb="0" eb="2">
      <t>タンイ</t>
    </rPh>
    <phoneticPr fontId="4"/>
  </si>
  <si>
    <t>kL</t>
    <phoneticPr fontId="4"/>
  </si>
  <si>
    <t>灯油</t>
    <rPh sb="0" eb="2">
      <t>トウユ</t>
    </rPh>
    <phoneticPr fontId="4"/>
  </si>
  <si>
    <t>合計</t>
    <rPh sb="0" eb="2">
      <t>ゴウケイ</t>
    </rPh>
    <phoneticPr fontId="4"/>
  </si>
  <si>
    <t>CO2排出量は、小数点第２位を四捨五入して、小数点第１位までの表記としてください。</t>
    <rPh sb="3" eb="5">
      <t>ハイシュツ</t>
    </rPh>
    <rPh sb="5" eb="6">
      <t>リョウ</t>
    </rPh>
    <rPh sb="8" eb="11">
      <t>ショウスウテン</t>
    </rPh>
    <rPh sb="11" eb="12">
      <t>ダイ</t>
    </rPh>
    <rPh sb="13" eb="14">
      <t>イ</t>
    </rPh>
    <rPh sb="15" eb="19">
      <t>シシャゴニュウ</t>
    </rPh>
    <rPh sb="22" eb="25">
      <t>ショウスウテン</t>
    </rPh>
    <rPh sb="25" eb="26">
      <t>ダイ</t>
    </rPh>
    <rPh sb="27" eb="28">
      <t>イ</t>
    </rPh>
    <rPh sb="31" eb="33">
      <t>ヒョウキ</t>
    </rPh>
    <phoneticPr fontId="4"/>
  </si>
  <si>
    <t>計</t>
    <rPh sb="0" eb="1">
      <t>ケイ</t>
    </rPh>
    <phoneticPr fontId="4"/>
  </si>
  <si>
    <t>シート名</t>
    <rPh sb="3" eb="4">
      <t>メイ</t>
    </rPh>
    <phoneticPr fontId="18"/>
  </si>
  <si>
    <t>その他</t>
    <rPh sb="2" eb="3">
      <t>タ</t>
    </rPh>
    <phoneticPr fontId="18"/>
  </si>
  <si>
    <t>燃料の種類</t>
    <rPh sb="0" eb="2">
      <t>ネンリョウ</t>
    </rPh>
    <rPh sb="3" eb="5">
      <t>シュルイ</t>
    </rPh>
    <phoneticPr fontId="4"/>
  </si>
  <si>
    <t>台数</t>
    <rPh sb="0" eb="2">
      <t>ダイスウ</t>
    </rPh>
    <phoneticPr fontId="4"/>
  </si>
  <si>
    <t>排出係数</t>
    <rPh sb="0" eb="2">
      <t>ハイシュツ</t>
    </rPh>
    <rPh sb="2" eb="4">
      <t>ケイスウ</t>
    </rPh>
    <phoneticPr fontId="4"/>
  </si>
  <si>
    <t>省エネ手法</t>
    <rPh sb="0" eb="1">
      <t>ショウ</t>
    </rPh>
    <rPh sb="3" eb="5">
      <t>シュホウ</t>
    </rPh>
    <phoneticPr fontId="4"/>
  </si>
  <si>
    <t>設備の高効率化</t>
    <rPh sb="0" eb="2">
      <t>セツビ</t>
    </rPh>
    <rPh sb="3" eb="7">
      <t>コウコウリツカ</t>
    </rPh>
    <phoneticPr fontId="4"/>
  </si>
  <si>
    <t>A重油</t>
    <rPh sb="1" eb="3">
      <t>ジュウユ</t>
    </rPh>
    <phoneticPr fontId="4"/>
  </si>
  <si>
    <t>燃料転換</t>
    <rPh sb="0" eb="2">
      <t>ネンリョウ</t>
    </rPh>
    <rPh sb="2" eb="4">
      <t>テンカン</t>
    </rPh>
    <phoneticPr fontId="4"/>
  </si>
  <si>
    <t>B・C重油</t>
    <rPh sb="3" eb="5">
      <t>ジュウユ</t>
    </rPh>
    <phoneticPr fontId="4"/>
  </si>
  <si>
    <t>燃料転換・設備の高効率化</t>
    <rPh sb="0" eb="2">
      <t>ネンリョウ</t>
    </rPh>
    <rPh sb="2" eb="4">
      <t>テンカン</t>
    </rPh>
    <rPh sb="5" eb="7">
      <t>セツビ</t>
    </rPh>
    <rPh sb="8" eb="12">
      <t>コウコウリツカ</t>
    </rPh>
    <phoneticPr fontId="4"/>
  </si>
  <si>
    <t>LPG</t>
    <phoneticPr fontId="4"/>
  </si>
  <si>
    <t>ｔ</t>
    <phoneticPr fontId="4"/>
  </si>
  <si>
    <t>LNG</t>
    <phoneticPr fontId="4"/>
  </si>
  <si>
    <t>都市ガス(13A:45MJ/m3)</t>
    <rPh sb="0" eb="2">
      <t>トシ</t>
    </rPh>
    <phoneticPr fontId="4"/>
  </si>
  <si>
    <t>千Nm3</t>
    <rPh sb="0" eb="1">
      <t>セン</t>
    </rPh>
    <phoneticPr fontId="4"/>
  </si>
  <si>
    <t>高効率タイプに更新</t>
    <rPh sb="0" eb="3">
      <t>コウコウリツ</t>
    </rPh>
    <rPh sb="7" eb="9">
      <t>コウシン</t>
    </rPh>
    <phoneticPr fontId="4"/>
  </si>
  <si>
    <t>都市ガス(13A:43.12MJ/m3)</t>
    <rPh sb="0" eb="2">
      <t>トシ</t>
    </rPh>
    <phoneticPr fontId="4"/>
  </si>
  <si>
    <t>同効率タイプに更新</t>
    <rPh sb="0" eb="1">
      <t>ドウ</t>
    </rPh>
    <rPh sb="1" eb="3">
      <t>コウリツ</t>
    </rPh>
    <rPh sb="7" eb="9">
      <t>コウシン</t>
    </rPh>
    <phoneticPr fontId="4"/>
  </si>
  <si>
    <t>都市ガス(13A:46.04MJ/m3)</t>
    <rPh sb="0" eb="2">
      <t>トシ</t>
    </rPh>
    <phoneticPr fontId="4"/>
  </si>
  <si>
    <t>バーナー交換</t>
    <rPh sb="4" eb="6">
      <t>コウカン</t>
    </rPh>
    <phoneticPr fontId="4"/>
  </si>
  <si>
    <t>都市ガス(12A:41.86MJ/m3)</t>
    <rPh sb="0" eb="2">
      <t>トシ</t>
    </rPh>
    <phoneticPr fontId="4"/>
  </si>
  <si>
    <t>その他</t>
    <rPh sb="2" eb="3">
      <t>タ</t>
    </rPh>
    <phoneticPr fontId="4"/>
  </si>
  <si>
    <t>都市ガス(6A:29.30MJ/m3)</t>
    <rPh sb="0" eb="2">
      <t>トシ</t>
    </rPh>
    <phoneticPr fontId="4"/>
  </si>
  <si>
    <t>2019年</t>
    <rPh sb="4" eb="5">
      <t>ネン</t>
    </rPh>
    <phoneticPr fontId="18"/>
  </si>
  <si>
    <t>貫流ボイラ</t>
    <rPh sb="0" eb="2">
      <t>カンリュウ</t>
    </rPh>
    <phoneticPr fontId="18"/>
  </si>
  <si>
    <t>2018年</t>
    <rPh sb="4" eb="5">
      <t>ネン</t>
    </rPh>
    <phoneticPr fontId="18"/>
  </si>
  <si>
    <t>強制循環ボイラ</t>
    <rPh sb="0" eb="2">
      <t>キョウセイ</t>
    </rPh>
    <rPh sb="2" eb="4">
      <t>ジュンカン</t>
    </rPh>
    <phoneticPr fontId="18"/>
  </si>
  <si>
    <t>2017年</t>
    <rPh sb="4" eb="5">
      <t>ネン</t>
    </rPh>
    <phoneticPr fontId="18"/>
  </si>
  <si>
    <t>自然循環ボイラ</t>
    <rPh sb="0" eb="2">
      <t>シゼン</t>
    </rPh>
    <rPh sb="2" eb="4">
      <t>ジュンカン</t>
    </rPh>
    <phoneticPr fontId="18"/>
  </si>
  <si>
    <t>2016年</t>
    <rPh sb="4" eb="5">
      <t>ネン</t>
    </rPh>
    <phoneticPr fontId="18"/>
  </si>
  <si>
    <t>煙管ボイラ</t>
    <rPh sb="0" eb="2">
      <t>エンカン</t>
    </rPh>
    <phoneticPr fontId="18"/>
  </si>
  <si>
    <t>名称・型式等</t>
    <rPh sb="0" eb="2">
      <t>メイショウ</t>
    </rPh>
    <rPh sb="3" eb="5">
      <t>カタシキ</t>
    </rPh>
    <rPh sb="5" eb="6">
      <t>トウ</t>
    </rPh>
    <phoneticPr fontId="18"/>
  </si>
  <si>
    <t>方式</t>
    <rPh sb="0" eb="2">
      <t>ホウシキ</t>
    </rPh>
    <phoneticPr fontId="18"/>
  </si>
  <si>
    <t>年式等</t>
    <rPh sb="0" eb="2">
      <t>ネンシキ</t>
    </rPh>
    <rPh sb="2" eb="3">
      <t>トウ</t>
    </rPh>
    <phoneticPr fontId="18"/>
  </si>
  <si>
    <t>昨年度燃料使用量</t>
    <rPh sb="0" eb="3">
      <t>サクネンド</t>
    </rPh>
    <rPh sb="3" eb="5">
      <t>ネンリョウ</t>
    </rPh>
    <rPh sb="5" eb="8">
      <t>シヨウリョウ</t>
    </rPh>
    <phoneticPr fontId="4"/>
  </si>
  <si>
    <t>ボイラ効率</t>
    <rPh sb="3" eb="5">
      <t>コウリツ</t>
    </rPh>
    <phoneticPr fontId="4"/>
  </si>
  <si>
    <t>ｔ-ＣＯ₂／年</t>
    <rPh sb="6" eb="7">
      <t>ネン</t>
    </rPh>
    <phoneticPr fontId="18"/>
  </si>
  <si>
    <t>2015年</t>
    <rPh sb="4" eb="5">
      <t>ネン</t>
    </rPh>
    <phoneticPr fontId="18"/>
  </si>
  <si>
    <t>炉筒ボイラ</t>
    <rPh sb="0" eb="2">
      <t>ロトウ</t>
    </rPh>
    <phoneticPr fontId="18"/>
  </si>
  <si>
    <t>2014年</t>
    <rPh sb="4" eb="5">
      <t>ネン</t>
    </rPh>
    <phoneticPr fontId="18"/>
  </si>
  <si>
    <t>炉筒煙管ボイラ</t>
    <rPh sb="0" eb="2">
      <t>ロトウ</t>
    </rPh>
    <rPh sb="2" eb="4">
      <t>エンカン</t>
    </rPh>
    <phoneticPr fontId="18"/>
  </si>
  <si>
    <t>2013年</t>
    <rPh sb="4" eb="5">
      <t>ネン</t>
    </rPh>
    <phoneticPr fontId="18"/>
  </si>
  <si>
    <t>立てボイラ</t>
    <rPh sb="0" eb="1">
      <t>タ</t>
    </rPh>
    <phoneticPr fontId="18"/>
  </si>
  <si>
    <t>2012年</t>
    <rPh sb="4" eb="5">
      <t>ネン</t>
    </rPh>
    <phoneticPr fontId="18"/>
  </si>
  <si>
    <t>セクショナルボイラ</t>
    <phoneticPr fontId="18"/>
  </si>
  <si>
    <t>2011年</t>
    <rPh sb="4" eb="5">
      <t>ネン</t>
    </rPh>
    <phoneticPr fontId="18"/>
  </si>
  <si>
    <t>2010年</t>
    <rPh sb="4" eb="5">
      <t>ネン</t>
    </rPh>
    <phoneticPr fontId="18"/>
  </si>
  <si>
    <t>2009年</t>
    <rPh sb="4" eb="5">
      <t>ネン</t>
    </rPh>
    <phoneticPr fontId="18"/>
  </si>
  <si>
    <t>2008年</t>
    <rPh sb="4" eb="5">
      <t>ネン</t>
    </rPh>
    <phoneticPr fontId="18"/>
  </si>
  <si>
    <t>2007年</t>
    <rPh sb="4" eb="5">
      <t>ネン</t>
    </rPh>
    <phoneticPr fontId="18"/>
  </si>
  <si>
    <t>2006年</t>
    <rPh sb="4" eb="5">
      <t>ネン</t>
    </rPh>
    <phoneticPr fontId="18"/>
  </si>
  <si>
    <t>2005年</t>
    <rPh sb="4" eb="5">
      <t>ネン</t>
    </rPh>
    <phoneticPr fontId="18"/>
  </si>
  <si>
    <t>2004年</t>
    <rPh sb="4" eb="5">
      <t>ネン</t>
    </rPh>
    <phoneticPr fontId="18"/>
  </si>
  <si>
    <t>2003年</t>
    <rPh sb="4" eb="5">
      <t>ネン</t>
    </rPh>
    <phoneticPr fontId="18"/>
  </si>
  <si>
    <t>2002年</t>
    <rPh sb="4" eb="5">
      <t>ネン</t>
    </rPh>
    <phoneticPr fontId="18"/>
  </si>
  <si>
    <t>2001年</t>
    <rPh sb="4" eb="5">
      <t>ネン</t>
    </rPh>
    <phoneticPr fontId="18"/>
  </si>
  <si>
    <t>2000年</t>
    <rPh sb="4" eb="5">
      <t>ネン</t>
    </rPh>
    <phoneticPr fontId="18"/>
  </si>
  <si>
    <t>1999年</t>
    <rPh sb="4" eb="5">
      <t>ネン</t>
    </rPh>
    <phoneticPr fontId="18"/>
  </si>
  <si>
    <t>1998年</t>
    <rPh sb="4" eb="5">
      <t>ネン</t>
    </rPh>
    <phoneticPr fontId="18"/>
  </si>
  <si>
    <t>1997年</t>
    <rPh sb="4" eb="5">
      <t>ネン</t>
    </rPh>
    <phoneticPr fontId="18"/>
  </si>
  <si>
    <t>1996年</t>
    <rPh sb="4" eb="5">
      <t>ネン</t>
    </rPh>
    <phoneticPr fontId="18"/>
  </si>
  <si>
    <t>1995年</t>
    <rPh sb="4" eb="5">
      <t>ネン</t>
    </rPh>
    <phoneticPr fontId="18"/>
  </si>
  <si>
    <t>1994年</t>
    <rPh sb="4" eb="5">
      <t>ネン</t>
    </rPh>
    <phoneticPr fontId="18"/>
  </si>
  <si>
    <t>1993年</t>
    <rPh sb="4" eb="5">
      <t>ネン</t>
    </rPh>
    <phoneticPr fontId="18"/>
  </si>
  <si>
    <t>1992年</t>
    <rPh sb="4" eb="5">
      <t>ネン</t>
    </rPh>
    <phoneticPr fontId="18"/>
  </si>
  <si>
    <t>1991年</t>
    <rPh sb="4" eb="5">
      <t>ネン</t>
    </rPh>
    <phoneticPr fontId="18"/>
  </si>
  <si>
    <t>1990年</t>
    <rPh sb="4" eb="5">
      <t>ネン</t>
    </rPh>
    <phoneticPr fontId="18"/>
  </si>
  <si>
    <t>1989年</t>
    <rPh sb="4" eb="5">
      <t>ネン</t>
    </rPh>
    <phoneticPr fontId="18"/>
  </si>
  <si>
    <t>1988年</t>
    <rPh sb="4" eb="5">
      <t>ネン</t>
    </rPh>
    <phoneticPr fontId="18"/>
  </si>
  <si>
    <t>1987年</t>
    <rPh sb="4" eb="5">
      <t>ネン</t>
    </rPh>
    <phoneticPr fontId="18"/>
  </si>
  <si>
    <t>1986年</t>
    <rPh sb="4" eb="5">
      <t>ネン</t>
    </rPh>
    <phoneticPr fontId="18"/>
  </si>
  <si>
    <t>1985年</t>
    <rPh sb="4" eb="5">
      <t>ネン</t>
    </rPh>
    <phoneticPr fontId="18"/>
  </si>
  <si>
    <t>1984年</t>
    <rPh sb="4" eb="5">
      <t>ネン</t>
    </rPh>
    <phoneticPr fontId="18"/>
  </si>
  <si>
    <t>1983年</t>
    <rPh sb="4" eb="5">
      <t>ネン</t>
    </rPh>
    <phoneticPr fontId="18"/>
  </si>
  <si>
    <t>1982年</t>
    <rPh sb="4" eb="5">
      <t>ネン</t>
    </rPh>
    <phoneticPr fontId="18"/>
  </si>
  <si>
    <t>1981年</t>
    <rPh sb="4" eb="5">
      <t>ネン</t>
    </rPh>
    <phoneticPr fontId="18"/>
  </si>
  <si>
    <t>1980年</t>
    <rPh sb="4" eb="5">
      <t>ネン</t>
    </rPh>
    <phoneticPr fontId="18"/>
  </si>
  <si>
    <t>1979年</t>
    <rPh sb="4" eb="5">
      <t>ネン</t>
    </rPh>
    <phoneticPr fontId="18"/>
  </si>
  <si>
    <t>1978年</t>
    <rPh sb="4" eb="5">
      <t>ネン</t>
    </rPh>
    <phoneticPr fontId="18"/>
  </si>
  <si>
    <t>1977年</t>
    <rPh sb="4" eb="5">
      <t>ネン</t>
    </rPh>
    <phoneticPr fontId="18"/>
  </si>
  <si>
    <t>1976年</t>
    <rPh sb="4" eb="5">
      <t>ネン</t>
    </rPh>
    <phoneticPr fontId="18"/>
  </si>
  <si>
    <t>1975年</t>
    <rPh sb="4" eb="5">
      <t>ネン</t>
    </rPh>
    <phoneticPr fontId="18"/>
  </si>
  <si>
    <t>1974年</t>
    <rPh sb="4" eb="5">
      <t>ネン</t>
    </rPh>
    <phoneticPr fontId="18"/>
  </si>
  <si>
    <t>1973年</t>
    <rPh sb="4" eb="5">
      <t>ネン</t>
    </rPh>
    <phoneticPr fontId="18"/>
  </si>
  <si>
    <t>1970年</t>
    <rPh sb="4" eb="5">
      <t>ネン</t>
    </rPh>
    <phoneticPr fontId="18"/>
  </si>
  <si>
    <t>1969年</t>
    <rPh sb="4" eb="5">
      <t>ネン</t>
    </rPh>
    <phoneticPr fontId="18"/>
  </si>
  <si>
    <t>1968年</t>
    <rPh sb="4" eb="5">
      <t>ネン</t>
    </rPh>
    <phoneticPr fontId="18"/>
  </si>
  <si>
    <t>1967年</t>
    <rPh sb="4" eb="5">
      <t>ネン</t>
    </rPh>
    <phoneticPr fontId="18"/>
  </si>
  <si>
    <t>1966年</t>
    <rPh sb="4" eb="5">
      <t>ネン</t>
    </rPh>
    <phoneticPr fontId="18"/>
  </si>
  <si>
    <t>1965年</t>
    <rPh sb="4" eb="5">
      <t>ネン</t>
    </rPh>
    <phoneticPr fontId="18"/>
  </si>
  <si>
    <t>1964年</t>
    <rPh sb="4" eb="5">
      <t>ネン</t>
    </rPh>
    <phoneticPr fontId="18"/>
  </si>
  <si>
    <t>1963年</t>
    <rPh sb="4" eb="5">
      <t>ネン</t>
    </rPh>
    <phoneticPr fontId="18"/>
  </si>
  <si>
    <t>1962年</t>
    <rPh sb="4" eb="5">
      <t>ネン</t>
    </rPh>
    <phoneticPr fontId="18"/>
  </si>
  <si>
    <t>1961年</t>
    <rPh sb="4" eb="5">
      <t>ネン</t>
    </rPh>
    <phoneticPr fontId="18"/>
  </si>
  <si>
    <t>1960年</t>
    <rPh sb="4" eb="5">
      <t>ネン</t>
    </rPh>
    <phoneticPr fontId="18"/>
  </si>
  <si>
    <t>台数</t>
    <rPh sb="0" eb="2">
      <t>ダイスウ</t>
    </rPh>
    <phoneticPr fontId="18"/>
  </si>
  <si>
    <t>高位発熱量</t>
    <rPh sb="0" eb="2">
      <t>コウイ</t>
    </rPh>
    <rPh sb="2" eb="4">
      <t>ハツネツ</t>
    </rPh>
    <rPh sb="4" eb="5">
      <t>リョウ</t>
    </rPh>
    <phoneticPr fontId="4"/>
  </si>
  <si>
    <t>低位発熱量</t>
    <rPh sb="0" eb="2">
      <t>テイイ</t>
    </rPh>
    <rPh sb="2" eb="4">
      <t>ハツネツ</t>
    </rPh>
    <rPh sb="4" eb="5">
      <t>リョウ</t>
    </rPh>
    <phoneticPr fontId="18"/>
  </si>
  <si>
    <t>使用按分</t>
    <rPh sb="0" eb="2">
      <t>シヨウ</t>
    </rPh>
    <rPh sb="2" eb="4">
      <t>アンブン</t>
    </rPh>
    <phoneticPr fontId="18"/>
  </si>
  <si>
    <t>按分合計</t>
    <rPh sb="0" eb="2">
      <t>アンブン</t>
    </rPh>
    <rPh sb="2" eb="4">
      <t>ゴウケイ</t>
    </rPh>
    <phoneticPr fontId="18"/>
  </si>
  <si>
    <t>導入後想定する
燃料使用量</t>
    <rPh sb="0" eb="2">
      <t>ドウニュウ</t>
    </rPh>
    <rPh sb="2" eb="3">
      <t>ゴ</t>
    </rPh>
    <rPh sb="3" eb="5">
      <t>ソウテイ</t>
    </rPh>
    <rPh sb="8" eb="10">
      <t>ネンリョウ</t>
    </rPh>
    <rPh sb="10" eb="13">
      <t>シヨウリョウ</t>
    </rPh>
    <phoneticPr fontId="4"/>
  </si>
  <si>
    <t>必要熱量GJ</t>
    <rPh sb="0" eb="2">
      <t>ヒツヨウ</t>
    </rPh>
    <rPh sb="2" eb="4">
      <t>ネツリョウ</t>
    </rPh>
    <phoneticPr fontId="18"/>
  </si>
  <si>
    <t>●既存ボイラ</t>
    <rPh sb="1" eb="3">
      <t>キゾン</t>
    </rPh>
    <phoneticPr fontId="4"/>
  </si>
  <si>
    <t>●導入予定ボイラ</t>
    <rPh sb="1" eb="3">
      <t>ドウニュウ</t>
    </rPh>
    <rPh sb="3" eb="5">
      <t>ヨテイ</t>
    </rPh>
    <phoneticPr fontId="4"/>
  </si>
  <si>
    <r>
      <t xml:space="preserve">《ボイラのエネルギー量算定方法
の選択》  </t>
    </r>
    <r>
      <rPr>
        <sz val="9"/>
        <color theme="1"/>
        <rFont val="ＭＳ Ｐゴシック"/>
        <family val="3"/>
        <charset val="128"/>
        <scheme val="minor"/>
      </rPr>
      <t>（右のどちらかを選択する）</t>
    </r>
    <rPh sb="10" eb="11">
      <t>リョウ</t>
    </rPh>
    <rPh sb="12" eb="14">
      <t>サンテイ</t>
    </rPh>
    <rPh sb="17" eb="19">
      <t>センタク</t>
    </rPh>
    <rPh sb="18" eb="20">
      <t>センタク</t>
    </rPh>
    <rPh sb="24" eb="25">
      <t>ミギ</t>
    </rPh>
    <rPh sb="31" eb="33">
      <t>センタク</t>
    </rPh>
    <phoneticPr fontId="4"/>
  </si>
  <si>
    <t>名称・型式等</t>
    <rPh sb="0" eb="2">
      <t>メイショウ</t>
    </rPh>
    <rPh sb="3" eb="5">
      <t>カタシキ</t>
    </rPh>
    <rPh sb="5" eb="6">
      <t>トウ</t>
    </rPh>
    <phoneticPr fontId="18"/>
  </si>
  <si>
    <t>燃料消費量</t>
    <rPh sb="0" eb="2">
      <t>ネンリョウ</t>
    </rPh>
    <rPh sb="2" eb="5">
      <t>ショウヒリョウ</t>
    </rPh>
    <phoneticPr fontId="18"/>
  </si>
  <si>
    <t>年間稼働時間(h/年）</t>
    <rPh sb="0" eb="2">
      <t>ネンカン</t>
    </rPh>
    <rPh sb="2" eb="4">
      <t>カドウ</t>
    </rPh>
    <rPh sb="4" eb="6">
      <t>ジカン</t>
    </rPh>
    <rPh sb="9" eb="10">
      <t>ネン</t>
    </rPh>
    <phoneticPr fontId="18"/>
  </si>
  <si>
    <t>単位</t>
    <rPh sb="0" eb="2">
      <t>タンイ</t>
    </rPh>
    <phoneticPr fontId="18"/>
  </si>
  <si>
    <t>更新対象のボイラの稼働状況、性能を記載します。（最大８台まで記載可能）</t>
    <rPh sb="0" eb="2">
      <t>コウシン</t>
    </rPh>
    <rPh sb="2" eb="4">
      <t>タイショウ</t>
    </rPh>
    <rPh sb="9" eb="11">
      <t>カドウ</t>
    </rPh>
    <rPh sb="11" eb="13">
      <t>ジョウキョウ</t>
    </rPh>
    <rPh sb="14" eb="16">
      <t>セイノウ</t>
    </rPh>
    <rPh sb="17" eb="19">
      <t>キサイ</t>
    </rPh>
    <rPh sb="24" eb="26">
      <t>サイダイ</t>
    </rPh>
    <rPh sb="27" eb="28">
      <t>ダイ</t>
    </rPh>
    <rPh sb="30" eb="32">
      <t>キサイ</t>
    </rPh>
    <rPh sb="32" eb="34">
      <t>カノウ</t>
    </rPh>
    <phoneticPr fontId="18"/>
  </si>
  <si>
    <t>（１）既存ボイラの稼働の情報</t>
    <rPh sb="3" eb="5">
      <t>キゾン</t>
    </rPh>
    <rPh sb="9" eb="11">
      <t>カドウ</t>
    </rPh>
    <rPh sb="12" eb="14">
      <t>ジョウホウ</t>
    </rPh>
    <phoneticPr fontId="18"/>
  </si>
  <si>
    <t>（２）エネルギー使用状況</t>
    <rPh sb="8" eb="10">
      <t>シヨウ</t>
    </rPh>
    <rPh sb="10" eb="12">
      <t>ジョウキョウ</t>
    </rPh>
    <phoneticPr fontId="18"/>
  </si>
  <si>
    <t>（"その他"の場合の説明：　     　　　　　　　　　　　　　　　　）</t>
    <rPh sb="4" eb="5">
      <t>タ</t>
    </rPh>
    <rPh sb="7" eb="9">
      <t>バアイ</t>
    </rPh>
    <rPh sb="10" eb="12">
      <t>セツメイ</t>
    </rPh>
    <phoneticPr fontId="4"/>
  </si>
  <si>
    <t>＊燃料転換だけの場合は、現行ボイラの効率を記入する。</t>
    <rPh sb="1" eb="3">
      <t>ネンリョウ</t>
    </rPh>
    <rPh sb="3" eb="5">
      <t>テンカン</t>
    </rPh>
    <rPh sb="8" eb="10">
      <t>バアイ</t>
    </rPh>
    <rPh sb="12" eb="14">
      <t>ゲンコウ</t>
    </rPh>
    <rPh sb="18" eb="20">
      <t>コウリツ</t>
    </rPh>
    <rPh sb="21" eb="23">
      <t>キニュウ</t>
    </rPh>
    <phoneticPr fontId="4"/>
  </si>
  <si>
    <t>按分値は合計を １ にすること！</t>
    <rPh sb="0" eb="2">
      <t>アンブン</t>
    </rPh>
    <rPh sb="2" eb="3">
      <t>チ</t>
    </rPh>
    <rPh sb="4" eb="6">
      <t>ゴウケイ</t>
    </rPh>
    <phoneticPr fontId="18"/>
  </si>
  <si>
    <t xml:space="preserve">ボイラCO₂排出量算定用 </t>
    <rPh sb="6" eb="8">
      <t>ハイシュツ</t>
    </rPh>
    <rPh sb="8" eb="9">
      <t>リョウ</t>
    </rPh>
    <rPh sb="9" eb="11">
      <t>サンテイ</t>
    </rPh>
    <phoneticPr fontId="18"/>
  </si>
  <si>
    <t>＊導入後の燃料使用量は、必要事項を記入すると自動計算されます。</t>
    <rPh sb="1" eb="3">
      <t>ドウニュウ</t>
    </rPh>
    <rPh sb="3" eb="4">
      <t>ゴ</t>
    </rPh>
    <rPh sb="5" eb="7">
      <t>ネンリョウ</t>
    </rPh>
    <rPh sb="7" eb="10">
      <t>シヨウリョウ</t>
    </rPh>
    <rPh sb="12" eb="14">
      <t>ヒツヨウ</t>
    </rPh>
    <rPh sb="14" eb="16">
      <t>ジコウ</t>
    </rPh>
    <rPh sb="17" eb="19">
      <t>キニュウ</t>
    </rPh>
    <rPh sb="22" eb="24">
      <t>ジドウ</t>
    </rPh>
    <rPh sb="24" eb="26">
      <t>ケイサン</t>
    </rPh>
    <phoneticPr fontId="4"/>
  </si>
  <si>
    <t>店舗</t>
    <rPh sb="0" eb="2">
      <t>テンポ</t>
    </rPh>
    <phoneticPr fontId="20"/>
  </si>
  <si>
    <t>事務所</t>
    <rPh sb="0" eb="2">
      <t>ジム</t>
    </rPh>
    <rPh sb="2" eb="3">
      <t>ショ</t>
    </rPh>
    <phoneticPr fontId="20"/>
  </si>
  <si>
    <t>冷房</t>
    <rPh sb="0" eb="2">
      <t>レイボウ</t>
    </rPh>
    <phoneticPr fontId="4"/>
  </si>
  <si>
    <t>冷房</t>
    <rPh sb="0" eb="2">
      <t>レイボウ</t>
    </rPh>
    <phoneticPr fontId="20"/>
  </si>
  <si>
    <t>暖房</t>
    <rPh sb="0" eb="2">
      <t>ダンボウ</t>
    </rPh>
    <phoneticPr fontId="4"/>
  </si>
  <si>
    <t>暖房</t>
    <rPh sb="0" eb="2">
      <t>ダンボウ</t>
    </rPh>
    <phoneticPr fontId="20"/>
  </si>
  <si>
    <t>県北</t>
    <rPh sb="0" eb="2">
      <t>ケンホク</t>
    </rPh>
    <phoneticPr fontId="20"/>
  </si>
  <si>
    <t>県南</t>
    <rPh sb="0" eb="1">
      <t>ケン</t>
    </rPh>
    <rPh sb="1" eb="2">
      <t>ナン</t>
    </rPh>
    <phoneticPr fontId="20"/>
  </si>
  <si>
    <t>4月</t>
    <rPh sb="1" eb="2">
      <t>ガツ</t>
    </rPh>
    <phoneticPr fontId="20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</si>
  <si>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</si>
  <si>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</si>
  <si>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</si>
  <si>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</si>
  <si>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</si>
  <si>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</si>
  <si>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</si>
  <si>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</si>
  <si>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</si>
  <si>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</si>
  <si>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</si>
  <si>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負荷発生</t>
    <rPh sb="0" eb="2">
      <t>フカ</t>
    </rPh>
    <rPh sb="2" eb="4">
      <t>ハッセイ</t>
    </rPh>
    <phoneticPr fontId="20"/>
  </si>
  <si>
    <t>ＪＩＳＢ8616</t>
    <phoneticPr fontId="20"/>
  </si>
  <si>
    <t>稼働割合</t>
    <rPh sb="0" eb="2">
      <t>カドウ</t>
    </rPh>
    <rPh sb="2" eb="4">
      <t>ワリアイ</t>
    </rPh>
    <phoneticPr fontId="20"/>
  </si>
  <si>
    <t>県南・県北負荷率平均</t>
    <rPh sb="0" eb="2">
      <t>ケンナン</t>
    </rPh>
    <rPh sb="3" eb="5">
      <t>ケンホク</t>
    </rPh>
    <rPh sb="5" eb="7">
      <t>フカ</t>
    </rPh>
    <rPh sb="7" eb="8">
      <t>リツ</t>
    </rPh>
    <rPh sb="8" eb="10">
      <t>ヘイキン</t>
    </rPh>
    <phoneticPr fontId="18"/>
  </si>
  <si>
    <t>県南・県北稼働割合平均</t>
    <rPh sb="0" eb="2">
      <t>ケンナン</t>
    </rPh>
    <rPh sb="3" eb="5">
      <t>ケンホク</t>
    </rPh>
    <rPh sb="5" eb="7">
      <t>カドウ</t>
    </rPh>
    <rPh sb="7" eb="9">
      <t>ワリアイ</t>
    </rPh>
    <rPh sb="9" eb="11">
      <t>ヘイキン</t>
    </rPh>
    <phoneticPr fontId="18"/>
  </si>
  <si>
    <t>負荷率×稼働率</t>
    <rPh sb="0" eb="2">
      <t>フカ</t>
    </rPh>
    <rPh sb="2" eb="3">
      <t>リツ</t>
    </rPh>
    <rPh sb="4" eb="6">
      <t>カドウ</t>
    </rPh>
    <rPh sb="6" eb="7">
      <t>リツ</t>
    </rPh>
    <phoneticPr fontId="18"/>
  </si>
  <si>
    <t>店舗・事務所負荷平均</t>
    <rPh sb="0" eb="2">
      <t>テンポ</t>
    </rPh>
    <rPh sb="3" eb="5">
      <t>ジム</t>
    </rPh>
    <rPh sb="5" eb="6">
      <t>ショ</t>
    </rPh>
    <rPh sb="6" eb="8">
      <t>フカ</t>
    </rPh>
    <rPh sb="8" eb="10">
      <t>ヘイキン</t>
    </rPh>
    <phoneticPr fontId="18"/>
  </si>
  <si>
    <t>年平均</t>
    <rPh sb="0" eb="3">
      <t>ネンヘイキン</t>
    </rPh>
    <phoneticPr fontId="18"/>
  </si>
  <si>
    <t>年平均</t>
    <rPh sb="0" eb="1">
      <t>ネン</t>
    </rPh>
    <rPh sb="1" eb="3">
      <t>ヘイキン</t>
    </rPh>
    <phoneticPr fontId="18"/>
  </si>
  <si>
    <t>最大値</t>
    <rPh sb="0" eb="2">
      <t>サイダイ</t>
    </rPh>
    <rPh sb="2" eb="3">
      <t>チ</t>
    </rPh>
    <phoneticPr fontId="18"/>
  </si>
  <si>
    <t>店舗・事務所負荷率平均</t>
    <rPh sb="0" eb="2">
      <t>テンポ</t>
    </rPh>
    <rPh sb="3" eb="5">
      <t>ジム</t>
    </rPh>
    <rPh sb="5" eb="6">
      <t>ショ</t>
    </rPh>
    <rPh sb="6" eb="8">
      <t>フカ</t>
    </rPh>
    <rPh sb="8" eb="9">
      <t>リツ</t>
    </rPh>
    <rPh sb="9" eb="11">
      <t>ヘイキン</t>
    </rPh>
    <phoneticPr fontId="18"/>
  </si>
  <si>
    <t>平均</t>
    <rPh sb="0" eb="2">
      <t>ヘイキン</t>
    </rPh>
    <phoneticPr fontId="18"/>
  </si>
  <si>
    <t>引用値</t>
    <rPh sb="0" eb="2">
      <t>インヨウ</t>
    </rPh>
    <rPh sb="2" eb="3">
      <t>チ</t>
    </rPh>
    <phoneticPr fontId="18"/>
  </si>
  <si>
    <t>4月</t>
    <rPh sb="1" eb="2">
      <t>ガツ</t>
    </rPh>
    <phoneticPr fontId="18"/>
  </si>
  <si>
    <t>負荷×稼働率</t>
    <rPh sb="0" eb="2">
      <t>フカ</t>
    </rPh>
    <rPh sb="3" eb="5">
      <t>カドウ</t>
    </rPh>
    <rPh sb="5" eb="6">
      <t>リツ</t>
    </rPh>
    <phoneticPr fontId="18"/>
  </si>
  <si>
    <t>採用値１</t>
    <rPh sb="0" eb="2">
      <t>サイヨウ</t>
    </rPh>
    <rPh sb="2" eb="3">
      <t>チ</t>
    </rPh>
    <phoneticPr fontId="18"/>
  </si>
  <si>
    <t>採用値２</t>
    <rPh sb="0" eb="2">
      <t>サイヨウ</t>
    </rPh>
    <rPh sb="2" eb="3">
      <t>チ</t>
    </rPh>
    <phoneticPr fontId="18"/>
  </si>
  <si>
    <t>ＪＩＳＢ8616より</t>
    <phoneticPr fontId="18"/>
  </si>
  <si>
    <t>年式</t>
    <rPh sb="0" eb="2">
      <t>ネンシキ</t>
    </rPh>
    <phoneticPr fontId="4"/>
  </si>
  <si>
    <t>種別</t>
    <rPh sb="0" eb="2">
      <t>シュベツ</t>
    </rPh>
    <phoneticPr fontId="4"/>
  </si>
  <si>
    <t>選択対象地域</t>
    <rPh sb="0" eb="2">
      <t>センタク</t>
    </rPh>
    <rPh sb="2" eb="4">
      <t>タイショウ</t>
    </rPh>
    <rPh sb="4" eb="6">
      <t>チイキ</t>
    </rPh>
    <phoneticPr fontId="4"/>
  </si>
  <si>
    <t>列数</t>
    <rPh sb="0" eb="2">
      <t>レツスウ</t>
    </rPh>
    <phoneticPr fontId="4"/>
  </si>
  <si>
    <t>対象負荷列</t>
    <rPh sb="0" eb="2">
      <t>タイショウ</t>
    </rPh>
    <rPh sb="2" eb="4">
      <t>フカ</t>
    </rPh>
    <rPh sb="4" eb="5">
      <t>レツ</t>
    </rPh>
    <phoneticPr fontId="4"/>
  </si>
  <si>
    <t>平均COP計数表ａ</t>
    <rPh sb="0" eb="2">
      <t>ヘイキン</t>
    </rPh>
    <rPh sb="5" eb="7">
      <t>ケイスウ</t>
    </rPh>
    <rPh sb="7" eb="8">
      <t>ピョウ</t>
    </rPh>
    <phoneticPr fontId="20"/>
  </si>
  <si>
    <t>平均COP計数表ｂ</t>
    <rPh sb="0" eb="2">
      <t>ヘイキン</t>
    </rPh>
    <rPh sb="5" eb="7">
      <t>ケイスウ</t>
    </rPh>
    <rPh sb="7" eb="8">
      <t>ピョウ</t>
    </rPh>
    <phoneticPr fontId="20"/>
  </si>
  <si>
    <t>ＩＮＶ</t>
    <phoneticPr fontId="20"/>
  </si>
  <si>
    <t>一定速</t>
    <rPh sb="0" eb="2">
      <t>イッテイ</t>
    </rPh>
    <rPh sb="2" eb="3">
      <t>ソク</t>
    </rPh>
    <phoneticPr fontId="20"/>
  </si>
  <si>
    <t>店舗用</t>
    <rPh sb="0" eb="2">
      <t>テンポ</t>
    </rPh>
    <rPh sb="2" eb="3">
      <t>ヨウ</t>
    </rPh>
    <phoneticPr fontId="20"/>
  </si>
  <si>
    <t>設備用</t>
    <rPh sb="0" eb="2">
      <t>セツビ</t>
    </rPh>
    <rPh sb="2" eb="3">
      <t>ヨウ</t>
    </rPh>
    <phoneticPr fontId="20"/>
  </si>
  <si>
    <t>25%未満</t>
    <rPh sb="3" eb="5">
      <t>ミマン</t>
    </rPh>
    <phoneticPr fontId="20"/>
  </si>
  <si>
    <t>25%以上</t>
    <rPh sb="3" eb="5">
      <t>イジョウ</t>
    </rPh>
    <phoneticPr fontId="20"/>
  </si>
  <si>
    <t>a 冷房</t>
    <rPh sb="2" eb="4">
      <t>レイボウ</t>
    </rPh>
    <phoneticPr fontId="20"/>
  </si>
  <si>
    <t>a 暖房</t>
    <rPh sb="2" eb="3">
      <t>ダン</t>
    </rPh>
    <phoneticPr fontId="20"/>
  </si>
  <si>
    <t>b　冷房</t>
    <rPh sb="2" eb="4">
      <t>レイボウ</t>
    </rPh>
    <phoneticPr fontId="20"/>
  </si>
  <si>
    <t>ｂ　暖房</t>
    <rPh sb="2" eb="4">
      <t>ダンボウ</t>
    </rPh>
    <phoneticPr fontId="20"/>
  </si>
  <si>
    <t>y = a x + b</t>
    <phoneticPr fontId="18"/>
  </si>
  <si>
    <t>INV</t>
  </si>
  <si>
    <t>INV</t>
    <phoneticPr fontId="18"/>
  </si>
  <si>
    <t>一定速</t>
    <rPh sb="0" eb="2">
      <t>イッテイ</t>
    </rPh>
    <rPh sb="2" eb="3">
      <t>ソク</t>
    </rPh>
    <phoneticPr fontId="18"/>
  </si>
  <si>
    <t>y = a x + b　店舗・事務所平均</t>
    <rPh sb="12" eb="14">
      <t>テンポ</t>
    </rPh>
    <rPh sb="15" eb="17">
      <t>ジム</t>
    </rPh>
    <rPh sb="17" eb="18">
      <t>ショ</t>
    </rPh>
    <rPh sb="18" eb="20">
      <t>ヘイキン</t>
    </rPh>
    <phoneticPr fontId="18"/>
  </si>
  <si>
    <t>平均COP計数表b</t>
    <rPh sb="0" eb="2">
      <t>ヘイキン</t>
    </rPh>
    <rPh sb="5" eb="7">
      <t>ケイスウ</t>
    </rPh>
    <rPh sb="7" eb="8">
      <t>ピョウ</t>
    </rPh>
    <phoneticPr fontId="20"/>
  </si>
  <si>
    <t>COP補正</t>
    <rPh sb="3" eb="5">
      <t>ホセイ</t>
    </rPh>
    <phoneticPr fontId="18"/>
  </si>
  <si>
    <t>1995年以前</t>
    <rPh sb="4" eb="5">
      <t>ネン</t>
    </rPh>
    <rPh sb="5" eb="7">
      <t>イゼン</t>
    </rPh>
    <phoneticPr fontId="18"/>
  </si>
  <si>
    <t>取得値</t>
    <rPh sb="0" eb="2">
      <t>シュトク</t>
    </rPh>
    <rPh sb="2" eb="3">
      <t>トクネ</t>
    </rPh>
    <phoneticPr fontId="18"/>
  </si>
  <si>
    <t>冷房</t>
    <rPh sb="0" eb="2">
      <t>レイボウ</t>
    </rPh>
    <phoneticPr fontId="18"/>
  </si>
  <si>
    <t>暖房</t>
    <rPh sb="0" eb="2">
      <t>ダンボウ</t>
    </rPh>
    <phoneticPr fontId="18"/>
  </si>
  <si>
    <t>冷暖房平均</t>
    <rPh sb="0" eb="3">
      <t>レイダンボウ</t>
    </rPh>
    <rPh sb="3" eb="5">
      <t>ヘイキン</t>
    </rPh>
    <phoneticPr fontId="18"/>
  </si>
  <si>
    <t>下の欄に他様式で計算したCO₂排出量を記入する。↓</t>
  </si>
  <si>
    <t>計算に使用した書類の添付が必要です。</t>
    <rPh sb="0" eb="2">
      <t>ケイサン</t>
    </rPh>
    <rPh sb="3" eb="5">
      <t>シヨウ</t>
    </rPh>
    <rPh sb="7" eb="9">
      <t>ショルイ</t>
    </rPh>
    <rPh sb="10" eb="12">
      <t>テンプ</t>
    </rPh>
    <rPh sb="13" eb="15">
      <t>ヒツヨウ</t>
    </rPh>
    <phoneticPr fontId="18"/>
  </si>
  <si>
    <t>（単位　円）</t>
    <rPh sb="1" eb="3">
      <t>タンイ</t>
    </rPh>
    <rPh sb="4" eb="5">
      <t>エン</t>
    </rPh>
    <phoneticPr fontId="4"/>
  </si>
  <si>
    <t>機器費</t>
    <rPh sb="0" eb="2">
      <t>キキ</t>
    </rPh>
    <rPh sb="2" eb="3">
      <t>ヒ</t>
    </rPh>
    <phoneticPr fontId="4"/>
  </si>
  <si>
    <t>工事費</t>
    <rPh sb="0" eb="3">
      <t>コウジヒ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</si>
  <si>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</si>
  <si>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</si>
  <si>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既存設備撤去費</t>
    <rPh sb="0" eb="2">
      <t>キソン</t>
    </rPh>
    <rPh sb="2" eb="4">
      <t>セツビ</t>
    </rPh>
    <rPh sb="4" eb="6">
      <t>テッキョ</t>
    </rPh>
    <rPh sb="6" eb="7">
      <t>ヒ</t>
    </rPh>
    <phoneticPr fontId="4"/>
  </si>
  <si>
    <t>既存設備にかかる処分費</t>
    <rPh sb="0" eb="2">
      <t>キソン</t>
    </rPh>
    <rPh sb="2" eb="4">
      <t>セツビ</t>
    </rPh>
    <rPh sb="8" eb="10">
      <t>ショブン</t>
    </rPh>
    <rPh sb="10" eb="11">
      <t>ヒ</t>
    </rPh>
    <phoneticPr fontId="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</si>
  <si>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4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</si>
  <si>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4"/>
  </si>
  <si>
    <t>（注）</t>
    <rPh sb="1" eb="2">
      <t>チュウ</t>
    </rPh>
    <phoneticPr fontId="4"/>
  </si>
  <si>
    <t>(補助対象経費)</t>
    <rPh sb="1" eb="3">
      <t>ホジョ</t>
    </rPh>
    <rPh sb="3" eb="5">
      <t>タイショウ</t>
    </rPh>
    <rPh sb="5" eb="7">
      <t>ケイヒ</t>
    </rPh>
    <phoneticPr fontId="4"/>
  </si>
  <si>
    <t>補助率</t>
    <rPh sb="0" eb="3">
      <t>ホジョリツ</t>
    </rPh>
    <phoneticPr fontId="4"/>
  </si>
  <si>
    <t>算出結果</t>
    <rPh sb="0" eb="2">
      <t>サンシュツ</t>
    </rPh>
    <rPh sb="2" eb="4">
      <t>ケッカ</t>
    </rPh>
    <phoneticPr fontId="4"/>
  </si>
  <si>
    <t>×</t>
    <phoneticPr fontId="4"/>
  </si>
  <si>
    <t>※１万円未満切り捨て</t>
    <phoneticPr fontId="4"/>
  </si>
  <si>
    <t>対象設備の財産処分制限期間</t>
    <rPh sb="0" eb="2">
      <t>タイショウ</t>
    </rPh>
    <rPh sb="2" eb="4">
      <t>セツビ</t>
    </rPh>
    <rPh sb="5" eb="7">
      <t>ザイサン</t>
    </rPh>
    <rPh sb="7" eb="9">
      <t>ショブン</t>
    </rPh>
    <rPh sb="9" eb="11">
      <t>セイゲン</t>
    </rPh>
    <rPh sb="11" eb="13">
      <t>キカン</t>
    </rPh>
    <phoneticPr fontId="4"/>
  </si>
  <si>
    <r>
      <t>t-CO2
/</t>
    </r>
    <r>
      <rPr>
        <sz val="6"/>
        <color theme="1"/>
        <rFont val="ＭＳ Ｐゴシック"/>
        <family val="3"/>
        <charset val="128"/>
        <scheme val="minor"/>
      </rPr>
      <t>財産処分制限期間</t>
    </r>
    <rPh sb="7" eb="9">
      <t>ザイサン</t>
    </rPh>
    <rPh sb="9" eb="11">
      <t>ショブン</t>
    </rPh>
    <rPh sb="11" eb="13">
      <t>セイゲン</t>
    </rPh>
    <rPh sb="13" eb="15">
      <t>キカン</t>
    </rPh>
    <phoneticPr fontId="4"/>
  </si>
  <si>
    <r>
      <t>財産処分制限期間</t>
    </r>
    <r>
      <rPr>
        <b/>
        <sz val="6"/>
        <color theme="1"/>
        <rFont val="ＭＳ Ｐゴシック"/>
        <family val="3"/>
        <charset val="128"/>
        <scheme val="minor"/>
      </rPr>
      <t>※</t>
    </r>
    <rPh sb="0" eb="2">
      <t>ザイサン</t>
    </rPh>
    <rPh sb="2" eb="4">
      <t>ショブン</t>
    </rPh>
    <rPh sb="4" eb="6">
      <t>セイゲン</t>
    </rPh>
    <rPh sb="6" eb="8">
      <t>キカン</t>
    </rPh>
    <phoneticPr fontId="18"/>
  </si>
  <si>
    <t>※</t>
    <phoneticPr fontId="18"/>
  </si>
  <si>
    <t>財産処分制限期間＝10年（法定耐用年数が10年未満の場合はその法定耐用年数）</t>
  </si>
  <si>
    <t>財産処分制限期間相当</t>
    <rPh sb="0" eb="2">
      <t>ザイサン</t>
    </rPh>
    <rPh sb="2" eb="4">
      <t>ショブン</t>
    </rPh>
    <rPh sb="4" eb="6">
      <t>セイゲン</t>
    </rPh>
    <rPh sb="6" eb="8">
      <t>キカン</t>
    </rPh>
    <rPh sb="8" eb="10">
      <t>ソウトウ</t>
    </rPh>
    <phoneticPr fontId="4"/>
  </si>
  <si>
    <t>小　計</t>
    <rPh sb="0" eb="1">
      <t>ショウ</t>
    </rPh>
    <rPh sb="2" eb="3">
      <t>ケイ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</si>
  <si>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</si>
  <si>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〇見積書の内訳に「〇」「×」を記入するなど、対象・対象外の区分が分かるようにしてください。</t>
    <rPh sb="1" eb="4">
      <t>ミツモリショ</t>
    </rPh>
    <rPh sb="5" eb="7">
      <t>ウチワケ</t>
    </rPh>
    <rPh sb="15" eb="17">
      <t>キニュウ</t>
    </rPh>
    <rPh sb="22" eb="24">
      <t>タイショウ</t>
    </rPh>
    <rPh sb="25" eb="28">
      <t>タイショウガイ</t>
    </rPh>
    <rPh sb="29" eb="31">
      <t>クブン</t>
    </rPh>
    <rPh sb="32" eb="33">
      <t>ワ</t>
    </rPh>
    <phoneticPr fontId="5"/>
  </si>
  <si>
    <t>いずれか低い額</t>
    <rPh sb="4" eb="5">
      <t>ヒク</t>
    </rPh>
    <rPh sb="6" eb="7">
      <t>ガク</t>
    </rPh>
    <phoneticPr fontId="5"/>
  </si>
  <si>
    <t>諸経費（共通仮設費、一般管理費等）</t>
    <rPh sb="0" eb="1">
      <t>ショ</t>
    </rPh>
    <rPh sb="1" eb="3">
      <t>ケイヒ</t>
    </rPh>
    <rPh sb="4" eb="6">
      <t>キョウツウ</t>
    </rPh>
    <rPh sb="6" eb="8">
      <t>カセツ</t>
    </rPh>
    <rPh sb="8" eb="9">
      <t>ヒ</t>
    </rPh>
    <rPh sb="10" eb="12">
      <t>イッパン</t>
    </rPh>
    <rPh sb="12" eb="15">
      <t>カンリヒ</t>
    </rPh>
    <rPh sb="15" eb="16">
      <t>トウ</t>
    </rPh>
    <phoneticPr fontId="4"/>
  </si>
  <si>
    <t>（１）補助対象経費</t>
    <rPh sb="3" eb="5">
      <t>ホジョ</t>
    </rPh>
    <rPh sb="5" eb="7">
      <t>タイショウ</t>
    </rPh>
    <rPh sb="7" eb="9">
      <t>ケイヒ</t>
    </rPh>
    <phoneticPr fontId="5"/>
  </si>
  <si>
    <t>（２）補助対象外経費</t>
    <rPh sb="3" eb="5">
      <t>ホジョ</t>
    </rPh>
    <rPh sb="5" eb="7">
      <t>タイショウ</t>
    </rPh>
    <rPh sb="7" eb="8">
      <t>ガイ</t>
    </rPh>
    <rPh sb="8" eb="10">
      <t>ケイヒ</t>
    </rPh>
    <phoneticPr fontId="5"/>
  </si>
  <si>
    <t>その他（申請手数料、太陽光発電の電力申請費）</t>
    <rPh sb="2" eb="3">
      <t>タ</t>
    </rPh>
    <rPh sb="4" eb="6">
      <t>シンセイ</t>
    </rPh>
    <rPh sb="6" eb="9">
      <t>テスウリョウ</t>
    </rPh>
    <rPh sb="10" eb="13">
      <t>タイヨウコウ</t>
    </rPh>
    <rPh sb="13" eb="15">
      <t>ハツデン</t>
    </rPh>
    <rPh sb="16" eb="18">
      <t>デンリョク</t>
    </rPh>
    <rPh sb="18" eb="20">
      <t>シンセイ</t>
    </rPh>
    <rPh sb="20" eb="21">
      <t>ヒ</t>
    </rPh>
    <phoneticPr fontId="5"/>
  </si>
  <si>
    <t>〇書ききれない場合は、一式として、見積もりで分かるようにしてください。</t>
    <rPh sb="22" eb="23">
      <t>ワ</t>
    </rPh>
    <phoneticPr fontId="5"/>
  </si>
  <si>
    <r>
      <t>〇「出精値引き」「端数値引き」など、内訳が明確でない値引きについては、</t>
    </r>
    <r>
      <rPr>
        <b/>
        <u/>
        <sz val="10"/>
        <color theme="1"/>
        <rFont val="游ゴシック"/>
        <family val="3"/>
        <charset val="128"/>
      </rPr>
      <t>すべて対象経費から差し引く</t>
    </r>
    <r>
      <rPr>
        <u/>
        <sz val="10"/>
        <color theme="1"/>
        <rFont val="游ゴシック"/>
        <family val="3"/>
        <charset val="128"/>
      </rPr>
      <t>こと。</t>
    </r>
    <rPh sb="2" eb="6">
      <t>シュッセイネビ</t>
    </rPh>
    <rPh sb="9" eb="11">
      <t>ハスウ</t>
    </rPh>
    <rPh sb="11" eb="13">
      <t>ネビ</t>
    </rPh>
    <rPh sb="18" eb="20">
      <t>ウチワケ</t>
    </rPh>
    <rPh sb="21" eb="23">
      <t>メイカク</t>
    </rPh>
    <rPh sb="26" eb="28">
      <t>ネビ</t>
    </rPh>
    <rPh sb="38" eb="40">
      <t>タイショウ</t>
    </rPh>
    <rPh sb="40" eb="42">
      <t>ケイヒ</t>
    </rPh>
    <rPh sb="44" eb="45">
      <t>サ</t>
    </rPh>
    <rPh sb="46" eb="47">
      <t>ヒ</t>
    </rPh>
    <phoneticPr fontId="5"/>
  </si>
  <si>
    <t>交付決定額</t>
    <rPh sb="0" eb="5">
      <t>コウフケッテイガク</t>
    </rPh>
    <phoneticPr fontId="4"/>
  </si>
  <si>
    <t>〇変更後の見積書をもとに記載してください（変更前との差額ではありません）。</t>
    <rPh sb="1" eb="4">
      <t>ヘンコウゴ</t>
    </rPh>
    <rPh sb="5" eb="8">
      <t>ミツモリショ</t>
    </rPh>
    <rPh sb="12" eb="14">
      <t>キサイ</t>
    </rPh>
    <rPh sb="21" eb="24">
      <t>ヘンコウマエ</t>
    </rPh>
    <rPh sb="26" eb="28">
      <t>サガク</t>
    </rPh>
    <phoneticPr fontId="5"/>
  </si>
  <si>
    <t>変更後の事業費内訳</t>
    <rPh sb="0" eb="3">
      <t>ヘンコウゴ</t>
    </rPh>
    <rPh sb="4" eb="7">
      <t>ジギョウヒ</t>
    </rPh>
    <rPh sb="7" eb="9">
      <t>ウチワケ</t>
    </rPh>
    <phoneticPr fontId="4"/>
  </si>
  <si>
    <t>補助金申請可能額の算出</t>
    <rPh sb="0" eb="3">
      <t>ホジョキン</t>
    </rPh>
    <rPh sb="3" eb="5">
      <t>シンセイ</t>
    </rPh>
    <rPh sb="5" eb="7">
      <t>カノウ</t>
    </rPh>
    <rPh sb="7" eb="8">
      <t>ガク</t>
    </rPh>
    <rPh sb="9" eb="11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</si>
</sst>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_ "/>
    <numFmt numFmtId="178" formatCode="0.0000_ "/>
    <numFmt numFmtId="179" formatCode="#,##0.00_);[Red]\(#,##0.00\)"/>
    <numFmt numFmtId="180" formatCode="0.0"/>
    <numFmt numFmtId="181" formatCode="0.0%"/>
    <numFmt numFmtId="182" formatCode="0.000"/>
    <numFmt numFmtId="183" formatCode="0.0000"/>
    <numFmt numFmtId="184" formatCode="#,##0;&quot;△ &quot;#,##0"/>
  </numFmts>
  <fonts count="3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color theme="1"/>
      <name val="ＭＳ Ｐゴシック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11" fillId="0" borderId="1" xfId="0" applyFont="1" applyBorder="1" applyAlignment="1" applyProtection="1">
      <alignment horizontal="left" vertical="center"/>
      <protection hidden="1"/>
    </xf>
    <xf numFmtId="0" fontId="11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alignment vertical="center"/>
      <protection hidden="1"/>
    </xf>
    <xf numFmtId="0" fontId="11" fillId="0" borderId="6" xfId="0" applyFont="1" applyBorder="1" applyAlignment="1" applyProtection="1">
      <alignment horizontal="left" vertical="center"/>
      <protection hidden="1"/>
    </xf>
    <xf numFmtId="0" fontId="11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177" fontId="13" fillId="0" borderId="0" xfId="0" applyNumberFormat="1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0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0" xfId="0" applyFont="1" applyProtection="1">
      <alignment vertical="center"/>
      <protection hidden="1"/>
    </xf>
    <xf numFmtId="0" fontId="11" fillId="0" borderId="8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alignment vertical="center"/>
      <protection hidden="1"/>
    </xf>
    <xf numFmtId="0" fontId="15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178" fontId="11" fillId="0" borderId="0" xfId="0" applyNumberFormat="1" applyFont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11" fillId="0" borderId="1" xfId="0" applyFont="1" applyBorder="1" applyProtection="1">
      <alignment vertical="center"/>
      <protection hidden="1"/>
    </xf>
    <xf numFmtId="0" fontId="0" fillId="0" borderId="64" xfId="0" applyBorder="1" applyProtection="1">
      <alignment vertical="center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24" fillId="0" borderId="3" xfId="0" applyFont="1" applyBorder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 shrinkToFit="1"/>
      <protection hidden="1"/>
    </xf>
    <xf numFmtId="0" fontId="11" fillId="0" borderId="9" xfId="0" applyFont="1" applyBorder="1" applyAlignment="1" applyProtection="1">
      <alignment horizontal="left" vertical="center"/>
      <protection hidden="1"/>
    </xf>
    <xf numFmtId="49" fontId="11" fillId="0" borderId="0" xfId="0" applyNumberFormat="1" applyFont="1" applyAlignment="1" applyProtection="1">
      <alignment horizontal="left" vertical="center"/>
      <protection hidden="1"/>
    </xf>
    <xf numFmtId="179" fontId="11" fillId="0" borderId="0" xfId="0" applyNumberFormat="1" applyFont="1" applyAlignment="1" applyProtection="1">
      <alignment horizontal="left" vertical="center"/>
      <protection hidden="1"/>
    </xf>
    <xf numFmtId="0" fontId="0" fillId="0" borderId="7" xfId="0" applyBorder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79" fontId="11" fillId="0" borderId="0" xfId="0" applyNumberFormat="1" applyFont="1" applyProtection="1">
      <alignment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181" fontId="0" fillId="9" borderId="7" xfId="0" applyNumberFormat="1" applyFill="1" applyBorder="1">
      <alignment vertical="center"/>
    </xf>
    <xf numFmtId="181" fontId="0" fillId="5" borderId="7" xfId="1" applyNumberFormat="1" applyFont="1" applyFill="1" applyBorder="1" applyProtection="1">
      <alignment vertical="center"/>
    </xf>
    <xf numFmtId="181" fontId="0" fillId="9" borderId="0" xfId="0" applyNumberFormat="1" applyFill="1">
      <alignment vertical="center"/>
    </xf>
    <xf numFmtId="181" fontId="0" fillId="5" borderId="0" xfId="1" applyNumberFormat="1" applyFont="1" applyFill="1" applyProtection="1">
      <alignment vertical="center"/>
    </xf>
    <xf numFmtId="181" fontId="0" fillId="10" borderId="0" xfId="0" applyNumberFormat="1" applyFill="1">
      <alignment vertical="center"/>
    </xf>
    <xf numFmtId="181" fontId="0" fillId="0" borderId="0" xfId="1" applyNumberFormat="1" applyFont="1">
      <alignment vertical="center"/>
    </xf>
    <xf numFmtId="181" fontId="0" fillId="5" borderId="0" xfId="1" applyNumberFormat="1" applyFont="1" applyFill="1">
      <alignment vertical="center"/>
    </xf>
    <xf numFmtId="181" fontId="0" fillId="9" borderId="0" xfId="1" applyNumberFormat="1" applyFont="1" applyFill="1">
      <alignment vertical="center"/>
    </xf>
    <xf numFmtId="181" fontId="0" fillId="10" borderId="0" xfId="1" applyNumberFormat="1" applyFont="1" applyFill="1">
      <alignment vertical="center"/>
    </xf>
    <xf numFmtId="181" fontId="0" fillId="0" borderId="0" xfId="0" applyNumberFormat="1">
      <alignment vertical="center"/>
    </xf>
    <xf numFmtId="181" fontId="0" fillId="0" borderId="7" xfId="1" applyNumberFormat="1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81" fontId="0" fillId="0" borderId="0" xfId="0" applyNumberFormat="1" applyProtection="1">
      <alignment vertical="center"/>
      <protection hidden="1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2" fontId="0" fillId="0" borderId="7" xfId="0" applyNumberFormat="1" applyBorder="1">
      <alignment vertical="center"/>
    </xf>
    <xf numFmtId="182" fontId="0" fillId="0" borderId="7" xfId="0" applyNumberFormat="1" applyBorder="1">
      <alignment vertical="center"/>
    </xf>
    <xf numFmtId="180" fontId="0" fillId="0" borderId="7" xfId="0" applyNumberFormat="1" applyBorder="1">
      <alignment vertical="center"/>
    </xf>
    <xf numFmtId="183" fontId="0" fillId="0" borderId="7" xfId="0" applyNumberFormat="1" applyBorder="1">
      <alignment vertical="center"/>
    </xf>
    <xf numFmtId="9" fontId="0" fillId="0" borderId="64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29" xfId="0" applyBorder="1">
      <alignment vertical="center"/>
    </xf>
    <xf numFmtId="40" fontId="0" fillId="0" borderId="0" xfId="2" applyNumberFormat="1" applyFont="1" applyBorder="1" applyProtection="1">
      <alignment vertical="center"/>
      <protection hidden="1"/>
    </xf>
    <xf numFmtId="40" fontId="0" fillId="0" borderId="0" xfId="2" applyNumberFormat="1" applyFont="1" applyProtection="1">
      <alignment vertical="center"/>
      <protection hidden="1"/>
    </xf>
    <xf numFmtId="38" fontId="0" fillId="0" borderId="7" xfId="2" applyFont="1" applyBorder="1" applyProtection="1">
      <alignment vertical="center"/>
      <protection hidden="1"/>
    </xf>
    <xf numFmtId="0" fontId="0" fillId="6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182" fontId="0" fillId="11" borderId="7" xfId="0" applyNumberFormat="1" applyFill="1" applyBorder="1">
      <alignment vertical="center"/>
    </xf>
    <xf numFmtId="2" fontId="0" fillId="11" borderId="7" xfId="0" applyNumberFormat="1" applyFill="1" applyBorder="1">
      <alignment vertical="center"/>
    </xf>
    <xf numFmtId="0" fontId="24" fillId="0" borderId="1" xfId="0" applyFont="1" applyBorder="1" applyAlignment="1" applyProtection="1">
      <alignment horizontal="right" vertical="center"/>
      <protection hidden="1"/>
    </xf>
    <xf numFmtId="0" fontId="11" fillId="0" borderId="1" xfId="2" applyNumberFormat="1" applyFont="1" applyBorder="1" applyAlignment="1" applyProtection="1">
      <alignment vertic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0" fontId="28" fillId="0" borderId="0" xfId="0" applyFo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3" fillId="0" borderId="0" xfId="0" applyFont="1" applyProtection="1">
      <alignment vertical="center"/>
      <protection hidden="1"/>
    </xf>
    <xf numFmtId="0" fontId="28" fillId="0" borderId="10" xfId="0" applyFont="1" applyBorder="1" applyProtection="1">
      <alignment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0" xfId="0" applyFont="1" applyProtection="1">
      <alignment vertical="center"/>
      <protection hidden="1"/>
    </xf>
    <xf numFmtId="0" fontId="28" fillId="0" borderId="0" xfId="0" applyFont="1" applyAlignment="1" applyProtection="1">
      <alignment vertical="center" shrinkToFit="1"/>
      <protection hidden="1"/>
    </xf>
    <xf numFmtId="0" fontId="28" fillId="0" borderId="0" xfId="0" applyFont="1">
      <alignment vertical="center"/>
    </xf>
    <xf numFmtId="176" fontId="29" fillId="0" borderId="0" xfId="0" applyNumberFormat="1" applyFont="1" applyAlignment="1" applyProtection="1">
      <alignment horizontal="center" vertical="center"/>
      <protection hidden="1"/>
    </xf>
    <xf numFmtId="12" fontId="29" fillId="0" borderId="0" xfId="0" applyNumberFormat="1" applyFont="1" applyAlignment="1" applyProtection="1">
      <alignment horizontal="center" vertical="center"/>
      <protection hidden="1"/>
    </xf>
    <xf numFmtId="176" fontId="30" fillId="0" borderId="0" xfId="0" applyNumberFormat="1" applyFont="1" applyAlignment="1" applyProtection="1">
      <alignment horizontal="left" vertical="center"/>
      <protection hidden="1"/>
    </xf>
    <xf numFmtId="0" fontId="30" fillId="0" borderId="0" xfId="0" applyFont="1" applyAlignment="1" applyProtection="1">
      <alignment horizontal="left" vertical="center" shrinkToFit="1"/>
      <protection hidden="1"/>
    </xf>
    <xf numFmtId="0" fontId="30" fillId="0" borderId="0" xfId="0" applyFont="1" applyAlignment="1" applyProtection="1">
      <alignment wrapText="1"/>
      <protection hidden="1"/>
    </xf>
    <xf numFmtId="0" fontId="34" fillId="0" borderId="0" xfId="0" applyFont="1" applyAlignment="1" applyProtection="1">
      <alignment horizontal="left" vertical="center" shrinkToFit="1"/>
      <protection hidden="1"/>
    </xf>
    <xf numFmtId="0" fontId="34" fillId="0" borderId="0" xfId="0" applyFont="1" applyAlignment="1" applyProtection="1">
      <alignment horizontal="left" vertical="center" shrinkToFit="1"/>
      <protection hidden="1"/>
    </xf>
    <xf numFmtId="184" fontId="29" fillId="0" borderId="7" xfId="0" applyNumberFormat="1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12" fontId="29" fillId="0" borderId="21" xfId="0" applyNumberFormat="1" applyFont="1" applyBorder="1" applyAlignment="1" applyProtection="1">
      <alignment horizontal="center" vertical="center"/>
      <protection hidden="1"/>
    </xf>
    <xf numFmtId="12" fontId="29" fillId="0" borderId="29" xfId="0" applyNumberFormat="1" applyFont="1" applyBorder="1" applyAlignment="1" applyProtection="1">
      <alignment horizontal="center" vertical="center"/>
      <protection hidden="1"/>
    </xf>
    <xf numFmtId="12" fontId="29" fillId="0" borderId="20" xfId="0" applyNumberFormat="1" applyFont="1" applyBorder="1" applyAlignment="1" applyProtection="1">
      <alignment horizontal="center" vertical="center"/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184" fontId="36" fillId="0" borderId="7" xfId="0" applyNumberFormat="1" applyFont="1" applyBorder="1" applyAlignment="1" applyProtection="1">
      <alignment horizontal="center" vertical="center"/>
      <protection hidden="1"/>
    </xf>
    <xf numFmtId="184" fontId="36" fillId="0" borderId="21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176" fontId="30" fillId="0" borderId="28" xfId="0" applyNumberFormat="1" applyFont="1" applyBorder="1" applyAlignment="1" applyProtection="1">
      <alignment horizontal="right" vertical="center"/>
      <protection locked="0"/>
    </xf>
    <xf numFmtId="176" fontId="30" fillId="3" borderId="14" xfId="0" applyNumberFormat="1" applyFont="1" applyFill="1" applyBorder="1" applyAlignment="1" applyProtection="1">
      <alignment horizontal="center" vertical="center"/>
      <protection hidden="1"/>
    </xf>
    <xf numFmtId="176" fontId="30" fillId="3" borderId="12" xfId="0" applyNumberFormat="1" applyFont="1" applyFill="1" applyBorder="1" applyAlignment="1" applyProtection="1">
      <alignment horizontal="center" vertical="center"/>
      <protection hidden="1"/>
    </xf>
    <xf numFmtId="176" fontId="30" fillId="3" borderId="13" xfId="0" applyNumberFormat="1" applyFont="1" applyFill="1" applyBorder="1" applyAlignment="1" applyProtection="1">
      <alignment horizontal="center" vertical="center"/>
      <protection hidden="1"/>
    </xf>
    <xf numFmtId="176" fontId="30" fillId="0" borderId="15" xfId="0" applyNumberFormat="1" applyFont="1" applyBorder="1" applyAlignment="1" applyProtection="1">
      <alignment horizontal="right" vertical="center"/>
      <protection hidden="1"/>
    </xf>
    <xf numFmtId="176" fontId="30" fillId="0" borderId="42" xfId="0" applyNumberFormat="1" applyFont="1" applyBorder="1" applyAlignment="1" applyProtection="1">
      <alignment horizontal="right" vertical="center"/>
      <protection hidden="1"/>
    </xf>
    <xf numFmtId="176" fontId="30" fillId="0" borderId="21" xfId="0" applyNumberFormat="1" applyFont="1" applyBorder="1" applyAlignment="1" applyProtection="1">
      <alignment horizontal="center" vertical="center"/>
      <protection locked="0"/>
    </xf>
    <xf numFmtId="176" fontId="30" fillId="0" borderId="20" xfId="0" applyNumberFormat="1" applyFont="1" applyBorder="1" applyAlignment="1" applyProtection="1">
      <alignment horizontal="center" vertical="center"/>
      <protection locked="0"/>
    </xf>
    <xf numFmtId="176" fontId="30" fillId="3" borderId="16" xfId="0" applyNumberFormat="1" applyFont="1" applyFill="1" applyBorder="1" applyAlignment="1" applyProtection="1">
      <alignment horizontal="center" vertical="center"/>
      <protection hidden="1"/>
    </xf>
    <xf numFmtId="176" fontId="30" fillId="3" borderId="43" xfId="0" applyNumberFormat="1" applyFont="1" applyFill="1" applyBorder="1" applyAlignment="1" applyProtection="1">
      <alignment horizontal="center" vertical="center"/>
      <protection hidden="1"/>
    </xf>
    <xf numFmtId="176" fontId="30" fillId="3" borderId="17" xfId="0" applyNumberFormat="1" applyFont="1" applyFill="1" applyBorder="1" applyAlignment="1" applyProtection="1">
      <alignment horizontal="center" vertical="center"/>
      <protection hidden="1"/>
    </xf>
    <xf numFmtId="176" fontId="30" fillId="0" borderId="18" xfId="0" applyNumberFormat="1" applyFont="1" applyBorder="1" applyAlignment="1" applyProtection="1">
      <alignment horizontal="right" vertical="center"/>
      <protection hidden="1"/>
    </xf>
    <xf numFmtId="176" fontId="30" fillId="0" borderId="41" xfId="0" applyNumberFormat="1" applyFont="1" applyBorder="1" applyAlignment="1" applyProtection="1">
      <alignment horizontal="right" vertical="center"/>
      <protection hidden="1"/>
    </xf>
    <xf numFmtId="0" fontId="28" fillId="0" borderId="22" xfId="0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 shrinkToFit="1"/>
      <protection hidden="1"/>
    </xf>
    <xf numFmtId="0" fontId="30" fillId="0" borderId="21" xfId="0" applyFont="1" applyBorder="1" applyAlignment="1" applyProtection="1">
      <alignment horizontal="center" vertical="center"/>
      <protection hidden="1"/>
    </xf>
    <xf numFmtId="0" fontId="30" fillId="0" borderId="29" xfId="0" applyFont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176" fontId="30" fillId="0" borderId="35" xfId="0" applyNumberFormat="1" applyFont="1" applyBorder="1" applyAlignment="1" applyProtection="1">
      <alignment horizontal="right" vertical="center"/>
      <protection hidden="1"/>
    </xf>
    <xf numFmtId="176" fontId="30" fillId="0" borderId="36" xfId="0" applyNumberFormat="1" applyFont="1" applyBorder="1" applyAlignment="1" applyProtection="1">
      <alignment horizontal="right" vertical="center"/>
      <protection hidden="1"/>
    </xf>
    <xf numFmtId="176" fontId="30" fillId="3" borderId="37" xfId="0" applyNumberFormat="1" applyFont="1" applyFill="1" applyBorder="1" applyAlignment="1" applyProtection="1">
      <alignment horizontal="center" vertical="center"/>
      <protection hidden="1"/>
    </xf>
    <xf numFmtId="176" fontId="30" fillId="3" borderId="38" xfId="0" applyNumberFormat="1" applyFont="1" applyFill="1" applyBorder="1" applyAlignment="1" applyProtection="1">
      <alignment horizontal="center" vertical="center"/>
      <protection hidden="1"/>
    </xf>
    <xf numFmtId="176" fontId="30" fillId="3" borderId="39" xfId="0" applyNumberFormat="1" applyFont="1" applyFill="1" applyBorder="1" applyAlignment="1" applyProtection="1">
      <alignment horizontal="center" vertical="center"/>
      <protection hidden="1"/>
    </xf>
    <xf numFmtId="0" fontId="28" fillId="0" borderId="51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176" fontId="30" fillId="0" borderId="7" xfId="0" applyNumberFormat="1" applyFont="1" applyBorder="1" applyAlignment="1" applyProtection="1">
      <alignment horizontal="right" vertical="center"/>
      <protection hidden="1"/>
    </xf>
    <xf numFmtId="176" fontId="30" fillId="0" borderId="25" xfId="0" applyNumberFormat="1" applyFont="1" applyBorder="1" applyAlignment="1" applyProtection="1">
      <alignment horizontal="right" vertical="center"/>
      <protection hidden="1"/>
    </xf>
    <xf numFmtId="176" fontId="30" fillId="12" borderId="40" xfId="0" applyNumberFormat="1" applyFont="1" applyFill="1" applyBorder="1" applyAlignment="1" applyProtection="1">
      <alignment horizontal="right" vertical="center"/>
      <protection hidden="1"/>
    </xf>
    <xf numFmtId="176" fontId="30" fillId="0" borderId="21" xfId="0" applyNumberFormat="1" applyFont="1" applyBorder="1" applyAlignment="1" applyProtection="1">
      <alignment horizontal="right" vertical="center"/>
      <protection locked="0"/>
    </xf>
    <xf numFmtId="176" fontId="30" fillId="0" borderId="29" xfId="0" applyNumberFormat="1" applyFont="1" applyBorder="1" applyAlignment="1" applyProtection="1">
      <alignment horizontal="right" vertical="center"/>
      <protection locked="0"/>
    </xf>
    <xf numFmtId="176" fontId="30" fillId="0" borderId="20" xfId="0" applyNumberFormat="1" applyFont="1" applyBorder="1" applyAlignment="1" applyProtection="1">
      <alignment horizontal="right" vertical="center"/>
      <protection locked="0"/>
    </xf>
    <xf numFmtId="176" fontId="30" fillId="12" borderId="59" xfId="0" applyNumberFormat="1" applyFont="1" applyFill="1" applyBorder="1" applyAlignment="1" applyProtection="1">
      <alignment horizontal="right" vertical="center"/>
      <protection hidden="1"/>
    </xf>
    <xf numFmtId="176" fontId="30" fillId="0" borderId="26" xfId="0" applyNumberFormat="1" applyFont="1" applyBorder="1" applyAlignment="1" applyProtection="1">
      <alignment horizontal="right" vertical="center"/>
      <protection locked="0"/>
    </xf>
    <xf numFmtId="176" fontId="30" fillId="0" borderId="48" xfId="0" applyNumberFormat="1" applyFont="1" applyBorder="1" applyAlignment="1" applyProtection="1">
      <alignment horizontal="center" vertical="center"/>
      <protection locked="0"/>
    </xf>
    <xf numFmtId="176" fontId="30" fillId="0" borderId="79" xfId="0" applyNumberFormat="1" applyFont="1" applyBorder="1" applyAlignment="1" applyProtection="1">
      <alignment horizontal="center" vertical="center"/>
      <protection locked="0"/>
    </xf>
    <xf numFmtId="176" fontId="30" fillId="0" borderId="26" xfId="0" applyNumberFormat="1" applyFont="1" applyBorder="1" applyAlignment="1" applyProtection="1">
      <alignment horizontal="right" vertical="center"/>
      <protection hidden="1"/>
    </xf>
    <xf numFmtId="176" fontId="30" fillId="0" borderId="81" xfId="0" applyNumberFormat="1" applyFont="1" applyBorder="1" applyAlignment="1" applyProtection="1">
      <alignment horizontal="right" vertical="center"/>
      <protection hidden="1"/>
    </xf>
    <xf numFmtId="176" fontId="30" fillId="0" borderId="48" xfId="0" applyNumberFormat="1" applyFont="1" applyBorder="1" applyAlignment="1" applyProtection="1">
      <alignment horizontal="right" vertical="center"/>
      <protection hidden="1"/>
    </xf>
    <xf numFmtId="176" fontId="30" fillId="0" borderId="49" xfId="0" applyNumberFormat="1" applyFont="1" applyBorder="1" applyAlignment="1" applyProtection="1">
      <alignment horizontal="right" vertical="center"/>
      <protection hidden="1"/>
    </xf>
    <xf numFmtId="176" fontId="30" fillId="0" borderId="82" xfId="0" applyNumberFormat="1" applyFont="1" applyBorder="1" applyAlignment="1" applyProtection="1">
      <alignment horizontal="right" vertical="center"/>
      <protection hidden="1"/>
    </xf>
    <xf numFmtId="176" fontId="30" fillId="0" borderId="28" xfId="0" applyNumberFormat="1" applyFont="1" applyBorder="1" applyAlignment="1" applyProtection="1">
      <alignment horizontal="center" vertical="center"/>
      <protection locked="0"/>
    </xf>
    <xf numFmtId="176" fontId="30" fillId="0" borderId="19" xfId="0" applyNumberFormat="1" applyFont="1" applyBorder="1" applyAlignment="1" applyProtection="1">
      <alignment horizontal="right" vertical="center"/>
      <protection hidden="1"/>
    </xf>
    <xf numFmtId="176" fontId="30" fillId="12" borderId="31" xfId="0" applyNumberFormat="1" applyFont="1" applyFill="1" applyBorder="1" applyAlignment="1" applyProtection="1">
      <alignment horizontal="center" vertical="center"/>
      <protection hidden="1"/>
    </xf>
    <xf numFmtId="176" fontId="30" fillId="12" borderId="10" xfId="0" applyNumberFormat="1" applyFont="1" applyFill="1" applyBorder="1" applyAlignment="1" applyProtection="1">
      <alignment horizontal="center" vertical="center"/>
      <protection hidden="1"/>
    </xf>
    <xf numFmtId="176" fontId="30" fillId="12" borderId="47" xfId="0" applyNumberFormat="1" applyFont="1" applyFill="1" applyBorder="1" applyAlignment="1" applyProtection="1">
      <alignment horizontal="center" vertical="center"/>
      <protection hidden="1"/>
    </xf>
    <xf numFmtId="0" fontId="30" fillId="12" borderId="46" xfId="0" applyFont="1" applyFill="1" applyBorder="1" applyAlignment="1" applyProtection="1">
      <alignment horizontal="center" vertical="center"/>
      <protection hidden="1"/>
    </xf>
    <xf numFmtId="0" fontId="30" fillId="12" borderId="44" xfId="0" applyFont="1" applyFill="1" applyBorder="1" applyAlignment="1" applyProtection="1">
      <alignment horizontal="center" vertical="center"/>
      <protection hidden="1"/>
    </xf>
    <xf numFmtId="0" fontId="30" fillId="12" borderId="45" xfId="0" applyFont="1" applyFill="1" applyBorder="1" applyAlignment="1" applyProtection="1">
      <alignment horizontal="center" vertical="center"/>
      <protection hidden="1"/>
    </xf>
    <xf numFmtId="0" fontId="30" fillId="12" borderId="30" xfId="0" applyFont="1" applyFill="1" applyBorder="1" applyAlignment="1" applyProtection="1">
      <alignment horizontal="center" vertical="center"/>
      <protection hidden="1"/>
    </xf>
    <xf numFmtId="0" fontId="30" fillId="12" borderId="10" xfId="0" applyFont="1" applyFill="1" applyBorder="1" applyAlignment="1" applyProtection="1">
      <alignment horizontal="center" vertical="center"/>
      <protection hidden="1"/>
    </xf>
    <xf numFmtId="0" fontId="30" fillId="12" borderId="47" xfId="0" applyFont="1" applyFill="1" applyBorder="1" applyAlignment="1" applyProtection="1">
      <alignment horizontal="center" vertical="center"/>
      <protection hidden="1"/>
    </xf>
    <xf numFmtId="176" fontId="30" fillId="12" borderId="86" xfId="0" applyNumberFormat="1" applyFont="1" applyFill="1" applyBorder="1" applyAlignment="1" applyProtection="1">
      <alignment horizontal="center" vertical="center"/>
      <protection hidden="1"/>
    </xf>
    <xf numFmtId="176" fontId="30" fillId="12" borderId="44" xfId="0" applyNumberFormat="1" applyFont="1" applyFill="1" applyBorder="1" applyAlignment="1" applyProtection="1">
      <alignment horizontal="center" vertical="center"/>
      <protection hidden="1"/>
    </xf>
    <xf numFmtId="176" fontId="30" fillId="12" borderId="15" xfId="0" applyNumberFormat="1" applyFont="1" applyFill="1" applyBorder="1" applyAlignment="1" applyProtection="1">
      <alignment horizontal="center" vertical="center"/>
      <protection hidden="1"/>
    </xf>
    <xf numFmtId="176" fontId="30" fillId="12" borderId="45" xfId="0" applyNumberFormat="1" applyFont="1" applyFill="1" applyBorder="1" applyAlignment="1" applyProtection="1">
      <alignment horizontal="center" vertical="center"/>
      <protection hidden="1"/>
    </xf>
    <xf numFmtId="176" fontId="30" fillId="12" borderId="11" xfId="0" applyNumberFormat="1" applyFont="1" applyFill="1" applyBorder="1" applyAlignment="1" applyProtection="1">
      <alignment horizontal="center" vertical="center"/>
      <protection hidden="1"/>
    </xf>
    <xf numFmtId="176" fontId="30" fillId="12" borderId="33" xfId="0" applyNumberFormat="1" applyFont="1" applyFill="1" applyBorder="1" applyAlignment="1" applyProtection="1">
      <alignment horizontal="center" vertical="center"/>
      <protection hidden="1"/>
    </xf>
    <xf numFmtId="176" fontId="30" fillId="12" borderId="14" xfId="0" applyNumberFormat="1" applyFont="1" applyFill="1" applyBorder="1" applyAlignment="1" applyProtection="1">
      <alignment horizontal="center" vertical="center"/>
      <protection hidden="1"/>
    </xf>
    <xf numFmtId="176" fontId="30" fillId="0" borderId="28" xfId="0" applyNumberFormat="1" applyFont="1" applyBorder="1" applyAlignment="1" applyProtection="1">
      <alignment horizontal="right" vertical="center"/>
      <protection hidden="1"/>
    </xf>
    <xf numFmtId="176" fontId="30" fillId="0" borderId="85" xfId="0" applyNumberFormat="1" applyFont="1" applyBorder="1" applyAlignment="1" applyProtection="1">
      <alignment horizontal="right" vertical="center"/>
      <protection hidden="1"/>
    </xf>
    <xf numFmtId="176" fontId="30" fillId="0" borderId="7" xfId="0" applyNumberFormat="1" applyFont="1" applyBorder="1" applyAlignment="1" applyProtection="1">
      <alignment horizontal="right" vertical="center"/>
      <protection locked="0"/>
    </xf>
    <xf numFmtId="176" fontId="30" fillId="0" borderId="6" xfId="0" applyNumberFormat="1" applyFont="1" applyBorder="1" applyAlignment="1" applyProtection="1">
      <alignment horizontal="right" vertical="center"/>
      <protection hidden="1"/>
    </xf>
    <xf numFmtId="176" fontId="30" fillId="0" borderId="3" xfId="0" applyNumberFormat="1" applyFont="1" applyBorder="1" applyAlignment="1" applyProtection="1">
      <alignment horizontal="right" vertical="center"/>
      <protection hidden="1"/>
    </xf>
    <xf numFmtId="176" fontId="30" fillId="0" borderId="4" xfId="0" applyNumberFormat="1" applyFont="1" applyBorder="1" applyAlignment="1" applyProtection="1">
      <alignment horizontal="right" vertical="center"/>
      <protection hidden="1"/>
    </xf>
    <xf numFmtId="176" fontId="30" fillId="3" borderId="32" xfId="0" applyNumberFormat="1" applyFont="1" applyFill="1" applyBorder="1" applyAlignment="1" applyProtection="1">
      <alignment horizontal="center" vertical="center"/>
      <protection hidden="1"/>
    </xf>
    <xf numFmtId="176" fontId="30" fillId="12" borderId="32" xfId="0" applyNumberFormat="1" applyFont="1" applyFill="1" applyBorder="1" applyAlignment="1" applyProtection="1">
      <alignment horizontal="right" vertical="center"/>
      <protection hidden="1"/>
    </xf>
    <xf numFmtId="176" fontId="30" fillId="12" borderId="80" xfId="0" applyNumberFormat="1" applyFont="1" applyFill="1" applyBorder="1" applyAlignment="1" applyProtection="1">
      <alignment horizontal="right" vertical="center"/>
      <protection hidden="1"/>
    </xf>
    <xf numFmtId="176" fontId="30" fillId="0" borderId="34" xfId="0" applyNumberFormat="1" applyFont="1" applyBorder="1" applyAlignment="1" applyProtection="1">
      <alignment horizontal="right" vertical="center"/>
      <protection hidden="1"/>
    </xf>
    <xf numFmtId="176" fontId="30" fillId="3" borderId="19" xfId="0" applyNumberFormat="1" applyFont="1" applyFill="1" applyBorder="1" applyAlignment="1" applyProtection="1">
      <alignment horizontal="center" vertical="center"/>
      <protection hidden="1"/>
    </xf>
    <xf numFmtId="0" fontId="32" fillId="0" borderId="5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184" fontId="29" fillId="7" borderId="7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60" xfId="0" applyFont="1" applyBorder="1" applyAlignment="1" applyProtection="1">
      <alignment horizontal="center" vertical="center"/>
      <protection hidden="1"/>
    </xf>
    <xf numFmtId="0" fontId="30" fillId="0" borderId="43" xfId="0" applyFont="1" applyBorder="1" applyAlignment="1" applyProtection="1">
      <alignment horizontal="center" vertical="center"/>
      <protection hidden="1"/>
    </xf>
    <xf numFmtId="0" fontId="30" fillId="0" borderId="61" xfId="0" applyFont="1" applyBorder="1" applyAlignment="1" applyProtection="1">
      <alignment horizontal="center" vertical="center"/>
      <protection hidden="1"/>
    </xf>
    <xf numFmtId="184" fontId="29" fillId="0" borderId="77" xfId="0" applyNumberFormat="1" applyFont="1" applyBorder="1" applyAlignment="1" applyProtection="1">
      <alignment horizontal="center" vertical="center"/>
      <protection hidden="1"/>
    </xf>
    <xf numFmtId="184" fontId="29" fillId="0" borderId="1" xfId="0" applyNumberFormat="1" applyFont="1" applyBorder="1" applyAlignment="1" applyProtection="1">
      <alignment horizontal="center" vertical="center"/>
      <protection hidden="1"/>
    </xf>
    <xf numFmtId="184" fontId="29" fillId="0" borderId="78" xfId="0" applyNumberFormat="1" applyFont="1" applyBorder="1" applyAlignment="1" applyProtection="1">
      <alignment horizontal="center" vertical="center"/>
      <protection hidden="1"/>
    </xf>
    <xf numFmtId="184" fontId="29" fillId="0" borderId="30" xfId="0" applyNumberFormat="1" applyFont="1" applyBorder="1" applyAlignment="1" applyProtection="1">
      <alignment horizontal="center" vertical="center"/>
      <protection hidden="1"/>
    </xf>
    <xf numFmtId="184" fontId="29" fillId="0" borderId="10" xfId="0" applyNumberFormat="1" applyFont="1" applyBorder="1" applyAlignment="1" applyProtection="1">
      <alignment horizontal="center" vertical="center"/>
      <protection hidden="1"/>
    </xf>
    <xf numFmtId="184" fontId="29" fillId="0" borderId="33" xfId="0" applyNumberFormat="1" applyFont="1" applyBorder="1" applyAlignment="1" applyProtection="1">
      <alignment horizontal="center" vertical="center"/>
      <protection hidden="1"/>
    </xf>
    <xf numFmtId="0" fontId="30" fillId="0" borderId="60" xfId="0" applyFont="1" applyBorder="1" applyProtection="1">
      <alignment vertical="center"/>
      <protection hidden="1"/>
    </xf>
    <xf numFmtId="0" fontId="30" fillId="0" borderId="43" xfId="0" applyFont="1" applyBorder="1" applyProtection="1">
      <alignment vertical="center"/>
      <protection hidden="1"/>
    </xf>
    <xf numFmtId="0" fontId="30" fillId="0" borderId="61" xfId="0" applyFont="1" applyBorder="1" applyProtection="1">
      <alignment vertical="center"/>
      <protection hidden="1"/>
    </xf>
    <xf numFmtId="0" fontId="28" fillId="0" borderId="23" xfId="0" applyFont="1" applyBorder="1" applyAlignment="1" applyProtection="1">
      <alignment horizontal="left" vertical="center"/>
      <protection locked="0"/>
    </xf>
    <xf numFmtId="0" fontId="28" fillId="0" borderId="3" xfId="0" applyFont="1" applyBorder="1" applyAlignment="1" applyProtection="1">
      <alignment horizontal="left" vertical="center"/>
      <protection locked="0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22" xfId="0" applyFont="1" applyBorder="1" applyAlignment="1" applyProtection="1">
      <alignment horizontal="left" vertical="center"/>
      <protection locked="0"/>
    </xf>
    <xf numFmtId="0" fontId="28" fillId="0" borderId="29" xfId="0" applyFont="1" applyBorder="1" applyAlignment="1" applyProtection="1">
      <alignment horizontal="left" vertical="center"/>
      <protection locked="0"/>
    </xf>
    <xf numFmtId="0" fontId="28" fillId="0" borderId="20" xfId="0" applyFont="1" applyBorder="1" applyAlignment="1" applyProtection="1">
      <alignment horizontal="left" vertical="center"/>
      <protection locked="0"/>
    </xf>
    <xf numFmtId="0" fontId="28" fillId="0" borderId="87" xfId="0" applyFont="1" applyBorder="1" applyAlignment="1" applyProtection="1">
      <alignment horizontal="left" vertical="center"/>
      <protection locked="0"/>
    </xf>
    <xf numFmtId="0" fontId="28" fillId="0" borderId="49" xfId="0" applyFont="1" applyBorder="1" applyAlignment="1" applyProtection="1">
      <alignment horizontal="left" vertical="center"/>
      <protection locked="0"/>
    </xf>
    <xf numFmtId="0" fontId="28" fillId="0" borderId="79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 applyProtection="1">
      <alignment horizontal="left" vertical="center"/>
      <protection hidden="1"/>
    </xf>
    <xf numFmtId="0" fontId="28" fillId="0" borderId="3" xfId="0" applyFont="1" applyBorder="1" applyAlignment="1" applyProtection="1">
      <alignment horizontal="left" vertical="center"/>
      <protection hidden="1"/>
    </xf>
    <xf numFmtId="0" fontId="28" fillId="0" borderId="4" xfId="0" applyFont="1" applyBorder="1" applyAlignment="1" applyProtection="1">
      <alignment horizontal="left" vertical="center"/>
      <protection hidden="1"/>
    </xf>
    <xf numFmtId="0" fontId="28" fillId="12" borderId="84" xfId="0" applyFont="1" applyFill="1" applyBorder="1" applyAlignment="1" applyProtection="1">
      <alignment horizontal="center" vertical="center"/>
      <protection hidden="1"/>
    </xf>
    <xf numFmtId="0" fontId="28" fillId="12" borderId="50" xfId="0" applyFont="1" applyFill="1" applyBorder="1" applyAlignment="1" applyProtection="1">
      <alignment horizontal="center" vertical="center"/>
      <protection hidden="1"/>
    </xf>
    <xf numFmtId="0" fontId="28" fillId="12" borderId="83" xfId="0" applyFont="1" applyFill="1" applyBorder="1" applyAlignment="1" applyProtection="1">
      <alignment horizontal="center" vertical="center"/>
      <protection hidden="1"/>
    </xf>
    <xf numFmtId="0" fontId="28" fillId="0" borderId="22" xfId="0" applyFont="1" applyBorder="1" applyAlignment="1" applyProtection="1">
      <alignment horizontal="left" vertical="center"/>
      <protection hidden="1"/>
    </xf>
    <xf numFmtId="0" fontId="28" fillId="0" borderId="29" xfId="0" applyFont="1" applyBorder="1" applyAlignment="1" applyProtection="1">
      <alignment horizontal="left" vertical="center"/>
      <protection hidden="1"/>
    </xf>
    <xf numFmtId="0" fontId="28" fillId="0" borderId="20" xfId="0" applyFont="1" applyBorder="1" applyAlignment="1" applyProtection="1">
      <alignment horizontal="left" vertical="center"/>
      <protection hidden="1"/>
    </xf>
    <xf numFmtId="0" fontId="31" fillId="0" borderId="22" xfId="0" applyFont="1" applyBorder="1" applyAlignment="1" applyProtection="1">
      <alignment horizontal="left" vertical="center" wrapText="1" shrinkToFit="1"/>
      <protection hidden="1"/>
    </xf>
    <xf numFmtId="0" fontId="31" fillId="0" borderId="29" xfId="0" applyFont="1" applyBorder="1" applyAlignment="1" applyProtection="1">
      <alignment horizontal="left" vertical="center" wrapText="1" shrinkToFit="1"/>
      <protection hidden="1"/>
    </xf>
    <xf numFmtId="0" fontId="31" fillId="0" borderId="20" xfId="0" applyFont="1" applyBorder="1" applyAlignment="1" applyProtection="1">
      <alignment horizontal="left" vertical="center" wrapText="1" shrinkToFit="1"/>
      <protection hidden="1"/>
    </xf>
    <xf numFmtId="0" fontId="28" fillId="0" borderId="22" xfId="0" applyFont="1" applyBorder="1" applyAlignment="1" applyProtection="1">
      <alignment horizontal="left" vertical="center" shrinkToFit="1"/>
      <protection locked="0"/>
    </xf>
    <xf numFmtId="0" fontId="28" fillId="0" borderId="29" xfId="0" applyFont="1" applyBorder="1" applyAlignment="1" applyProtection="1">
      <alignment horizontal="left" vertical="center" shrinkToFit="1"/>
      <protection locked="0"/>
    </xf>
    <xf numFmtId="0" fontId="28" fillId="0" borderId="20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hidden="1"/>
    </xf>
    <xf numFmtId="2" fontId="0" fillId="0" borderId="21" xfId="0" applyNumberFormat="1" applyBorder="1" applyAlignment="1" applyProtection="1">
      <alignment horizontal="center" vertical="center" shrinkToFit="1"/>
      <protection hidden="1"/>
    </xf>
    <xf numFmtId="2" fontId="0" fillId="0" borderId="29" xfId="0" applyNumberFormat="1" applyBorder="1" applyAlignment="1" applyProtection="1">
      <alignment horizontal="center" vertical="center" shrinkToFit="1"/>
      <protection hidden="1"/>
    </xf>
    <xf numFmtId="2" fontId="0" fillId="0" borderId="20" xfId="0" applyNumberFormat="1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0" fillId="0" borderId="2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20" xfId="0" applyFont="1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13" fillId="0" borderId="52" xfId="0" applyNumberFormat="1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77" fontId="13" fillId="0" borderId="21" xfId="0" applyNumberFormat="1" applyFont="1" applyBorder="1" applyAlignment="1" applyProtection="1">
      <alignment horizontal="center" vertical="center"/>
      <protection hidden="1"/>
    </xf>
    <xf numFmtId="177" fontId="13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77" fontId="13" fillId="0" borderId="8" xfId="0" applyNumberFormat="1" applyFont="1" applyBorder="1" applyAlignment="1" applyProtection="1">
      <alignment horizontal="center" vertical="center"/>
      <protection hidden="1"/>
    </xf>
    <xf numFmtId="177" fontId="13" fillId="0" borderId="1" xfId="0" applyNumberFormat="1" applyFont="1" applyBorder="1" applyAlignment="1" applyProtection="1">
      <alignment horizontal="center" vertical="center"/>
      <protection hidden="1"/>
    </xf>
    <xf numFmtId="177" fontId="13" fillId="0" borderId="6" xfId="0" applyNumberFormat="1" applyFont="1" applyBorder="1" applyAlignment="1" applyProtection="1">
      <alignment horizontal="center" vertical="center"/>
      <protection hidden="1"/>
    </xf>
    <xf numFmtId="177" fontId="13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16" fillId="0" borderId="2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hidden="1"/>
    </xf>
    <xf numFmtId="177" fontId="0" fillId="0" borderId="1" xfId="0" applyNumberFormat="1" applyBorder="1" applyAlignment="1" applyProtection="1">
      <alignment horizontal="center" vertical="center"/>
      <protection hidden="1"/>
    </xf>
    <xf numFmtId="177" fontId="0" fillId="0" borderId="6" xfId="0" applyNumberFormat="1" applyBorder="1" applyAlignment="1" applyProtection="1">
      <alignment horizontal="center" vertical="center"/>
      <protection hidden="1"/>
    </xf>
    <xf numFmtId="177" fontId="0" fillId="0" borderId="3" xfId="0" applyNumberForma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9" fontId="0" fillId="0" borderId="21" xfId="1" applyFont="1" applyBorder="1" applyAlignment="1" applyProtection="1">
      <alignment horizontal="center" vertical="center"/>
      <protection locked="0"/>
    </xf>
    <xf numFmtId="9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 applyProtection="1">
      <alignment horizontal="center" vertical="center"/>
      <protection locked="0"/>
    </xf>
    <xf numFmtId="0" fontId="0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hidden="1"/>
    </xf>
    <xf numFmtId="0" fontId="16" fillId="0" borderId="8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38" fontId="0" fillId="0" borderId="21" xfId="2" applyFont="1" applyBorder="1" applyAlignment="1" applyProtection="1">
      <alignment horizontal="right" vertical="center"/>
      <protection hidden="1"/>
    </xf>
    <xf numFmtId="38" fontId="0" fillId="0" borderId="29" xfId="2" applyFont="1" applyBorder="1" applyAlignment="1" applyProtection="1">
      <alignment horizontal="right" vertical="center"/>
      <protection hidden="1"/>
    </xf>
    <xf numFmtId="38" fontId="11" fillId="0" borderId="21" xfId="2" applyFont="1" applyBorder="1" applyAlignment="1" applyProtection="1">
      <alignment horizontal="center" vertical="center"/>
      <protection hidden="1"/>
    </xf>
    <xf numFmtId="38" fontId="11" fillId="0" borderId="29" xfId="2" applyFont="1" applyBorder="1" applyAlignment="1" applyProtection="1">
      <alignment horizontal="center" vertical="center"/>
      <protection hidden="1"/>
    </xf>
    <xf numFmtId="38" fontId="11" fillId="0" borderId="20" xfId="2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/>
      <protection hidden="1"/>
    </xf>
    <xf numFmtId="0" fontId="11" fillId="0" borderId="63" xfId="0" applyFont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9" xfId="0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11" fillId="8" borderId="3" xfId="0" applyFont="1" applyFill="1" applyBorder="1" applyAlignment="1" applyProtection="1">
      <alignment horizontal="center" vertical="center"/>
      <protection hidden="1"/>
    </xf>
    <xf numFmtId="0" fontId="11" fillId="8" borderId="4" xfId="0" applyFont="1" applyFill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4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 shrinkToFit="1"/>
      <protection hidden="1"/>
    </xf>
    <xf numFmtId="0" fontId="11" fillId="0" borderId="3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shrinkToFit="1"/>
      <protection hidden="1"/>
    </xf>
    <xf numFmtId="177" fontId="0" fillId="0" borderId="5" xfId="0" applyNumberFormat="1" applyBorder="1" applyAlignment="1" applyProtection="1">
      <alignment horizontal="center"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7" xfId="2" applyNumberFormat="1" applyFont="1" applyBorder="1" applyAlignment="1" applyProtection="1">
      <alignment horizontal="right" vertical="center"/>
      <protection locked="0"/>
    </xf>
    <xf numFmtId="0" fontId="11" fillId="0" borderId="21" xfId="2" applyNumberFormat="1" applyFont="1" applyBorder="1" applyAlignment="1" applyProtection="1">
      <alignment horizontal="right" vertical="center"/>
      <protection locked="0"/>
    </xf>
    <xf numFmtId="0" fontId="11" fillId="0" borderId="20" xfId="2" applyNumberFormat="1" applyFont="1" applyBorder="1" applyAlignment="1" applyProtection="1">
      <alignment horizontal="center" vertical="center" shrinkToFit="1"/>
      <protection hidden="1"/>
    </xf>
    <xf numFmtId="0" fontId="11" fillId="0" borderId="7" xfId="2" applyNumberFormat="1" applyFont="1" applyBorder="1" applyAlignment="1" applyProtection="1">
      <alignment horizontal="center" vertical="center" shrinkToFit="1"/>
      <protection hidden="1"/>
    </xf>
    <xf numFmtId="9" fontId="11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0" applyNumberFormat="1" applyFont="1" applyBorder="1" applyAlignment="1" applyProtection="1">
      <alignment horizontal="center" vertical="center"/>
      <protection locked="0"/>
    </xf>
    <xf numFmtId="38" fontId="11" fillId="0" borderId="7" xfId="2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0" fillId="0" borderId="71" xfId="0" applyBorder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 shrinkToFit="1"/>
      <protection hidden="1"/>
    </xf>
    <xf numFmtId="0" fontId="11" fillId="0" borderId="65" xfId="0" applyFont="1" applyBorder="1" applyAlignment="1" applyProtection="1">
      <alignment horizontal="center" vertical="center" wrapText="1"/>
      <protection hidden="1"/>
    </xf>
    <xf numFmtId="0" fontId="11" fillId="0" borderId="66" xfId="0" applyFont="1" applyBorder="1" applyAlignment="1" applyProtection="1">
      <alignment horizontal="center" vertical="center" wrapText="1"/>
      <protection hidden="1"/>
    </xf>
    <xf numFmtId="0" fontId="11" fillId="0" borderId="68" xfId="0" applyFont="1" applyBorder="1" applyAlignment="1" applyProtection="1">
      <alignment horizontal="center" vertical="center" wrapText="1"/>
      <protection hidden="1"/>
    </xf>
    <xf numFmtId="0" fontId="11" fillId="0" borderId="69" xfId="0" applyFont="1" applyBorder="1" applyAlignment="1" applyProtection="1">
      <alignment horizontal="center" vertical="center" wrapText="1"/>
      <protection hidden="1"/>
    </xf>
    <xf numFmtId="0" fontId="11" fillId="0" borderId="66" xfId="0" applyFont="1" applyBorder="1" applyAlignment="1" applyProtection="1">
      <alignment horizontal="center" vertical="center"/>
      <protection hidden="1"/>
    </xf>
    <xf numFmtId="0" fontId="11" fillId="0" borderId="67" xfId="0" applyFont="1" applyBorder="1" applyAlignment="1" applyProtection="1">
      <alignment horizontal="center" vertical="center"/>
      <protection hidden="1"/>
    </xf>
    <xf numFmtId="0" fontId="11" fillId="0" borderId="69" xfId="0" applyFont="1" applyBorder="1" applyAlignment="1" applyProtection="1">
      <alignment horizontal="center" vertical="center"/>
      <protection hidden="1"/>
    </xf>
    <xf numFmtId="0" fontId="11" fillId="0" borderId="70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1" fillId="0" borderId="74" xfId="0" applyFont="1" applyBorder="1" applyAlignment="1" applyProtection="1">
      <alignment horizontal="center" vertical="center"/>
      <protection hidden="1"/>
    </xf>
    <xf numFmtId="0" fontId="11" fillId="0" borderId="75" xfId="0" applyFont="1" applyBorder="1" applyAlignment="1" applyProtection="1">
      <alignment horizontal="center" vertical="center"/>
      <protection hidden="1"/>
    </xf>
    <xf numFmtId="0" fontId="17" fillId="5" borderId="8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/>
      <protection hidden="1"/>
    </xf>
    <xf numFmtId="0" fontId="17" fillId="5" borderId="9" xfId="0" applyFont="1" applyFill="1" applyBorder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3" xfId="0" applyFont="1" applyFill="1" applyBorder="1" applyAlignment="1" applyProtection="1">
      <alignment horizontal="center" vertical="center"/>
      <protection hidden="1"/>
    </xf>
    <xf numFmtId="0" fontId="17" fillId="5" borderId="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6" fillId="0" borderId="8" xfId="0" applyFont="1" applyBorder="1" applyAlignment="1" applyProtection="1">
      <alignment horizontal="center" vertical="center" textRotation="255" wrapText="1"/>
      <protection hidden="1"/>
    </xf>
    <xf numFmtId="0" fontId="16" fillId="0" borderId="9" xfId="0" applyFont="1" applyBorder="1" applyAlignment="1" applyProtection="1">
      <alignment horizontal="center" vertical="center" textRotation="255" wrapText="1"/>
      <protection hidden="1"/>
    </xf>
    <xf numFmtId="0" fontId="16" fillId="0" borderId="6" xfId="0" applyFont="1" applyBorder="1" applyAlignment="1" applyProtection="1">
      <alignment horizontal="center" vertical="center" textRotation="255" wrapText="1"/>
      <protection hidden="1"/>
    </xf>
    <xf numFmtId="0" fontId="16" fillId="0" borderId="4" xfId="0" applyFont="1" applyBorder="1" applyAlignment="1" applyProtection="1">
      <alignment horizontal="center" vertical="center" textRotation="255" wrapTex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10" fillId="0" borderId="1" xfId="0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 applyProtection="1">
      <alignment horizontal="center" vertical="center" shrinkToFit="1"/>
      <protection hidden="1"/>
    </xf>
    <xf numFmtId="0" fontId="10" fillId="0" borderId="6" xfId="0" applyFont="1" applyBorder="1" applyAlignment="1" applyProtection="1">
      <alignment horizontal="center" vertical="center" shrinkToFit="1"/>
      <protection hidden="1"/>
    </xf>
    <xf numFmtId="0" fontId="10" fillId="0" borderId="3" xfId="0" applyFont="1" applyBorder="1" applyAlignment="1" applyProtection="1">
      <alignment horizontal="center" vertical="center" shrinkToFit="1"/>
      <protection hidden="1"/>
    </xf>
    <xf numFmtId="0" fontId="10" fillId="0" borderId="4" xfId="0" applyFont="1" applyBorder="1" applyAlignment="1" applyProtection="1">
      <alignment horizontal="center" vertical="center" shrinkToFit="1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0" fillId="0" borderId="6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5">
    <cellStyle name="パーセント" xfId="1" builtinId="5"/>
    <cellStyle name="パーセント 2" xfId="7" xr:uid="{19CD5F2F-7E75-482F-847E-E32E5EAA425B}"/>
    <cellStyle name="パーセント 3" xfId="11" xr:uid="{F1263E58-99AF-4B92-A84A-CC26EA867A2A}"/>
    <cellStyle name="パーセント 3 2" xfId="14" xr:uid="{39ABA8F2-42D0-42AB-9479-E32B09C2E5E3}"/>
    <cellStyle name="桁区切り" xfId="2" builtinId="6"/>
    <cellStyle name="桁区切り 2" xfId="5" xr:uid="{00000000-0005-0000-0000-000002000000}"/>
    <cellStyle name="桁区切り 2 2" xfId="8" xr:uid="{3CFCFA64-3A23-43DB-88B0-94B3E7A40BE4}"/>
    <cellStyle name="標準" xfId="0" builtinId="0"/>
    <cellStyle name="標準 2" xfId="4" xr:uid="{00000000-0005-0000-0000-000004000000}"/>
    <cellStyle name="標準 2 2" xfId="9" xr:uid="{6FE5C3FA-1C93-406D-9CC3-93DCB65CCFC2}"/>
    <cellStyle name="標準 3" xfId="6" xr:uid="{E0C9AB9E-FC0A-4986-8BBC-B1D071A73C23}"/>
    <cellStyle name="標準 4" xfId="10" xr:uid="{8BAE0538-707B-45ED-870E-FD2E15146238}"/>
    <cellStyle name="標準 4 2" xfId="13" xr:uid="{B7AD6D83-D53D-40E5-A11B-21D0D8A61698}"/>
    <cellStyle name="標準 5" xfId="12" xr:uid="{BB3880E8-809B-4E4A-9F88-F56D6EA35877}"/>
    <cellStyle name="標準_負荷チェックシート（水谷修正）" xfId="3" xr:uid="{00000000-0005-0000-0000-000005000000}"/>
  </cellStyles>
  <dxfs count="28">
    <dxf>
      <fill>
        <patternFill>
          <bgColor rgb="FFFFFF99"/>
        </patternFill>
      </fill>
    </dxf>
    <dxf>
      <font>
        <b/>
        <i val="0"/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Q$7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195691</xdr:colOff>
      <xdr:row>34</xdr:row>
      <xdr:rowOff>196291</xdr:rowOff>
    </xdr:from>
    <xdr:to>
      <xdr:col>45</xdr:col>
      <xdr:colOff>74202</xdr:colOff>
      <xdr:row>37</xdr:row>
      <xdr:rowOff>206675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17106" y="8750819"/>
          <a:ext cx="2053087" cy="765196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上段の表を作成し、交付決定額を入力すると、補助申請額が自動で計算されます。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167736</xdr:colOff>
      <xdr:row>31</xdr:row>
      <xdr:rowOff>101840</xdr:rowOff>
    </xdr:from>
    <xdr:to>
      <xdr:col>45</xdr:col>
      <xdr:colOff>58947</xdr:colOff>
      <xdr:row>33</xdr:row>
      <xdr:rowOff>196091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81793" y="7715849"/>
          <a:ext cx="1933994" cy="585478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交付決定通知書の交付決定額を入力してください。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2</xdr:row>
          <xdr:rowOff>50800</xdr:rowOff>
        </xdr:from>
        <xdr:to>
          <xdr:col>23</xdr:col>
          <xdr:colOff>114300</xdr:colOff>
          <xdr:row>3</xdr:row>
          <xdr:rowOff>127000</xdr:rowOff>
        </xdr:to>
        <xdr:sp macro="" textlink="">
          <xdr:nvSpPr>
            <xdr:cNvPr id="91137" name="Option Butt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1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31750</xdr:colOff>
          <xdr:row>2</xdr:row>
          <xdr:rowOff>57150</xdr:rowOff>
        </xdr:from>
        <xdr:to>
          <xdr:col>29</xdr:col>
          <xdr:colOff>133350</xdr:colOff>
          <xdr:row>3</xdr:row>
          <xdr:rowOff>133350</xdr:rowOff>
        </xdr:to>
        <xdr:sp macro="" textlink="">
          <xdr:nvSpPr>
            <xdr:cNvPr id="91138" name="Option Butt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1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23</xdr:col>
      <xdr:colOff>19050</xdr:colOff>
      <xdr:row>2</xdr:row>
      <xdr:rowOff>57150</xdr:rowOff>
    </xdr:from>
    <xdr:ext cx="90487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19625" y="400050"/>
          <a:ext cx="904875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本様式を使用</a:t>
          </a:r>
        </a:p>
      </xdr:txBody>
    </xdr:sp>
    <xdr:clientData/>
  </xdr:oneCellAnchor>
  <xdr:oneCellAnchor>
    <xdr:from>
      <xdr:col>29</xdr:col>
      <xdr:colOff>19050</xdr:colOff>
      <xdr:row>2</xdr:row>
      <xdr:rowOff>57150</xdr:rowOff>
    </xdr:from>
    <xdr:ext cx="1143000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819775" y="400050"/>
          <a:ext cx="11430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他の様式を使用</a:t>
          </a:r>
        </a:p>
      </xdr:txBody>
    </xdr:sp>
    <xdr:clientData/>
  </xdr:oneCellAnchor>
  <xdr:oneCellAnchor>
    <xdr:from>
      <xdr:col>52</xdr:col>
      <xdr:colOff>514350</xdr:colOff>
      <xdr:row>7</xdr:row>
      <xdr:rowOff>28575</xdr:rowOff>
    </xdr:from>
    <xdr:ext cx="2466975" cy="42575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15225" y="1228725"/>
          <a:ext cx="2466975" cy="425758"/>
        </a:xfrm>
        <a:prstGeom prst="wedgeRectCallout">
          <a:avLst>
            <a:gd name="adj1" fmla="val -71084"/>
            <a:gd name="adj2" fmla="val 37407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色のついたセルにしか記入できません。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水色のセルはリストから選択します。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H39"/>
  <sheetViews>
    <sheetView showZeros="0" tabSelected="1" view="pageBreakPreview" zoomScale="106" zoomScaleNormal="100" zoomScaleSheetLayoutView="106" workbookViewId="0">
      <selection activeCell="A4" sqref="A4:AH4"/>
    </sheetView>
  </sheetViews>
  <sheetFormatPr defaultColWidth="9" defaultRowHeight="19.5" customHeight="1"/>
  <cols>
    <col min="1" max="34" width="2.6328125" style="92" customWidth="1"/>
    <col min="35" max="59" width="2.6328125" style="3" customWidth="1"/>
    <col min="60" max="16384" width="9" style="3"/>
  </cols>
  <sheetData>
    <row r="1" spans="1:34" ht="19.5" customHeight="1" thickBot="1">
      <c r="A1" s="94" t="s">
        <v>241</v>
      </c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H1" s="96" t="s">
        <v>208</v>
      </c>
    </row>
    <row r="2" spans="1:34" ht="19.5" customHeight="1">
      <c r="A2" s="166" t="s">
        <v>12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  <c r="L2" s="172" t="s">
        <v>209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2" t="s">
        <v>210</v>
      </c>
      <c r="Y2" s="173"/>
      <c r="Z2" s="173"/>
      <c r="AA2" s="173"/>
      <c r="AB2" s="175"/>
      <c r="AC2" s="173" t="s">
        <v>18</v>
      </c>
      <c r="AD2" s="173"/>
      <c r="AE2" s="173"/>
      <c r="AF2" s="173"/>
      <c r="AG2" s="173"/>
      <c r="AH2" s="176"/>
    </row>
    <row r="3" spans="1:34" ht="19.5" customHeight="1" thickBot="1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1"/>
      <c r="L3" s="174" t="s">
        <v>211</v>
      </c>
      <c r="M3" s="174"/>
      <c r="N3" s="174"/>
      <c r="O3" s="174"/>
      <c r="P3" s="174"/>
      <c r="Q3" s="174" t="s">
        <v>212</v>
      </c>
      <c r="R3" s="174"/>
      <c r="S3" s="174" t="s">
        <v>20</v>
      </c>
      <c r="T3" s="174"/>
      <c r="U3" s="174"/>
      <c r="V3" s="174"/>
      <c r="W3" s="178"/>
      <c r="X3" s="163"/>
      <c r="Y3" s="164"/>
      <c r="Z3" s="164"/>
      <c r="AA3" s="164"/>
      <c r="AB3" s="165"/>
      <c r="AC3" s="164"/>
      <c r="AD3" s="164"/>
      <c r="AE3" s="164"/>
      <c r="AF3" s="164"/>
      <c r="AG3" s="164"/>
      <c r="AH3" s="177"/>
    </row>
    <row r="4" spans="1:34" ht="19.5" customHeight="1">
      <c r="A4" s="202" t="s">
        <v>234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4"/>
    </row>
    <row r="5" spans="1:34" ht="19.5" customHeight="1">
      <c r="A5" s="205"/>
      <c r="B5" s="206"/>
      <c r="C5" s="206"/>
      <c r="D5" s="206"/>
      <c r="E5" s="206"/>
      <c r="F5" s="206"/>
      <c r="G5" s="206"/>
      <c r="H5" s="206"/>
      <c r="I5" s="206"/>
      <c r="J5" s="206"/>
      <c r="K5" s="207"/>
      <c r="L5" s="118"/>
      <c r="M5" s="118"/>
      <c r="N5" s="118"/>
      <c r="O5" s="118"/>
      <c r="P5" s="118"/>
      <c r="Q5" s="161"/>
      <c r="R5" s="161"/>
      <c r="S5" s="182">
        <f t="shared" ref="S5:S11" si="0">ROUND(L5*Q5,0)</f>
        <v>0</v>
      </c>
      <c r="T5" s="183"/>
      <c r="U5" s="183"/>
      <c r="V5" s="183"/>
      <c r="W5" s="184"/>
      <c r="X5" s="118"/>
      <c r="Y5" s="118"/>
      <c r="Z5" s="118"/>
      <c r="AA5" s="118"/>
      <c r="AB5" s="118"/>
      <c r="AC5" s="162">
        <f>S5+X5</f>
        <v>0</v>
      </c>
      <c r="AD5" s="162"/>
      <c r="AE5" s="162"/>
      <c r="AF5" s="162"/>
      <c r="AG5" s="162"/>
      <c r="AH5" s="180"/>
    </row>
    <row r="6" spans="1:34" ht="19.5" customHeight="1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  <c r="L6" s="118"/>
      <c r="M6" s="118"/>
      <c r="N6" s="118"/>
      <c r="O6" s="118"/>
      <c r="P6" s="118"/>
      <c r="Q6" s="161"/>
      <c r="R6" s="161"/>
      <c r="S6" s="146">
        <f t="shared" si="0"/>
        <v>0</v>
      </c>
      <c r="T6" s="146"/>
      <c r="U6" s="146"/>
      <c r="V6" s="146"/>
      <c r="W6" s="146"/>
      <c r="X6" s="118"/>
      <c r="Y6" s="118"/>
      <c r="Z6" s="118"/>
      <c r="AA6" s="118"/>
      <c r="AB6" s="118"/>
      <c r="AC6" s="146">
        <f t="shared" ref="AC6:AC11" si="1">S6+X6</f>
        <v>0</v>
      </c>
      <c r="AD6" s="146"/>
      <c r="AE6" s="146"/>
      <c r="AF6" s="146"/>
      <c r="AG6" s="146"/>
      <c r="AH6" s="147"/>
    </row>
    <row r="7" spans="1:34" ht="19.5" customHeight="1">
      <c r="A7" s="208"/>
      <c r="B7" s="209"/>
      <c r="C7" s="209"/>
      <c r="D7" s="209"/>
      <c r="E7" s="209"/>
      <c r="F7" s="209"/>
      <c r="G7" s="209"/>
      <c r="H7" s="209"/>
      <c r="I7" s="209"/>
      <c r="J7" s="209"/>
      <c r="K7" s="210"/>
      <c r="L7" s="118"/>
      <c r="M7" s="118"/>
      <c r="N7" s="118"/>
      <c r="O7" s="118"/>
      <c r="P7" s="118"/>
      <c r="Q7" s="124"/>
      <c r="R7" s="125"/>
      <c r="S7" s="146">
        <f t="shared" si="0"/>
        <v>0</v>
      </c>
      <c r="T7" s="146"/>
      <c r="U7" s="146"/>
      <c r="V7" s="146"/>
      <c r="W7" s="146"/>
      <c r="X7" s="118"/>
      <c r="Y7" s="118"/>
      <c r="Z7" s="118"/>
      <c r="AA7" s="118"/>
      <c r="AB7" s="118"/>
      <c r="AC7" s="146">
        <f t="shared" si="1"/>
        <v>0</v>
      </c>
      <c r="AD7" s="146"/>
      <c r="AE7" s="146"/>
      <c r="AF7" s="146"/>
      <c r="AG7" s="146"/>
      <c r="AH7" s="147"/>
    </row>
    <row r="8" spans="1:34" ht="19.5" customHeight="1">
      <c r="A8" s="208"/>
      <c r="B8" s="209"/>
      <c r="C8" s="209"/>
      <c r="D8" s="209"/>
      <c r="E8" s="209"/>
      <c r="F8" s="209"/>
      <c r="G8" s="209"/>
      <c r="H8" s="209"/>
      <c r="I8" s="209"/>
      <c r="J8" s="209"/>
      <c r="K8" s="210"/>
      <c r="L8" s="118"/>
      <c r="M8" s="118"/>
      <c r="N8" s="118"/>
      <c r="O8" s="118"/>
      <c r="P8" s="118"/>
      <c r="Q8" s="124"/>
      <c r="R8" s="125"/>
      <c r="S8" s="162">
        <f t="shared" si="0"/>
        <v>0</v>
      </c>
      <c r="T8" s="162"/>
      <c r="U8" s="162"/>
      <c r="V8" s="162"/>
      <c r="W8" s="162"/>
      <c r="X8" s="118"/>
      <c r="Y8" s="118"/>
      <c r="Z8" s="118"/>
      <c r="AA8" s="118"/>
      <c r="AB8" s="118"/>
      <c r="AC8" s="146">
        <f t="shared" si="1"/>
        <v>0</v>
      </c>
      <c r="AD8" s="146"/>
      <c r="AE8" s="146"/>
      <c r="AF8" s="146"/>
      <c r="AG8" s="146"/>
      <c r="AH8" s="147"/>
    </row>
    <row r="9" spans="1:34" ht="19.5" customHeight="1">
      <c r="A9" s="208"/>
      <c r="B9" s="209"/>
      <c r="C9" s="209"/>
      <c r="D9" s="209"/>
      <c r="E9" s="209"/>
      <c r="F9" s="209"/>
      <c r="G9" s="209"/>
      <c r="H9" s="209"/>
      <c r="I9" s="209"/>
      <c r="J9" s="209"/>
      <c r="K9" s="210"/>
      <c r="L9" s="118"/>
      <c r="M9" s="118"/>
      <c r="N9" s="118"/>
      <c r="O9" s="118"/>
      <c r="P9" s="118"/>
      <c r="Q9" s="124"/>
      <c r="R9" s="125"/>
      <c r="S9" s="146">
        <f t="shared" si="0"/>
        <v>0</v>
      </c>
      <c r="T9" s="146"/>
      <c r="U9" s="146"/>
      <c r="V9" s="146"/>
      <c r="W9" s="146"/>
      <c r="X9" s="118"/>
      <c r="Y9" s="118"/>
      <c r="Z9" s="118"/>
      <c r="AA9" s="118"/>
      <c r="AB9" s="118"/>
      <c r="AC9" s="146">
        <f t="shared" si="1"/>
        <v>0</v>
      </c>
      <c r="AD9" s="146"/>
      <c r="AE9" s="146"/>
      <c r="AF9" s="146"/>
      <c r="AG9" s="146"/>
      <c r="AH9" s="147"/>
    </row>
    <row r="10" spans="1:34" ht="19.5" customHeight="1">
      <c r="A10" s="208"/>
      <c r="B10" s="209"/>
      <c r="C10" s="209"/>
      <c r="D10" s="209"/>
      <c r="E10" s="209"/>
      <c r="F10" s="209"/>
      <c r="G10" s="209"/>
      <c r="H10" s="209"/>
      <c r="I10" s="209"/>
      <c r="J10" s="209"/>
      <c r="K10" s="210"/>
      <c r="L10" s="118"/>
      <c r="M10" s="118"/>
      <c r="N10" s="118"/>
      <c r="O10" s="118"/>
      <c r="P10" s="118"/>
      <c r="Q10" s="124"/>
      <c r="R10" s="125"/>
      <c r="S10" s="146">
        <f t="shared" si="0"/>
        <v>0</v>
      </c>
      <c r="T10" s="146"/>
      <c r="U10" s="146"/>
      <c r="V10" s="146"/>
      <c r="W10" s="146"/>
      <c r="X10" s="118"/>
      <c r="Y10" s="118"/>
      <c r="Z10" s="118"/>
      <c r="AA10" s="118"/>
      <c r="AB10" s="118"/>
      <c r="AC10" s="146">
        <f t="shared" si="1"/>
        <v>0</v>
      </c>
      <c r="AD10" s="146"/>
      <c r="AE10" s="146"/>
      <c r="AF10" s="146"/>
      <c r="AG10" s="146"/>
      <c r="AH10" s="147"/>
    </row>
    <row r="11" spans="1:34" ht="19.5" customHeight="1" thickBot="1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3"/>
      <c r="L11" s="153"/>
      <c r="M11" s="153"/>
      <c r="N11" s="153"/>
      <c r="O11" s="153"/>
      <c r="P11" s="153"/>
      <c r="Q11" s="154"/>
      <c r="R11" s="155"/>
      <c r="S11" s="156">
        <f t="shared" si="0"/>
        <v>0</v>
      </c>
      <c r="T11" s="156"/>
      <c r="U11" s="156"/>
      <c r="V11" s="156"/>
      <c r="W11" s="156"/>
      <c r="X11" s="153"/>
      <c r="Y11" s="153"/>
      <c r="Z11" s="153"/>
      <c r="AA11" s="153"/>
      <c r="AB11" s="153"/>
      <c r="AC11" s="158">
        <f t="shared" si="1"/>
        <v>0</v>
      </c>
      <c r="AD11" s="159"/>
      <c r="AE11" s="159"/>
      <c r="AF11" s="159"/>
      <c r="AG11" s="159"/>
      <c r="AH11" s="160"/>
    </row>
    <row r="12" spans="1:34" ht="19.5" customHeight="1" thickTop="1" thickBot="1">
      <c r="A12" s="217" t="s">
        <v>229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9"/>
      <c r="L12" s="163"/>
      <c r="M12" s="164"/>
      <c r="N12" s="164"/>
      <c r="O12" s="164"/>
      <c r="P12" s="165"/>
      <c r="Q12" s="163"/>
      <c r="R12" s="165"/>
      <c r="S12" s="148">
        <f>SUM(S5:W11)</f>
        <v>0</v>
      </c>
      <c r="T12" s="148"/>
      <c r="U12" s="148"/>
      <c r="V12" s="148"/>
      <c r="W12" s="148"/>
      <c r="X12" s="148">
        <f>SUM(X5:AB11)</f>
        <v>0</v>
      </c>
      <c r="Y12" s="148"/>
      <c r="Z12" s="148"/>
      <c r="AA12" s="148"/>
      <c r="AB12" s="148"/>
      <c r="AC12" s="148">
        <f>SUM(AC5:AH11)</f>
        <v>0</v>
      </c>
      <c r="AD12" s="148"/>
      <c r="AE12" s="148"/>
      <c r="AF12" s="148"/>
      <c r="AG12" s="148"/>
      <c r="AH12" s="152"/>
    </row>
    <row r="13" spans="1:34" ht="19.5" customHeight="1">
      <c r="A13" s="202" t="s">
        <v>235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4"/>
    </row>
    <row r="14" spans="1:34" ht="19.5" customHeight="1">
      <c r="A14" s="214" t="s">
        <v>213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  <c r="L14" s="118"/>
      <c r="M14" s="118"/>
      <c r="N14" s="118"/>
      <c r="O14" s="118"/>
      <c r="P14" s="118"/>
      <c r="Q14" s="161"/>
      <c r="R14" s="161"/>
      <c r="S14" s="179">
        <f>ROUND(L14*Q14,0)</f>
        <v>0</v>
      </c>
      <c r="T14" s="179"/>
      <c r="U14" s="179"/>
      <c r="V14" s="179"/>
      <c r="W14" s="179"/>
      <c r="X14" s="118"/>
      <c r="Y14" s="118"/>
      <c r="Z14" s="118"/>
      <c r="AA14" s="118"/>
      <c r="AB14" s="118"/>
      <c r="AC14" s="162">
        <f t="shared" ref="AC14:AC20" si="2">S14+X14</f>
        <v>0</v>
      </c>
      <c r="AD14" s="162"/>
      <c r="AE14" s="162"/>
      <c r="AF14" s="162"/>
      <c r="AG14" s="162"/>
      <c r="AH14" s="180"/>
    </row>
    <row r="15" spans="1:34" ht="19.5" customHeight="1">
      <c r="A15" s="220" t="s">
        <v>214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  <c r="L15" s="118"/>
      <c r="M15" s="118"/>
      <c r="N15" s="118"/>
      <c r="O15" s="118"/>
      <c r="P15" s="118"/>
      <c r="Q15" s="161"/>
      <c r="R15" s="161"/>
      <c r="S15" s="162">
        <f t="shared" ref="S15:S20" si="3">ROUND(L15*Q15,0)</f>
        <v>0</v>
      </c>
      <c r="T15" s="162"/>
      <c r="U15" s="162"/>
      <c r="V15" s="162"/>
      <c r="W15" s="162"/>
      <c r="X15" s="181"/>
      <c r="Y15" s="181"/>
      <c r="Z15" s="181"/>
      <c r="AA15" s="181"/>
      <c r="AB15" s="181"/>
      <c r="AC15" s="146">
        <f t="shared" si="2"/>
        <v>0</v>
      </c>
      <c r="AD15" s="146"/>
      <c r="AE15" s="146"/>
      <c r="AF15" s="146"/>
      <c r="AG15" s="146"/>
      <c r="AH15" s="147"/>
    </row>
    <row r="16" spans="1:34" ht="19.5" customHeight="1">
      <c r="A16" s="223" t="s">
        <v>233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5"/>
      <c r="L16" s="118"/>
      <c r="M16" s="118"/>
      <c r="N16" s="118"/>
      <c r="O16" s="118"/>
      <c r="P16" s="118"/>
      <c r="Q16" s="124"/>
      <c r="R16" s="125"/>
      <c r="S16" s="146">
        <f t="shared" si="3"/>
        <v>0</v>
      </c>
      <c r="T16" s="146"/>
      <c r="U16" s="146"/>
      <c r="V16" s="146"/>
      <c r="W16" s="146"/>
      <c r="X16" s="181"/>
      <c r="Y16" s="181"/>
      <c r="Z16" s="181"/>
      <c r="AA16" s="181"/>
      <c r="AB16" s="181"/>
      <c r="AC16" s="146">
        <f t="shared" si="2"/>
        <v>0</v>
      </c>
      <c r="AD16" s="146"/>
      <c r="AE16" s="146"/>
      <c r="AF16" s="146"/>
      <c r="AG16" s="146"/>
      <c r="AH16" s="147"/>
    </row>
    <row r="17" spans="1:34" ht="19.5" customHeight="1">
      <c r="A17" s="226" t="s">
        <v>236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8"/>
      <c r="L17" s="118"/>
      <c r="M17" s="118"/>
      <c r="N17" s="118"/>
      <c r="O17" s="118"/>
      <c r="P17" s="118"/>
      <c r="Q17" s="124"/>
      <c r="R17" s="125"/>
      <c r="S17" s="146">
        <f t="shared" si="3"/>
        <v>0</v>
      </c>
      <c r="T17" s="146"/>
      <c r="U17" s="146"/>
      <c r="V17" s="146"/>
      <c r="W17" s="146"/>
      <c r="X17" s="181"/>
      <c r="Y17" s="181"/>
      <c r="Z17" s="181"/>
      <c r="AA17" s="181"/>
      <c r="AB17" s="181"/>
      <c r="AC17" s="146">
        <f t="shared" si="2"/>
        <v>0</v>
      </c>
      <c r="AD17" s="146"/>
      <c r="AE17" s="146"/>
      <c r="AF17" s="146"/>
      <c r="AG17" s="146"/>
      <c r="AH17" s="147"/>
    </row>
    <row r="18" spans="1:34" ht="19.5" customHeight="1">
      <c r="A18" s="208"/>
      <c r="B18" s="209"/>
      <c r="C18" s="209"/>
      <c r="D18" s="209"/>
      <c r="E18" s="209"/>
      <c r="F18" s="209"/>
      <c r="G18" s="209"/>
      <c r="H18" s="209"/>
      <c r="I18" s="209"/>
      <c r="J18" s="209"/>
      <c r="K18" s="210"/>
      <c r="L18" s="149"/>
      <c r="M18" s="150"/>
      <c r="N18" s="150"/>
      <c r="O18" s="150"/>
      <c r="P18" s="151"/>
      <c r="Q18" s="124"/>
      <c r="R18" s="125"/>
      <c r="S18" s="146">
        <f>ROUND(L18*Q18,0)</f>
        <v>0</v>
      </c>
      <c r="T18" s="146"/>
      <c r="U18" s="146"/>
      <c r="V18" s="146"/>
      <c r="W18" s="146"/>
      <c r="X18" s="181"/>
      <c r="Y18" s="181"/>
      <c r="Z18" s="181"/>
      <c r="AA18" s="181"/>
      <c r="AB18" s="181"/>
      <c r="AC18" s="146">
        <f t="shared" si="2"/>
        <v>0</v>
      </c>
      <c r="AD18" s="146"/>
      <c r="AE18" s="146"/>
      <c r="AF18" s="146"/>
      <c r="AG18" s="146"/>
      <c r="AH18" s="147"/>
    </row>
    <row r="19" spans="1:34" ht="19.5" customHeight="1">
      <c r="A19" s="208"/>
      <c r="B19" s="209"/>
      <c r="C19" s="209"/>
      <c r="D19" s="209"/>
      <c r="E19" s="209"/>
      <c r="F19" s="209"/>
      <c r="G19" s="209"/>
      <c r="H19" s="209"/>
      <c r="I19" s="209"/>
      <c r="J19" s="209"/>
      <c r="K19" s="210"/>
      <c r="L19" s="149"/>
      <c r="M19" s="150"/>
      <c r="N19" s="150"/>
      <c r="O19" s="150"/>
      <c r="P19" s="151"/>
      <c r="Q19" s="124"/>
      <c r="R19" s="125"/>
      <c r="S19" s="146">
        <f>ROUND(L19*Q19,0)</f>
        <v>0</v>
      </c>
      <c r="T19" s="146"/>
      <c r="U19" s="146"/>
      <c r="V19" s="146"/>
      <c r="W19" s="146"/>
      <c r="X19" s="181"/>
      <c r="Y19" s="181"/>
      <c r="Z19" s="181"/>
      <c r="AA19" s="181"/>
      <c r="AB19" s="181"/>
      <c r="AC19" s="146">
        <f t="shared" si="2"/>
        <v>0</v>
      </c>
      <c r="AD19" s="146"/>
      <c r="AE19" s="146"/>
      <c r="AF19" s="146"/>
      <c r="AG19" s="146"/>
      <c r="AH19" s="147"/>
    </row>
    <row r="20" spans="1:34" ht="19.5" customHeight="1" thickBot="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13"/>
      <c r="L20" s="153"/>
      <c r="M20" s="153"/>
      <c r="N20" s="153"/>
      <c r="O20" s="153"/>
      <c r="P20" s="153"/>
      <c r="Q20" s="154"/>
      <c r="R20" s="155"/>
      <c r="S20" s="157">
        <f t="shared" si="3"/>
        <v>0</v>
      </c>
      <c r="T20" s="157"/>
      <c r="U20" s="157"/>
      <c r="V20" s="157"/>
      <c r="W20" s="157"/>
      <c r="X20" s="153"/>
      <c r="Y20" s="153"/>
      <c r="Z20" s="153"/>
      <c r="AA20" s="153"/>
      <c r="AB20" s="153"/>
      <c r="AC20" s="156">
        <f t="shared" si="2"/>
        <v>0</v>
      </c>
      <c r="AD20" s="156"/>
      <c r="AE20" s="156"/>
      <c r="AF20" s="156"/>
      <c r="AG20" s="156"/>
      <c r="AH20" s="188"/>
    </row>
    <row r="21" spans="1:34" ht="19.5" customHeight="1" thickTop="1" thickBot="1">
      <c r="A21" s="217" t="s">
        <v>229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9"/>
      <c r="L21" s="189"/>
      <c r="M21" s="189"/>
      <c r="N21" s="189"/>
      <c r="O21" s="189"/>
      <c r="P21" s="189"/>
      <c r="Q21" s="185"/>
      <c r="R21" s="185"/>
      <c r="S21" s="186">
        <f>SUM(S14:W20)</f>
        <v>0</v>
      </c>
      <c r="T21" s="186"/>
      <c r="U21" s="186"/>
      <c r="V21" s="186"/>
      <c r="W21" s="186"/>
      <c r="X21" s="186">
        <f>SUM(X14:AB20)</f>
        <v>0</v>
      </c>
      <c r="Y21" s="186"/>
      <c r="Z21" s="186"/>
      <c r="AA21" s="186"/>
      <c r="AB21" s="186"/>
      <c r="AC21" s="186">
        <f>SUM(AC14:AH20)</f>
        <v>0</v>
      </c>
      <c r="AD21" s="186"/>
      <c r="AE21" s="186"/>
      <c r="AF21" s="186"/>
      <c r="AG21" s="186"/>
      <c r="AH21" s="187"/>
    </row>
    <row r="22" spans="1:34" ht="19.5" customHeight="1">
      <c r="A22" s="116" t="s">
        <v>14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26" t="s">
        <v>215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8"/>
      <c r="AC22" s="129">
        <f>+AC12+AC21</f>
        <v>0</v>
      </c>
      <c r="AD22" s="129"/>
      <c r="AE22" s="129"/>
      <c r="AF22" s="129"/>
      <c r="AG22" s="129"/>
      <c r="AH22" s="130"/>
    </row>
    <row r="23" spans="1:34" ht="19.5" customHeight="1" thickBot="1">
      <c r="A23" s="131" t="s">
        <v>13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19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1"/>
      <c r="AC23" s="122">
        <f>ROUNDDOWN(AC22*0.1,0)</f>
        <v>0</v>
      </c>
      <c r="AD23" s="122"/>
      <c r="AE23" s="122"/>
      <c r="AF23" s="122"/>
      <c r="AG23" s="122"/>
      <c r="AH23" s="123"/>
    </row>
    <row r="24" spans="1:34" ht="19.5" customHeight="1" thickBot="1">
      <c r="A24" s="144" t="s">
        <v>4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1" t="s">
        <v>216</v>
      </c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3"/>
      <c r="AC24" s="139">
        <f>AC22+AC23</f>
        <v>0</v>
      </c>
      <c r="AD24" s="139"/>
      <c r="AE24" s="139"/>
      <c r="AF24" s="139"/>
      <c r="AG24" s="139"/>
      <c r="AH24" s="140"/>
    </row>
    <row r="25" spans="1:34" ht="19.5" customHeight="1">
      <c r="A25" s="133" t="s">
        <v>217</v>
      </c>
      <c r="B25" s="133"/>
      <c r="C25" s="107" t="s">
        <v>240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</row>
    <row r="26" spans="1:34" ht="19.5" customHeight="1">
      <c r="C26" s="107" t="s">
        <v>238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</row>
    <row r="27" spans="1:34" ht="19.5" customHeight="1">
      <c r="A27" s="97"/>
      <c r="B27" s="97"/>
      <c r="C27" s="107" t="s">
        <v>231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</row>
    <row r="28" spans="1:34" ht="19.5" customHeight="1">
      <c r="A28" s="97"/>
      <c r="B28" s="97"/>
      <c r="C28" s="107" t="s">
        <v>237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</row>
    <row r="29" spans="1:34" ht="19.5" customHeight="1">
      <c r="A29" s="97"/>
      <c r="B29" s="97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</row>
    <row r="30" spans="1:34" ht="19.5" customHeight="1">
      <c r="A30" s="94" t="s">
        <v>242</v>
      </c>
      <c r="D30" s="98"/>
    </row>
    <row r="31" spans="1:34" ht="19.5" customHeight="1">
      <c r="D31" s="98"/>
      <c r="V31" s="96" t="s">
        <v>208</v>
      </c>
      <c r="AC31" s="96"/>
    </row>
    <row r="32" spans="1:34" ht="19.5" customHeight="1">
      <c r="B32" s="134" t="s">
        <v>218</v>
      </c>
      <c r="C32" s="134"/>
      <c r="D32" s="134"/>
      <c r="E32" s="134"/>
      <c r="F32" s="134"/>
      <c r="G32" s="134"/>
      <c r="H32" s="134"/>
      <c r="I32" s="99"/>
      <c r="K32" s="135" t="s">
        <v>219</v>
      </c>
      <c r="L32" s="136"/>
      <c r="M32" s="137"/>
      <c r="P32" s="138" t="s">
        <v>220</v>
      </c>
      <c r="Q32" s="138"/>
      <c r="R32" s="138"/>
      <c r="S32" s="138"/>
      <c r="T32" s="138"/>
      <c r="U32" s="138"/>
      <c r="V32" s="138"/>
      <c r="Y32" s="100"/>
      <c r="Z32" s="138" t="s">
        <v>239</v>
      </c>
      <c r="AA32" s="138"/>
      <c r="AB32" s="138"/>
      <c r="AC32" s="138"/>
      <c r="AD32" s="138"/>
      <c r="AE32" s="138"/>
      <c r="AF32" s="138"/>
    </row>
    <row r="33" spans="1:32" ht="19.5" customHeight="1">
      <c r="B33" s="108">
        <f>AC12</f>
        <v>0</v>
      </c>
      <c r="C33" s="108"/>
      <c r="D33" s="108"/>
      <c r="E33" s="108"/>
      <c r="F33" s="108"/>
      <c r="G33" s="108"/>
      <c r="H33" s="108"/>
      <c r="I33" s="109" t="s">
        <v>221</v>
      </c>
      <c r="J33" s="109"/>
      <c r="K33" s="110">
        <v>0.5</v>
      </c>
      <c r="L33" s="111"/>
      <c r="M33" s="112"/>
      <c r="N33" s="109" t="s">
        <v>7</v>
      </c>
      <c r="O33" s="113"/>
      <c r="P33" s="114">
        <f>ROUNDDOWN(B33*1/2,-4)</f>
        <v>0</v>
      </c>
      <c r="Q33" s="114"/>
      <c r="R33" s="114"/>
      <c r="S33" s="114"/>
      <c r="T33" s="114"/>
      <c r="U33" s="114"/>
      <c r="V33" s="115"/>
      <c r="W33" s="190" t="s">
        <v>232</v>
      </c>
      <c r="X33" s="191"/>
      <c r="Y33" s="191"/>
      <c r="Z33" s="192"/>
      <c r="AA33" s="192"/>
      <c r="AB33" s="192"/>
      <c r="AC33" s="192"/>
      <c r="AD33" s="192"/>
      <c r="AE33" s="192"/>
      <c r="AF33" s="192"/>
    </row>
    <row r="34" spans="1:32" ht="19.5" customHeight="1">
      <c r="B34" s="108"/>
      <c r="C34" s="108"/>
      <c r="D34" s="108"/>
      <c r="E34" s="108"/>
      <c r="F34" s="108"/>
      <c r="G34" s="108"/>
      <c r="H34" s="108"/>
      <c r="I34" s="109"/>
      <c r="J34" s="109"/>
      <c r="K34" s="110"/>
      <c r="L34" s="111"/>
      <c r="M34" s="112"/>
      <c r="N34" s="109"/>
      <c r="O34" s="113"/>
      <c r="P34" s="114"/>
      <c r="Q34" s="114"/>
      <c r="R34" s="114"/>
      <c r="S34" s="114"/>
      <c r="T34" s="114"/>
      <c r="U34" s="114"/>
      <c r="V34" s="115"/>
      <c r="W34" s="190"/>
      <c r="X34" s="191"/>
      <c r="Y34" s="191"/>
      <c r="Z34" s="192"/>
      <c r="AA34" s="192"/>
      <c r="AB34" s="192"/>
      <c r="AC34" s="192"/>
      <c r="AD34" s="192"/>
      <c r="AE34" s="192"/>
      <c r="AF34" s="192"/>
    </row>
    <row r="35" spans="1:32" ht="19.5" customHeight="1" thickBot="1">
      <c r="A35" s="101"/>
      <c r="B35" s="101"/>
      <c r="C35" s="101"/>
      <c r="D35" s="101"/>
      <c r="E35" s="101"/>
      <c r="F35" s="101"/>
      <c r="G35" s="101"/>
      <c r="H35" s="101"/>
      <c r="I35" s="93"/>
      <c r="J35" s="93"/>
      <c r="K35" s="102"/>
      <c r="L35" s="102"/>
      <c r="M35" s="102"/>
      <c r="N35" s="93"/>
      <c r="O35" s="93"/>
      <c r="P35" s="103" t="s">
        <v>222</v>
      </c>
      <c r="Q35" s="101"/>
      <c r="R35" s="101"/>
      <c r="S35" s="101"/>
      <c r="T35" s="101"/>
      <c r="Z35" s="100"/>
      <c r="AA35" s="100"/>
      <c r="AB35" s="100"/>
      <c r="AC35" s="100"/>
      <c r="AD35" s="100"/>
      <c r="AE35" s="100"/>
      <c r="AF35" s="100"/>
    </row>
    <row r="36" spans="1:32" ht="19.5" customHeight="1">
      <c r="C36" s="104"/>
      <c r="D36" s="104"/>
      <c r="E36" s="104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4"/>
      <c r="Q36" s="104"/>
      <c r="R36" s="103"/>
      <c r="S36" s="101"/>
      <c r="T36" s="101"/>
      <c r="U36" s="101"/>
      <c r="V36" s="101"/>
      <c r="W36" s="101"/>
      <c r="X36" s="101"/>
      <c r="Y36" s="101"/>
      <c r="Z36" s="193" t="s">
        <v>230</v>
      </c>
      <c r="AA36" s="194"/>
      <c r="AB36" s="194"/>
      <c r="AC36" s="194"/>
      <c r="AD36" s="194"/>
      <c r="AE36" s="194"/>
      <c r="AF36" s="195"/>
    </row>
    <row r="37" spans="1:32" ht="19.5" customHeight="1">
      <c r="A37" s="101"/>
      <c r="B37" s="101"/>
      <c r="C37" s="101"/>
      <c r="D37" s="101"/>
      <c r="E37" s="101"/>
      <c r="F37" s="101"/>
      <c r="G37" s="101"/>
      <c r="H37" s="101"/>
      <c r="I37" s="93"/>
      <c r="J37" s="93"/>
      <c r="K37" s="102"/>
      <c r="L37" s="102"/>
      <c r="M37" s="102"/>
      <c r="N37" s="93"/>
      <c r="O37" s="93"/>
      <c r="P37" s="103"/>
      <c r="Q37" s="101"/>
      <c r="R37" s="101"/>
      <c r="S37" s="101"/>
      <c r="T37" s="101"/>
      <c r="Z37" s="196">
        <f>IF(P33&lt;Z33,P33,Z33)</f>
        <v>0</v>
      </c>
      <c r="AA37" s="197"/>
      <c r="AB37" s="197"/>
      <c r="AC37" s="197"/>
      <c r="AD37" s="197"/>
      <c r="AE37" s="197"/>
      <c r="AF37" s="198"/>
    </row>
    <row r="38" spans="1:32" ht="19.5" customHeight="1" thickBot="1">
      <c r="A38" s="101"/>
      <c r="B38" s="101"/>
      <c r="C38" s="101"/>
      <c r="D38" s="101"/>
      <c r="E38" s="101"/>
      <c r="F38" s="101"/>
      <c r="G38" s="101"/>
      <c r="H38" s="101"/>
      <c r="I38" s="93"/>
      <c r="J38" s="93"/>
      <c r="K38" s="102"/>
      <c r="L38" s="102"/>
      <c r="M38" s="102"/>
      <c r="N38" s="93"/>
      <c r="O38" s="93"/>
      <c r="P38" s="103"/>
      <c r="Q38" s="101"/>
      <c r="R38" s="101"/>
      <c r="S38" s="101"/>
      <c r="T38" s="101"/>
      <c r="W38" s="105"/>
      <c r="X38" s="105"/>
      <c r="Y38" s="105"/>
      <c r="Z38" s="199"/>
      <c r="AA38" s="200"/>
      <c r="AB38" s="200"/>
      <c r="AC38" s="200"/>
      <c r="AD38" s="200"/>
      <c r="AE38" s="200"/>
      <c r="AF38" s="201"/>
    </row>
    <row r="39" spans="1:32" ht="19.5" customHeight="1">
      <c r="W39" s="105"/>
      <c r="X39" s="105"/>
      <c r="Y39" s="105"/>
      <c r="Z39" s="100"/>
      <c r="AA39" s="100"/>
      <c r="AB39" s="100"/>
      <c r="AC39" s="100"/>
      <c r="AD39" s="100"/>
      <c r="AE39" s="100"/>
      <c r="AF39" s="100"/>
    </row>
  </sheetData>
  <sheetProtection password="D73A" sheet="1" formatCells="0"/>
  <mergeCells count="132">
    <mergeCell ref="W33:Y34"/>
    <mergeCell ref="Z32:AF32"/>
    <mergeCell ref="Z33:AF34"/>
    <mergeCell ref="Z36:AF36"/>
    <mergeCell ref="Z37:AF38"/>
    <mergeCell ref="A4:AH4"/>
    <mergeCell ref="A5:K5"/>
    <mergeCell ref="A6:K6"/>
    <mergeCell ref="A7:K7"/>
    <mergeCell ref="A8:K8"/>
    <mergeCell ref="A9:K9"/>
    <mergeCell ref="A10:K10"/>
    <mergeCell ref="A11:K11"/>
    <mergeCell ref="A14:K14"/>
    <mergeCell ref="A12:K12"/>
    <mergeCell ref="A15:K15"/>
    <mergeCell ref="A16:K16"/>
    <mergeCell ref="A17:K17"/>
    <mergeCell ref="A18:K18"/>
    <mergeCell ref="A19:K19"/>
    <mergeCell ref="A20:K20"/>
    <mergeCell ref="A21:K21"/>
    <mergeCell ref="A13:AH13"/>
    <mergeCell ref="X16:AB16"/>
    <mergeCell ref="AC18:AH18"/>
    <mergeCell ref="X17:AB17"/>
    <mergeCell ref="X18:AB18"/>
    <mergeCell ref="Q21:R21"/>
    <mergeCell ref="S21:W21"/>
    <mergeCell ref="X21:AB21"/>
    <mergeCell ref="L20:P20"/>
    <mergeCell ref="AC21:AH21"/>
    <mergeCell ref="AC17:AH17"/>
    <mergeCell ref="L19:P19"/>
    <mergeCell ref="Q19:R19"/>
    <mergeCell ref="S19:W19"/>
    <mergeCell ref="X19:AB19"/>
    <mergeCell ref="X20:AB20"/>
    <mergeCell ref="AC20:AH20"/>
    <mergeCell ref="L21:P21"/>
    <mergeCell ref="L14:P14"/>
    <mergeCell ref="Q14:R14"/>
    <mergeCell ref="S14:W14"/>
    <mergeCell ref="L15:P15"/>
    <mergeCell ref="X14:AB14"/>
    <mergeCell ref="AC14:AH14"/>
    <mergeCell ref="X15:AB15"/>
    <mergeCell ref="AC15:AH15"/>
    <mergeCell ref="L5:P5"/>
    <mergeCell ref="Q5:R5"/>
    <mergeCell ref="X5:AB5"/>
    <mergeCell ref="AC5:AH5"/>
    <mergeCell ref="L9:P9"/>
    <mergeCell ref="L7:P7"/>
    <mergeCell ref="L8:P8"/>
    <mergeCell ref="Q7:R7"/>
    <mergeCell ref="AC10:AH10"/>
    <mergeCell ref="X10:AB10"/>
    <mergeCell ref="S5:W5"/>
    <mergeCell ref="Q9:R9"/>
    <mergeCell ref="L10:P10"/>
    <mergeCell ref="Q10:R10"/>
    <mergeCell ref="S10:W10"/>
    <mergeCell ref="Q8:R8"/>
    <mergeCell ref="S9:W9"/>
    <mergeCell ref="X9:AB9"/>
    <mergeCell ref="AC9:AH9"/>
    <mergeCell ref="AC7:AH7"/>
    <mergeCell ref="AC8:AH8"/>
    <mergeCell ref="A2:K3"/>
    <mergeCell ref="L2:W2"/>
    <mergeCell ref="L3:P3"/>
    <mergeCell ref="Q3:R3"/>
    <mergeCell ref="S7:W7"/>
    <mergeCell ref="S8:W8"/>
    <mergeCell ref="X2:AB3"/>
    <mergeCell ref="AC2:AH3"/>
    <mergeCell ref="S3:W3"/>
    <mergeCell ref="Q6:R6"/>
    <mergeCell ref="S6:W6"/>
    <mergeCell ref="X6:AB6"/>
    <mergeCell ref="AC6:AH6"/>
    <mergeCell ref="X7:AB7"/>
    <mergeCell ref="X8:AB8"/>
    <mergeCell ref="C28:AH28"/>
    <mergeCell ref="X12:AB12"/>
    <mergeCell ref="L6:P6"/>
    <mergeCell ref="L18:P18"/>
    <mergeCell ref="L16:P16"/>
    <mergeCell ref="AC12:AH12"/>
    <mergeCell ref="L11:P11"/>
    <mergeCell ref="Q11:R11"/>
    <mergeCell ref="S11:W11"/>
    <mergeCell ref="S20:W20"/>
    <mergeCell ref="X11:AB11"/>
    <mergeCell ref="AC11:AH11"/>
    <mergeCell ref="Q15:R15"/>
    <mergeCell ref="S15:W15"/>
    <mergeCell ref="L12:P12"/>
    <mergeCell ref="Q12:R12"/>
    <mergeCell ref="S12:W12"/>
    <mergeCell ref="S17:W17"/>
    <mergeCell ref="Q20:R20"/>
    <mergeCell ref="Q18:R18"/>
    <mergeCell ref="S18:W18"/>
    <mergeCell ref="Q16:R16"/>
    <mergeCell ref="AC16:AH16"/>
    <mergeCell ref="S16:W16"/>
    <mergeCell ref="C25:AH25"/>
    <mergeCell ref="B33:H34"/>
    <mergeCell ref="I33:J34"/>
    <mergeCell ref="K33:M34"/>
    <mergeCell ref="N33:O34"/>
    <mergeCell ref="P33:V34"/>
    <mergeCell ref="A22:K22"/>
    <mergeCell ref="L17:P17"/>
    <mergeCell ref="C27:AH27"/>
    <mergeCell ref="L23:AB23"/>
    <mergeCell ref="AC23:AH23"/>
    <mergeCell ref="Q17:R17"/>
    <mergeCell ref="L22:AB22"/>
    <mergeCell ref="AC22:AH22"/>
    <mergeCell ref="A23:K23"/>
    <mergeCell ref="C26:AH26"/>
    <mergeCell ref="A25:B25"/>
    <mergeCell ref="B32:H32"/>
    <mergeCell ref="K32:M32"/>
    <mergeCell ref="P32:V32"/>
    <mergeCell ref="AC24:AH24"/>
    <mergeCell ref="L24:AB24"/>
    <mergeCell ref="A24:K24"/>
    <mergeCell ref="AC19:AH19"/>
  </mergeCells>
  <phoneticPr fontId="5"/>
  <conditionalFormatting sqref="A5:A12">
    <cfRule type="containsBlanks" dxfId="27" priority="2">
      <formula>LEN(TRIM(A5))=0</formula>
    </cfRule>
  </conditionalFormatting>
  <conditionalFormatting sqref="A17:A20">
    <cfRule type="containsBlanks" dxfId="26" priority="1">
      <formula>LEN(TRIM(A17))=0</formula>
    </cfRule>
  </conditionalFormatting>
  <conditionalFormatting sqref="L18:L19">
    <cfRule type="containsBlanks" dxfId="25" priority="12">
      <formula>LEN(TRIM(L18))=0</formula>
    </cfRule>
  </conditionalFormatting>
  <conditionalFormatting sqref="L5:R11 X5:AB12">
    <cfRule type="containsBlanks" dxfId="24" priority="16">
      <formula>LEN(TRIM(L5))=0</formula>
    </cfRule>
  </conditionalFormatting>
  <conditionalFormatting sqref="L14:AB17 Q18:Q19 L20:AB20">
    <cfRule type="containsBlanks" dxfId="23" priority="11">
      <formula>LEN(TRIM(L14))=0</formula>
    </cfRule>
  </conditionalFormatting>
  <conditionalFormatting sqref="S18:W19">
    <cfRule type="containsBlanks" dxfId="22" priority="9">
      <formula>LEN(TRIM(S18))=0</formula>
    </cfRule>
  </conditionalFormatting>
  <conditionalFormatting sqref="U34:V34">
    <cfRule type="containsBlanks" dxfId="21" priority="17">
      <formula>LEN(TRIM(U34))=0</formula>
    </cfRule>
    <cfRule type="containsBlanks" dxfId="20" priority="18">
      <formula>LEN(TRIM(U34))=0</formula>
    </cfRule>
  </conditionalFormatting>
  <conditionalFormatting sqref="X17:AB19">
    <cfRule type="containsBlanks" dxfId="19" priority="14">
      <formula>LEN(TRIM(X17))=0</formula>
    </cfRule>
  </conditionalFormatting>
  <printOptions horizontalCentered="1"/>
  <pageMargins left="0.70866141732283472" right="0.70866141732283472" top="0.74803149606299213" bottom="0.47244094488188981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5" tint="0.79998168889431442"/>
    <pageSetUpPr fitToPage="1"/>
  </sheetPr>
  <dimension ref="A1:AZ81"/>
  <sheetViews>
    <sheetView showZeros="0" view="pageBreakPreview" zoomScaleNormal="100" zoomScaleSheetLayoutView="100" workbookViewId="0">
      <selection activeCell="A3" sqref="A3:K4"/>
    </sheetView>
  </sheetViews>
  <sheetFormatPr defaultColWidth="9" defaultRowHeight="13"/>
  <cols>
    <col min="1" max="35" width="2.6328125" style="3" customWidth="1"/>
    <col min="36" max="40" width="2.6328125" style="3" hidden="1" customWidth="1"/>
    <col min="41" max="52" width="9" style="3" hidden="1" customWidth="1"/>
    <col min="53" max="16384" width="9" style="3"/>
  </cols>
  <sheetData>
    <row r="1" spans="1:49">
      <c r="A1" s="390" t="s">
        <v>137</v>
      </c>
      <c r="B1" s="391"/>
      <c r="C1" s="391"/>
      <c r="D1" s="391"/>
      <c r="E1" s="391"/>
      <c r="F1" s="391"/>
      <c r="G1" s="391"/>
      <c r="H1" s="391"/>
      <c r="I1" s="391"/>
      <c r="J1" s="391"/>
      <c r="K1" s="392"/>
      <c r="L1" s="396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8"/>
      <c r="AB1" s="402" t="s">
        <v>21</v>
      </c>
      <c r="AC1" s="403"/>
      <c r="AD1" s="406" t="str">
        <f ca="1">RIGHT(CELL("filename",AI1),LEN(CELL("filename",AI1))-FIND("]",CELL("filename",AI1)))</f>
        <v>ボイラ排出量算定（追加)</v>
      </c>
      <c r="AE1" s="407"/>
      <c r="AF1" s="407"/>
      <c r="AG1" s="407"/>
      <c r="AH1" s="407"/>
      <c r="AI1" s="408"/>
      <c r="AU1" s="3" t="s">
        <v>45</v>
      </c>
      <c r="AV1" s="3">
        <v>1</v>
      </c>
      <c r="AW1" s="25" t="s">
        <v>46</v>
      </c>
    </row>
    <row r="2" spans="1:49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5"/>
      <c r="L2" s="399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1"/>
      <c r="AB2" s="404"/>
      <c r="AC2" s="405"/>
      <c r="AD2" s="409"/>
      <c r="AE2" s="410"/>
      <c r="AF2" s="410"/>
      <c r="AG2" s="410"/>
      <c r="AH2" s="410"/>
      <c r="AI2" s="411"/>
      <c r="AU2" s="3" t="s">
        <v>47</v>
      </c>
      <c r="AV2" s="3">
        <v>0.995</v>
      </c>
      <c r="AW2" s="25" t="s">
        <v>48</v>
      </c>
    </row>
    <row r="3" spans="1:49" ht="13.5" customHeight="1">
      <c r="A3" s="412" t="s">
        <v>225</v>
      </c>
      <c r="B3" s="413"/>
      <c r="C3" s="413"/>
      <c r="D3" s="413"/>
      <c r="E3" s="413"/>
      <c r="F3" s="413"/>
      <c r="G3" s="413"/>
      <c r="H3" s="413"/>
      <c r="I3" s="416"/>
      <c r="J3" s="416"/>
      <c r="K3" s="416"/>
      <c r="L3" s="417" t="s">
        <v>126</v>
      </c>
      <c r="M3" s="418"/>
      <c r="N3" s="418"/>
      <c r="O3" s="418"/>
      <c r="P3" s="418"/>
      <c r="Q3" s="418"/>
      <c r="R3" s="418"/>
      <c r="S3" s="418"/>
      <c r="T3" s="418"/>
      <c r="U3" s="418"/>
      <c r="V3" s="419"/>
      <c r="W3" s="423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5"/>
      <c r="AU3" s="3" t="s">
        <v>49</v>
      </c>
      <c r="AV3" s="3">
        <v>0.99</v>
      </c>
      <c r="AW3" s="25" t="s">
        <v>50</v>
      </c>
    </row>
    <row r="4" spans="1:49" ht="13.5" customHeight="1">
      <c r="A4" s="414"/>
      <c r="B4" s="415"/>
      <c r="C4" s="415"/>
      <c r="D4" s="415"/>
      <c r="E4" s="415"/>
      <c r="F4" s="415"/>
      <c r="G4" s="415"/>
      <c r="H4" s="415"/>
      <c r="I4" s="416"/>
      <c r="J4" s="416"/>
      <c r="K4" s="416"/>
      <c r="L4" s="420"/>
      <c r="M4" s="421"/>
      <c r="N4" s="421"/>
      <c r="O4" s="421"/>
      <c r="P4" s="421"/>
      <c r="Q4" s="421"/>
      <c r="R4" s="421"/>
      <c r="S4" s="421"/>
      <c r="T4" s="421"/>
      <c r="U4" s="421"/>
      <c r="V4" s="422"/>
      <c r="W4" s="426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8"/>
      <c r="AJ4" s="4"/>
      <c r="AK4" s="7"/>
      <c r="AU4" s="3" t="s">
        <v>51</v>
      </c>
      <c r="AV4" s="3">
        <v>0.98499999999999999</v>
      </c>
      <c r="AW4" s="25" t="s">
        <v>52</v>
      </c>
    </row>
    <row r="5" spans="1:49" ht="13.5" customHeight="1">
      <c r="A5" s="281" t="s">
        <v>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3"/>
      <c r="AJ5" s="4"/>
      <c r="AU5" s="3" t="s">
        <v>59</v>
      </c>
      <c r="AV5" s="3">
        <v>0.98</v>
      </c>
      <c r="AW5" s="25" t="s">
        <v>60</v>
      </c>
    </row>
    <row r="6" spans="1:49" ht="13.5" customHeight="1">
      <c r="A6" s="26" t="s">
        <v>124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89" t="str">
        <f>IF(AQ7=1,"",AO25)</f>
        <v/>
      </c>
      <c r="AJ6" s="4"/>
      <c r="AK6" s="7"/>
      <c r="AU6" s="3" t="s">
        <v>61</v>
      </c>
      <c r="AV6" s="3">
        <v>0.97499999999999998</v>
      </c>
      <c r="AW6" s="25" t="s">
        <v>62</v>
      </c>
    </row>
    <row r="7" spans="1:49" ht="13.5" customHeight="1">
      <c r="A7" s="6"/>
      <c r="B7" s="7" t="s">
        <v>132</v>
      </c>
      <c r="C7" s="7"/>
      <c r="D7" s="7"/>
      <c r="E7" s="7"/>
      <c r="F7" s="4"/>
      <c r="G7" s="4"/>
      <c r="H7" s="4"/>
      <c r="J7" s="7"/>
      <c r="M7" s="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Q7" s="54">
        <v>1</v>
      </c>
      <c r="AU7" s="3" t="s">
        <v>63</v>
      </c>
      <c r="AV7" s="3">
        <v>0.97</v>
      </c>
      <c r="AW7" s="25" t="s">
        <v>64</v>
      </c>
    </row>
    <row r="8" spans="1:49" ht="13.5" customHeight="1">
      <c r="A8" s="6"/>
      <c r="B8" s="7" t="s">
        <v>131</v>
      </c>
      <c r="C8" s="7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O8" s="377"/>
      <c r="AP8" s="377"/>
      <c r="AQ8" s="377"/>
      <c r="AU8" s="3" t="s">
        <v>65</v>
      </c>
      <c r="AV8" s="3">
        <v>0.96499999999999997</v>
      </c>
      <c r="AW8" s="25" t="s">
        <v>66</v>
      </c>
    </row>
    <row r="9" spans="1:49" ht="13.5" customHeight="1">
      <c r="A9" s="6"/>
      <c r="B9" s="327"/>
      <c r="C9" s="346" t="s">
        <v>127</v>
      </c>
      <c r="D9" s="346"/>
      <c r="E9" s="346"/>
      <c r="F9" s="346"/>
      <c r="G9" s="346"/>
      <c r="H9" s="346"/>
      <c r="I9" s="347"/>
      <c r="J9" s="378" t="s">
        <v>128</v>
      </c>
      <c r="K9" s="379"/>
      <c r="L9" s="379"/>
      <c r="M9" s="382" t="s">
        <v>130</v>
      </c>
      <c r="N9" s="383"/>
      <c r="O9" s="386" t="s">
        <v>129</v>
      </c>
      <c r="P9" s="386"/>
      <c r="Q9" s="386"/>
      <c r="R9" s="327"/>
      <c r="S9" s="345" t="s">
        <v>127</v>
      </c>
      <c r="T9" s="346"/>
      <c r="U9" s="346"/>
      <c r="V9" s="346"/>
      <c r="W9" s="346"/>
      <c r="X9" s="346"/>
      <c r="Y9" s="347"/>
      <c r="Z9" s="378" t="s">
        <v>128</v>
      </c>
      <c r="AA9" s="379"/>
      <c r="AB9" s="379"/>
      <c r="AC9" s="382" t="s">
        <v>130</v>
      </c>
      <c r="AD9" s="383"/>
      <c r="AE9" s="386" t="s">
        <v>129</v>
      </c>
      <c r="AF9" s="386"/>
      <c r="AG9" s="386"/>
      <c r="AH9" s="28"/>
      <c r="AI9" s="8"/>
      <c r="AU9" s="3" t="s">
        <v>67</v>
      </c>
      <c r="AV9" s="3">
        <v>0.96</v>
      </c>
      <c r="AW9" s="25" t="s">
        <v>22</v>
      </c>
    </row>
    <row r="10" spans="1:49" ht="13.5" customHeight="1">
      <c r="A10" s="6"/>
      <c r="B10" s="328"/>
      <c r="C10" s="349"/>
      <c r="D10" s="349"/>
      <c r="E10" s="349"/>
      <c r="F10" s="349"/>
      <c r="G10" s="349"/>
      <c r="H10" s="349"/>
      <c r="I10" s="350"/>
      <c r="J10" s="380"/>
      <c r="K10" s="381"/>
      <c r="L10" s="381"/>
      <c r="M10" s="384"/>
      <c r="N10" s="385"/>
      <c r="O10" s="387"/>
      <c r="P10" s="387"/>
      <c r="Q10" s="387"/>
      <c r="R10" s="328"/>
      <c r="S10" s="348"/>
      <c r="T10" s="349"/>
      <c r="U10" s="349"/>
      <c r="V10" s="349"/>
      <c r="W10" s="349"/>
      <c r="X10" s="349"/>
      <c r="Y10" s="350"/>
      <c r="Z10" s="380"/>
      <c r="AA10" s="381"/>
      <c r="AB10" s="381"/>
      <c r="AC10" s="388"/>
      <c r="AD10" s="389"/>
      <c r="AE10" s="387"/>
      <c r="AF10" s="387"/>
      <c r="AG10" s="387"/>
      <c r="AH10" s="28"/>
      <c r="AI10" s="8"/>
      <c r="AU10" s="3" t="s">
        <v>68</v>
      </c>
      <c r="AV10" s="3">
        <v>0.95499999999999996</v>
      </c>
    </row>
    <row r="11" spans="1:49" ht="13.5" customHeight="1">
      <c r="A11" s="6"/>
      <c r="B11" s="20">
        <v>1</v>
      </c>
      <c r="C11" s="298"/>
      <c r="D11" s="305"/>
      <c r="E11" s="305"/>
      <c r="F11" s="305"/>
      <c r="G11" s="305"/>
      <c r="H11" s="305"/>
      <c r="I11" s="299"/>
      <c r="J11" s="376"/>
      <c r="K11" s="370"/>
      <c r="L11" s="370"/>
      <c r="M11" s="370"/>
      <c r="N11" s="371"/>
      <c r="O11" s="298"/>
      <c r="P11" s="305"/>
      <c r="Q11" s="299"/>
      <c r="R11" s="19">
        <v>5</v>
      </c>
      <c r="S11" s="298"/>
      <c r="T11" s="305"/>
      <c r="U11" s="305"/>
      <c r="V11" s="305"/>
      <c r="W11" s="305"/>
      <c r="X11" s="305"/>
      <c r="Y11" s="299"/>
      <c r="Z11" s="376"/>
      <c r="AA11" s="370"/>
      <c r="AB11" s="370"/>
      <c r="AC11" s="370"/>
      <c r="AD11" s="371"/>
      <c r="AE11" s="298"/>
      <c r="AF11" s="305"/>
      <c r="AG11" s="299"/>
      <c r="AH11" s="29"/>
      <c r="AI11" s="8"/>
      <c r="AU11" s="3" t="s">
        <v>69</v>
      </c>
      <c r="AV11" s="3">
        <v>0.95</v>
      </c>
    </row>
    <row r="12" spans="1:49" ht="13.5" customHeight="1">
      <c r="A12" s="6"/>
      <c r="B12" s="20">
        <v>2</v>
      </c>
      <c r="C12" s="298"/>
      <c r="D12" s="305"/>
      <c r="E12" s="305"/>
      <c r="F12" s="305"/>
      <c r="G12" s="305"/>
      <c r="H12" s="305"/>
      <c r="I12" s="299"/>
      <c r="J12" s="376"/>
      <c r="K12" s="370"/>
      <c r="L12" s="370"/>
      <c r="M12" s="370"/>
      <c r="N12" s="371"/>
      <c r="O12" s="298"/>
      <c r="P12" s="305"/>
      <c r="Q12" s="299"/>
      <c r="R12" s="19">
        <v>6</v>
      </c>
      <c r="S12" s="298"/>
      <c r="T12" s="305"/>
      <c r="U12" s="305"/>
      <c r="V12" s="305"/>
      <c r="W12" s="305"/>
      <c r="X12" s="305"/>
      <c r="Y12" s="299"/>
      <c r="Z12" s="376"/>
      <c r="AA12" s="370"/>
      <c r="AB12" s="370"/>
      <c r="AC12" s="370"/>
      <c r="AD12" s="371"/>
      <c r="AE12" s="298"/>
      <c r="AF12" s="305"/>
      <c r="AG12" s="299"/>
      <c r="AH12" s="29"/>
      <c r="AI12" s="8"/>
      <c r="AU12" s="3" t="s">
        <v>70</v>
      </c>
      <c r="AV12" s="3">
        <v>0.94499999999999995</v>
      </c>
    </row>
    <row r="13" spans="1:49" ht="13.5" customHeight="1">
      <c r="A13" s="6"/>
      <c r="B13" s="20">
        <v>3</v>
      </c>
      <c r="C13" s="298"/>
      <c r="D13" s="305"/>
      <c r="E13" s="305"/>
      <c r="F13" s="305"/>
      <c r="G13" s="305"/>
      <c r="H13" s="305"/>
      <c r="I13" s="299"/>
      <c r="J13" s="376"/>
      <c r="K13" s="370"/>
      <c r="L13" s="370"/>
      <c r="M13" s="370"/>
      <c r="N13" s="371"/>
      <c r="O13" s="298"/>
      <c r="P13" s="305"/>
      <c r="Q13" s="299"/>
      <c r="R13" s="19">
        <v>7</v>
      </c>
      <c r="S13" s="298"/>
      <c r="T13" s="305"/>
      <c r="U13" s="305"/>
      <c r="V13" s="305"/>
      <c r="W13" s="305"/>
      <c r="X13" s="305"/>
      <c r="Y13" s="299"/>
      <c r="Z13" s="376"/>
      <c r="AA13" s="370"/>
      <c r="AB13" s="370"/>
      <c r="AC13" s="370"/>
      <c r="AD13" s="371"/>
      <c r="AE13" s="298"/>
      <c r="AF13" s="305"/>
      <c r="AG13" s="299"/>
      <c r="AH13" s="29"/>
      <c r="AI13" s="8"/>
      <c r="AU13" s="3" t="s">
        <v>71</v>
      </c>
      <c r="AV13" s="3">
        <v>0.94</v>
      </c>
    </row>
    <row r="14" spans="1:49" ht="13.5" customHeight="1">
      <c r="A14" s="6"/>
      <c r="B14" s="20">
        <v>4</v>
      </c>
      <c r="C14" s="298"/>
      <c r="D14" s="305"/>
      <c r="E14" s="305"/>
      <c r="F14" s="305"/>
      <c r="G14" s="305"/>
      <c r="H14" s="305"/>
      <c r="I14" s="299"/>
      <c r="J14" s="376"/>
      <c r="K14" s="370"/>
      <c r="L14" s="370"/>
      <c r="M14" s="370"/>
      <c r="N14" s="371"/>
      <c r="O14" s="298"/>
      <c r="P14" s="305"/>
      <c r="Q14" s="299"/>
      <c r="R14" s="19">
        <v>8</v>
      </c>
      <c r="S14" s="298"/>
      <c r="T14" s="305"/>
      <c r="U14" s="305"/>
      <c r="V14" s="305"/>
      <c r="W14" s="305"/>
      <c r="X14" s="305"/>
      <c r="Y14" s="299"/>
      <c r="Z14" s="376"/>
      <c r="AA14" s="370"/>
      <c r="AB14" s="370"/>
      <c r="AC14" s="370"/>
      <c r="AD14" s="371"/>
      <c r="AE14" s="298"/>
      <c r="AF14" s="305"/>
      <c r="AG14" s="299"/>
      <c r="AH14" s="29"/>
      <c r="AI14" s="8"/>
      <c r="AU14" s="3" t="s">
        <v>72</v>
      </c>
      <c r="AV14" s="3">
        <v>0.93500000000000005</v>
      </c>
    </row>
    <row r="15" spans="1:49">
      <c r="A15" s="6"/>
      <c r="B15" s="1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/>
      <c r="AK15" s="7"/>
      <c r="AL15" s="7"/>
      <c r="AU15" s="3" t="s">
        <v>73</v>
      </c>
      <c r="AV15" s="3">
        <v>0.93</v>
      </c>
    </row>
    <row r="16" spans="1:49">
      <c r="A16" s="6"/>
      <c r="B16" s="7" t="s">
        <v>133</v>
      </c>
      <c r="C16" s="7"/>
      <c r="D16" s="7"/>
      <c r="E16" s="7"/>
      <c r="F16" s="7"/>
      <c r="G16" s="7"/>
      <c r="H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/>
      <c r="AU16" s="3" t="s">
        <v>74</v>
      </c>
      <c r="AV16" s="3">
        <v>0.92500000000000004</v>
      </c>
    </row>
    <row r="17" spans="1:48">
      <c r="A17" s="6"/>
      <c r="B17" s="327"/>
      <c r="C17" s="335" t="s">
        <v>53</v>
      </c>
      <c r="D17" s="336"/>
      <c r="E17" s="336"/>
      <c r="F17" s="336"/>
      <c r="G17" s="336"/>
      <c r="H17" s="336"/>
      <c r="I17" s="336"/>
      <c r="J17" s="337"/>
      <c r="K17" s="335" t="s">
        <v>54</v>
      </c>
      <c r="L17" s="336"/>
      <c r="M17" s="336"/>
      <c r="N17" s="337"/>
      <c r="O17" s="372" t="s">
        <v>55</v>
      </c>
      <c r="P17" s="373"/>
      <c r="Q17" s="345" t="s">
        <v>23</v>
      </c>
      <c r="R17" s="346"/>
      <c r="S17" s="346"/>
      <c r="T17" s="347"/>
      <c r="U17" s="335" t="s">
        <v>24</v>
      </c>
      <c r="V17" s="337"/>
      <c r="W17" s="341" t="s">
        <v>56</v>
      </c>
      <c r="X17" s="351"/>
      <c r="Y17" s="351"/>
      <c r="Z17" s="351"/>
      <c r="AA17" s="351"/>
      <c r="AB17" s="342"/>
      <c r="AC17" s="341" t="s">
        <v>57</v>
      </c>
      <c r="AD17" s="342"/>
      <c r="AE17" s="353" t="s">
        <v>58</v>
      </c>
      <c r="AF17" s="353"/>
      <c r="AG17" s="353"/>
      <c r="AH17" s="353"/>
      <c r="AI17" s="9"/>
      <c r="AK17" s="7"/>
      <c r="AU17" s="3" t="s">
        <v>75</v>
      </c>
      <c r="AV17" s="3">
        <v>0.92</v>
      </c>
    </row>
    <row r="18" spans="1:48">
      <c r="A18" s="6"/>
      <c r="B18" s="328"/>
      <c r="C18" s="338"/>
      <c r="D18" s="339"/>
      <c r="E18" s="339"/>
      <c r="F18" s="339"/>
      <c r="G18" s="339"/>
      <c r="H18" s="339"/>
      <c r="I18" s="339"/>
      <c r="J18" s="340"/>
      <c r="K18" s="338"/>
      <c r="L18" s="339"/>
      <c r="M18" s="339"/>
      <c r="N18" s="340"/>
      <c r="O18" s="374"/>
      <c r="P18" s="375"/>
      <c r="Q18" s="348"/>
      <c r="R18" s="349"/>
      <c r="S18" s="349"/>
      <c r="T18" s="350"/>
      <c r="U18" s="338"/>
      <c r="V18" s="340"/>
      <c r="W18" s="343"/>
      <c r="X18" s="352"/>
      <c r="Y18" s="352"/>
      <c r="Z18" s="352"/>
      <c r="AA18" s="352"/>
      <c r="AB18" s="344"/>
      <c r="AC18" s="343"/>
      <c r="AD18" s="344"/>
      <c r="AE18" s="353"/>
      <c r="AF18" s="353"/>
      <c r="AG18" s="353"/>
      <c r="AH18" s="353"/>
      <c r="AI18" s="9"/>
      <c r="AK18" s="7"/>
      <c r="AR18" s="3" t="s">
        <v>123</v>
      </c>
      <c r="AU18" s="3" t="s">
        <v>76</v>
      </c>
      <c r="AV18" s="3">
        <v>0.91500000000000004</v>
      </c>
    </row>
    <row r="19" spans="1:48" ht="13.5" customHeight="1">
      <c r="A19" s="29"/>
      <c r="B19" s="19">
        <v>1</v>
      </c>
      <c r="C19" s="298"/>
      <c r="D19" s="305"/>
      <c r="E19" s="305"/>
      <c r="F19" s="305"/>
      <c r="G19" s="305"/>
      <c r="H19" s="305"/>
      <c r="I19" s="305"/>
      <c r="J19" s="299"/>
      <c r="K19" s="306"/>
      <c r="L19" s="307"/>
      <c r="M19" s="307"/>
      <c r="N19" s="308"/>
      <c r="O19" s="356"/>
      <c r="P19" s="357"/>
      <c r="Q19" s="324"/>
      <c r="R19" s="325"/>
      <c r="S19" s="325"/>
      <c r="T19" s="326"/>
      <c r="U19" s="358"/>
      <c r="V19" s="359"/>
      <c r="W19" s="360"/>
      <c r="X19" s="360"/>
      <c r="Y19" s="360"/>
      <c r="Z19" s="361"/>
      <c r="AA19" s="362" t="str">
        <f>IF(Q19="","",VLOOKUP(Q19,$B$71:$Y$80,10,FALSE))</f>
        <v/>
      </c>
      <c r="AB19" s="363"/>
      <c r="AC19" s="364"/>
      <c r="AD19" s="365"/>
      <c r="AE19" s="366" t="str">
        <f>IF(Q19="","",W19*AL19*AP19*44/12)</f>
        <v/>
      </c>
      <c r="AF19" s="366"/>
      <c r="AG19" s="366"/>
      <c r="AH19" s="366"/>
      <c r="AI19" s="30"/>
      <c r="AK19" s="7"/>
      <c r="AL19" s="3" t="e">
        <f>VLOOKUP(Q19,$B$71:$Y$80,13,FALSE)</f>
        <v>#N/A</v>
      </c>
      <c r="AM19" s="309" t="e">
        <f>VLOOKUP(Q19,$B$71:$Y$80,17,FALSE)</f>
        <v>#N/A</v>
      </c>
      <c r="AN19" s="309"/>
      <c r="AO19" s="309"/>
      <c r="AP19" s="31" t="e">
        <f>VLOOKUP(Q19,$B$71:$Y$80,21,FALSE)</f>
        <v>#N/A</v>
      </c>
      <c r="AQ19" s="31">
        <f>Q19</f>
        <v>0</v>
      </c>
      <c r="AR19" s="32" t="e">
        <f>IF(W19="","",W19*AM19)*AC19</f>
        <v>#VALUE!</v>
      </c>
      <c r="AT19" s="3" t="e">
        <f>VLOOKUP(O19,$AU$1:$AV$60,2,FALSE)</f>
        <v>#N/A</v>
      </c>
      <c r="AU19" s="3" t="s">
        <v>77</v>
      </c>
      <c r="AV19" s="3">
        <v>0.91</v>
      </c>
    </row>
    <row r="20" spans="1:48" ht="13.5" customHeight="1">
      <c r="A20" s="6"/>
      <c r="B20" s="19">
        <v>2</v>
      </c>
      <c r="C20" s="298"/>
      <c r="D20" s="305"/>
      <c r="E20" s="305"/>
      <c r="F20" s="305"/>
      <c r="G20" s="305"/>
      <c r="H20" s="305"/>
      <c r="I20" s="305"/>
      <c r="J20" s="299"/>
      <c r="K20" s="306"/>
      <c r="L20" s="307"/>
      <c r="M20" s="307"/>
      <c r="N20" s="308"/>
      <c r="O20" s="356"/>
      <c r="P20" s="357"/>
      <c r="Q20" s="324"/>
      <c r="R20" s="325"/>
      <c r="S20" s="325"/>
      <c r="T20" s="326"/>
      <c r="U20" s="358"/>
      <c r="V20" s="359"/>
      <c r="W20" s="360"/>
      <c r="X20" s="360"/>
      <c r="Y20" s="360"/>
      <c r="Z20" s="361"/>
      <c r="AA20" s="362" t="str">
        <f>IF(Q20="","",VLOOKUP(Q20,$B$71:$Y$80,10,FALSE))</f>
        <v/>
      </c>
      <c r="AB20" s="363"/>
      <c r="AC20" s="364"/>
      <c r="AD20" s="365"/>
      <c r="AE20" s="366" t="str">
        <f>IF(Q20="","",W20*AL20*AP20*44/12)</f>
        <v/>
      </c>
      <c r="AF20" s="366"/>
      <c r="AG20" s="366"/>
      <c r="AH20" s="366"/>
      <c r="AI20" s="30"/>
      <c r="AL20" s="3" t="e">
        <f>VLOOKUP(Q20,$B$71:$Y$80,13,FALSE)</f>
        <v>#N/A</v>
      </c>
      <c r="AM20" s="309" t="e">
        <f>VLOOKUP(Q20,$B$71:$Y$80,17,FALSE)</f>
        <v>#N/A</v>
      </c>
      <c r="AN20" s="309"/>
      <c r="AO20" s="309"/>
      <c r="AP20" s="31" t="e">
        <f>VLOOKUP(Q20,$B$71:$Y$80,21,FALSE)</f>
        <v>#N/A</v>
      </c>
      <c r="AR20" s="32" t="e">
        <f>IF(W20="","",W20*AM20)*AC20</f>
        <v>#VALUE!</v>
      </c>
      <c r="AT20" s="3" t="e">
        <f>VLOOKUP(O20,$AU$1:$AV$60,2,FALSE)</f>
        <v>#N/A</v>
      </c>
      <c r="AU20" s="3" t="s">
        <v>78</v>
      </c>
      <c r="AV20" s="3">
        <v>0.90500000000000003</v>
      </c>
    </row>
    <row r="21" spans="1:48" ht="13.5" customHeight="1">
      <c r="A21" s="6"/>
      <c r="B21" s="19">
        <v>3</v>
      </c>
      <c r="C21" s="298"/>
      <c r="D21" s="305"/>
      <c r="E21" s="305"/>
      <c r="F21" s="305"/>
      <c r="G21" s="305"/>
      <c r="H21" s="305"/>
      <c r="I21" s="305"/>
      <c r="J21" s="299"/>
      <c r="K21" s="367"/>
      <c r="L21" s="368"/>
      <c r="M21" s="368"/>
      <c r="N21" s="369"/>
      <c r="O21" s="356"/>
      <c r="P21" s="357"/>
      <c r="Q21" s="324"/>
      <c r="R21" s="325"/>
      <c r="S21" s="325"/>
      <c r="T21" s="326"/>
      <c r="U21" s="358"/>
      <c r="V21" s="359"/>
      <c r="W21" s="360"/>
      <c r="X21" s="360"/>
      <c r="Y21" s="360"/>
      <c r="Z21" s="361"/>
      <c r="AA21" s="362" t="str">
        <f>IF(Q21="","",VLOOKUP(Q21,$B$71:$Y$80,10,FALSE))</f>
        <v/>
      </c>
      <c r="AB21" s="363"/>
      <c r="AC21" s="364"/>
      <c r="AD21" s="365"/>
      <c r="AE21" s="366" t="str">
        <f>IF(Q21="","",W21*AL21*AP21*44/12)</f>
        <v/>
      </c>
      <c r="AF21" s="366"/>
      <c r="AG21" s="366"/>
      <c r="AH21" s="366"/>
      <c r="AI21" s="30"/>
      <c r="AL21" s="3" t="e">
        <f>VLOOKUP(Q21,$B$71:$Y$80,13,FALSE)</f>
        <v>#N/A</v>
      </c>
      <c r="AM21" s="309" t="e">
        <f>VLOOKUP(Q21,$B$71:$Y$80,17,FALSE)</f>
        <v>#N/A</v>
      </c>
      <c r="AN21" s="309"/>
      <c r="AO21" s="309"/>
      <c r="AP21" s="31" t="e">
        <f>VLOOKUP(Q21,$B$71:$Y$80,21,FALSE)</f>
        <v>#N/A</v>
      </c>
      <c r="AR21" s="32" t="e">
        <f>IF(W21="","",W21*AM21)*AC21</f>
        <v>#VALUE!</v>
      </c>
      <c r="AT21" s="3" t="e">
        <f>VLOOKUP(O21,$AU$1:$AV$60,2,FALSE)</f>
        <v>#N/A</v>
      </c>
      <c r="AU21" s="3" t="s">
        <v>79</v>
      </c>
      <c r="AV21" s="3">
        <v>0.9</v>
      </c>
    </row>
    <row r="22" spans="1:48" ht="13.5" customHeight="1" thickBot="1">
      <c r="A22" s="6"/>
      <c r="B22" s="19">
        <v>4</v>
      </c>
      <c r="C22" s="298"/>
      <c r="D22" s="305"/>
      <c r="E22" s="305"/>
      <c r="F22" s="305"/>
      <c r="G22" s="305"/>
      <c r="H22" s="305"/>
      <c r="I22" s="305"/>
      <c r="J22" s="299"/>
      <c r="K22" s="306"/>
      <c r="L22" s="307"/>
      <c r="M22" s="307"/>
      <c r="N22" s="308"/>
      <c r="O22" s="356"/>
      <c r="P22" s="357"/>
      <c r="Q22" s="324"/>
      <c r="R22" s="325"/>
      <c r="S22" s="325"/>
      <c r="T22" s="326"/>
      <c r="U22" s="358"/>
      <c r="V22" s="359"/>
      <c r="W22" s="360"/>
      <c r="X22" s="360"/>
      <c r="Y22" s="360"/>
      <c r="Z22" s="361"/>
      <c r="AA22" s="362" t="str">
        <f>IF(Q22="","",VLOOKUP(Q22,$B$71:$Y$80,10,FALSE))</f>
        <v/>
      </c>
      <c r="AB22" s="363"/>
      <c r="AC22" s="364"/>
      <c r="AD22" s="365"/>
      <c r="AE22" s="366" t="str">
        <f>IF(Q22="","",W22*AL22*AP22*44/12)</f>
        <v/>
      </c>
      <c r="AF22" s="366"/>
      <c r="AG22" s="366"/>
      <c r="AH22" s="366"/>
      <c r="AI22" s="30"/>
      <c r="AL22" s="3" t="e">
        <f>VLOOKUP(Q22,$B$71:$Y$80,13,FALSE)</f>
        <v>#N/A</v>
      </c>
      <c r="AM22" s="309" t="e">
        <f>VLOOKUP(Q22,$B$71:$Y$80,17,FALSE)</f>
        <v>#N/A</v>
      </c>
      <c r="AN22" s="309"/>
      <c r="AO22" s="309"/>
      <c r="AP22" s="31" t="e">
        <f>VLOOKUP(Q22,$B$71:$Y$80,21,FALSE)</f>
        <v>#N/A</v>
      </c>
      <c r="AR22" s="32" t="e">
        <f>IF(W22="","",W22*AM22)*AC22</f>
        <v>#VALUE!</v>
      </c>
      <c r="AT22" s="3" t="e">
        <f>VLOOKUP(O22,$AU$1:$AV$60,2,FALSE)</f>
        <v>#N/A</v>
      </c>
      <c r="AU22" s="3" t="s">
        <v>80</v>
      </c>
      <c r="AV22" s="3">
        <v>0.89500000000000002</v>
      </c>
    </row>
    <row r="23" spans="1:48" ht="13.5" customHeight="1" thickBo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33"/>
      <c r="R23" s="33"/>
      <c r="S23" s="33"/>
      <c r="T23" s="33"/>
      <c r="U23" s="90"/>
      <c r="V23" s="27"/>
      <c r="W23" s="90"/>
      <c r="X23" s="90"/>
      <c r="Y23" s="90"/>
      <c r="AA23" s="7"/>
      <c r="AB23" s="7"/>
      <c r="AC23" s="7"/>
      <c r="AD23" s="7"/>
      <c r="AE23" s="7"/>
      <c r="AF23" s="7"/>
      <c r="AG23" s="7"/>
      <c r="AH23" s="7"/>
      <c r="AI23" s="8"/>
      <c r="AR23" s="34">
        <f>_xlfn.AGGREGATE(9,7,AR19:AR22)</f>
        <v>0</v>
      </c>
      <c r="AU23" s="3" t="s">
        <v>81</v>
      </c>
      <c r="AV23" s="3">
        <v>0.89</v>
      </c>
    </row>
    <row r="24" spans="1:48" ht="13.5" customHeight="1">
      <c r="A24" s="6"/>
      <c r="B24" s="7"/>
      <c r="D24" s="7"/>
      <c r="E24" s="7"/>
      <c r="F24" s="7"/>
      <c r="H24" s="7"/>
      <c r="K24" s="35" t="str">
        <f>IF(COUNTIF(K19:K22,"その他")&gt;=1,"ボイラ方式がその他の場合の説明を記載→","")</f>
        <v/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7"/>
      <c r="AB24" s="7"/>
      <c r="AC24" s="7"/>
      <c r="AD24" s="7"/>
      <c r="AE24" s="7"/>
      <c r="AF24" s="7"/>
      <c r="AG24" s="7"/>
      <c r="AH24" s="7"/>
      <c r="AI24" s="8"/>
      <c r="AU24" s="3" t="s">
        <v>82</v>
      </c>
      <c r="AV24" s="3">
        <v>0.88500000000000001</v>
      </c>
    </row>
    <row r="25" spans="1:48" ht="13.5" customHeight="1">
      <c r="A25" s="6"/>
      <c r="D25" s="7"/>
      <c r="E25" s="7"/>
      <c r="F25" s="4"/>
      <c r="H25" s="7"/>
      <c r="I25" s="7"/>
      <c r="J25" s="4"/>
      <c r="L25" s="7"/>
      <c r="M25" s="7"/>
      <c r="N25" s="7"/>
      <c r="O25" s="7"/>
      <c r="P25" s="4"/>
      <c r="R25" s="36" t="s">
        <v>11</v>
      </c>
      <c r="S25" s="284" t="s">
        <v>19</v>
      </c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5"/>
      <c r="AO25" s="3" t="s">
        <v>207</v>
      </c>
      <c r="AU25" s="3" t="s">
        <v>83</v>
      </c>
      <c r="AV25" s="3">
        <v>0.88</v>
      </c>
    </row>
    <row r="26" spans="1:48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7" t="str">
        <f>IF(AQ7=1,"",AO26)</f>
        <v/>
      </c>
      <c r="Q26" s="11"/>
      <c r="R26" s="12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7"/>
      <c r="AO26" s="3" t="s">
        <v>206</v>
      </c>
      <c r="AU26" s="3" t="s">
        <v>84</v>
      </c>
      <c r="AV26" s="3">
        <v>0.875</v>
      </c>
    </row>
    <row r="27" spans="1:48" ht="13.5" customHeight="1">
      <c r="A27" s="38"/>
      <c r="B27" s="13"/>
      <c r="H27" s="288" t="s">
        <v>8</v>
      </c>
      <c r="I27" s="288"/>
      <c r="J27" s="288"/>
      <c r="K27" s="288"/>
      <c r="L27" s="288"/>
      <c r="M27" s="288"/>
      <c r="N27" s="288"/>
      <c r="O27" s="288"/>
      <c r="P27" s="290"/>
      <c r="Q27" s="291"/>
      <c r="R27" s="291"/>
      <c r="S27" s="291"/>
      <c r="T27" s="291"/>
      <c r="U27" s="291"/>
      <c r="V27" s="240" t="s">
        <v>5</v>
      </c>
      <c r="W27" s="240"/>
      <c r="X27" s="240"/>
      <c r="Y27" s="257"/>
      <c r="Z27" s="354">
        <f>SUM(AE19:AG22)</f>
        <v>0</v>
      </c>
      <c r="AA27" s="355"/>
      <c r="AB27" s="355"/>
      <c r="AC27" s="355"/>
      <c r="AD27" s="355"/>
      <c r="AE27" s="355"/>
      <c r="AF27" s="280" t="s">
        <v>5</v>
      </c>
      <c r="AG27" s="280"/>
      <c r="AH27" s="280"/>
      <c r="AI27" s="275"/>
      <c r="AU27" s="3" t="s">
        <v>85</v>
      </c>
      <c r="AV27" s="3">
        <v>0.87</v>
      </c>
    </row>
    <row r="28" spans="1:48" ht="13.5" customHeight="1">
      <c r="A28" s="38"/>
      <c r="B28" s="13"/>
      <c r="H28" s="289"/>
      <c r="I28" s="289"/>
      <c r="J28" s="289"/>
      <c r="K28" s="289"/>
      <c r="L28" s="289"/>
      <c r="M28" s="289"/>
      <c r="N28" s="289"/>
      <c r="O28" s="289"/>
      <c r="P28" s="292"/>
      <c r="Q28" s="293"/>
      <c r="R28" s="293"/>
      <c r="S28" s="293"/>
      <c r="T28" s="293"/>
      <c r="U28" s="293"/>
      <c r="V28" s="273"/>
      <c r="W28" s="273"/>
      <c r="X28" s="273"/>
      <c r="Y28" s="259"/>
      <c r="Z28" s="296"/>
      <c r="AA28" s="297"/>
      <c r="AB28" s="297"/>
      <c r="AC28" s="297"/>
      <c r="AD28" s="297"/>
      <c r="AE28" s="297"/>
      <c r="AF28" s="273"/>
      <c r="AG28" s="273"/>
      <c r="AH28" s="273"/>
      <c r="AI28" s="259"/>
      <c r="AU28" s="3" t="s">
        <v>86</v>
      </c>
      <c r="AV28" s="3">
        <v>0.86499999999999999</v>
      </c>
    </row>
    <row r="29" spans="1:48" ht="13.5" customHeight="1">
      <c r="AU29" s="3" t="s">
        <v>87</v>
      </c>
      <c r="AV29" s="3">
        <v>0.86</v>
      </c>
    </row>
    <row r="30" spans="1:48" ht="13.5" customHeight="1">
      <c r="A30" s="281" t="s">
        <v>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3"/>
      <c r="AU30" s="3" t="s">
        <v>88</v>
      </c>
      <c r="AV30" s="3">
        <v>0.85499999999999998</v>
      </c>
    </row>
    <row r="31" spans="1:48" ht="13.5" customHeight="1">
      <c r="A31" s="26" t="s">
        <v>125</v>
      </c>
      <c r="B31" s="2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9"/>
      <c r="AU31" s="3" t="s">
        <v>89</v>
      </c>
      <c r="AV31" s="3">
        <v>0.85</v>
      </c>
    </row>
    <row r="32" spans="1:48" ht="13.5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  <c r="AU32" s="3" t="s">
        <v>90</v>
      </c>
      <c r="AV32" s="3">
        <v>0.84499999999999997</v>
      </c>
    </row>
    <row r="33" spans="1:48" ht="13.5" customHeight="1">
      <c r="A33" s="6"/>
      <c r="B33" s="7" t="s">
        <v>26</v>
      </c>
      <c r="C33" s="7"/>
      <c r="D33" s="7"/>
      <c r="E33" s="7"/>
      <c r="F33" s="7"/>
      <c r="G33" s="7"/>
      <c r="H33" s="7"/>
      <c r="I33" s="318"/>
      <c r="J33" s="319"/>
      <c r="K33" s="319"/>
      <c r="L33" s="319"/>
      <c r="M33" s="319"/>
      <c r="N33" s="319"/>
      <c r="O33" s="319"/>
      <c r="P33" s="320"/>
      <c r="Q33" s="4"/>
      <c r="R33" s="7"/>
      <c r="S33" s="40"/>
      <c r="T33" s="40"/>
      <c r="U33" s="7"/>
      <c r="V33" s="7"/>
      <c r="W33" s="7"/>
      <c r="X33" s="7"/>
      <c r="Y33" s="41"/>
      <c r="Z33" s="41"/>
      <c r="AA33" s="41"/>
      <c r="AB33" s="41"/>
      <c r="AC33" s="7"/>
      <c r="AD33" s="7"/>
      <c r="AE33" s="7"/>
      <c r="AF33" s="7"/>
      <c r="AG33" s="4"/>
      <c r="AI33" s="8"/>
      <c r="AU33" s="3" t="s">
        <v>91</v>
      </c>
      <c r="AV33" s="3">
        <v>0.84</v>
      </c>
    </row>
    <row r="34" spans="1:48" ht="13.5" customHeight="1">
      <c r="A34" s="6"/>
      <c r="B34" s="7" t="s">
        <v>0</v>
      </c>
      <c r="C34" s="7"/>
      <c r="D34" s="7"/>
      <c r="E34" s="7"/>
      <c r="F34" s="7"/>
      <c r="G34" s="7"/>
      <c r="H34" s="7"/>
      <c r="I34" s="321"/>
      <c r="J34" s="322"/>
      <c r="K34" s="322"/>
      <c r="L34" s="322"/>
      <c r="M34" s="322"/>
      <c r="N34" s="322"/>
      <c r="O34" s="322"/>
      <c r="P34" s="323"/>
      <c r="Q34" s="7" t="s">
        <v>134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  <c r="AU34" s="3" t="s">
        <v>92</v>
      </c>
      <c r="AV34" s="3">
        <v>0.83499999999999996</v>
      </c>
    </row>
    <row r="35" spans="1:48" ht="13.5" customHeight="1">
      <c r="A35" s="6"/>
      <c r="B35" s="7" t="s">
        <v>23</v>
      </c>
      <c r="C35" s="7"/>
      <c r="D35" s="7"/>
      <c r="E35" s="7"/>
      <c r="F35" s="7"/>
      <c r="G35" s="7"/>
      <c r="H35" s="7"/>
      <c r="I35" s="324"/>
      <c r="J35" s="325"/>
      <c r="K35" s="325"/>
      <c r="L35" s="325"/>
      <c r="M35" s="325"/>
      <c r="N35" s="325"/>
      <c r="O35" s="325"/>
      <c r="P35" s="326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U35" s="3" t="s">
        <v>93</v>
      </c>
      <c r="AV35" s="3">
        <v>0.83</v>
      </c>
    </row>
    <row r="36" spans="1:48" ht="13.5" customHeight="1">
      <c r="A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  <c r="AU36" s="3" t="s">
        <v>94</v>
      </c>
      <c r="AV36" s="3">
        <v>0.82499999999999996</v>
      </c>
    </row>
    <row r="37" spans="1:48" ht="13.5" customHeight="1">
      <c r="A37" s="6"/>
      <c r="B37" s="4"/>
      <c r="C37" s="4"/>
      <c r="D37" s="4"/>
      <c r="E37" s="7"/>
      <c r="F37" s="7"/>
      <c r="G37" s="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  <c r="AU37" s="3" t="s">
        <v>95</v>
      </c>
      <c r="AV37" s="3">
        <v>0.82</v>
      </c>
    </row>
    <row r="38" spans="1:48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135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  <c r="AU38" s="3" t="s">
        <v>96</v>
      </c>
      <c r="AV38" s="3">
        <v>0.81499999999999995</v>
      </c>
    </row>
    <row r="39" spans="1:48" ht="13.5" customHeight="1">
      <c r="A39" s="6"/>
      <c r="B39" s="327"/>
      <c r="C39" s="329" t="s">
        <v>53</v>
      </c>
      <c r="D39" s="330"/>
      <c r="E39" s="330"/>
      <c r="F39" s="330"/>
      <c r="G39" s="330"/>
      <c r="H39" s="330"/>
      <c r="I39" s="330"/>
      <c r="J39" s="330"/>
      <c r="K39" s="331"/>
      <c r="L39" s="335" t="s">
        <v>54</v>
      </c>
      <c r="M39" s="336"/>
      <c r="N39" s="336"/>
      <c r="O39" s="337"/>
      <c r="P39" s="256" t="s">
        <v>117</v>
      </c>
      <c r="Q39" s="257"/>
      <c r="R39" s="341" t="s">
        <v>57</v>
      </c>
      <c r="S39" s="342"/>
      <c r="T39" s="345" t="s">
        <v>120</v>
      </c>
      <c r="U39" s="346"/>
      <c r="V39" s="347"/>
      <c r="W39" s="341" t="s">
        <v>122</v>
      </c>
      <c r="X39" s="351"/>
      <c r="Y39" s="351"/>
      <c r="Z39" s="351"/>
      <c r="AA39" s="351"/>
      <c r="AB39" s="342"/>
      <c r="AC39" s="353" t="s">
        <v>58</v>
      </c>
      <c r="AD39" s="353"/>
      <c r="AE39" s="353"/>
      <c r="AF39" s="353"/>
      <c r="AG39" s="4"/>
      <c r="AH39" s="7"/>
      <c r="AI39" s="8"/>
      <c r="AU39" s="3" t="s">
        <v>97</v>
      </c>
      <c r="AV39" s="3">
        <v>0.81</v>
      </c>
    </row>
    <row r="40" spans="1:48" ht="13.5" customHeight="1">
      <c r="A40" s="6"/>
      <c r="B40" s="328"/>
      <c r="C40" s="332"/>
      <c r="D40" s="333"/>
      <c r="E40" s="333"/>
      <c r="F40" s="333"/>
      <c r="G40" s="333"/>
      <c r="H40" s="333"/>
      <c r="I40" s="333"/>
      <c r="J40" s="333"/>
      <c r="K40" s="334"/>
      <c r="L40" s="338"/>
      <c r="M40" s="339"/>
      <c r="N40" s="339"/>
      <c r="O40" s="340"/>
      <c r="P40" s="258"/>
      <c r="Q40" s="259"/>
      <c r="R40" s="343"/>
      <c r="S40" s="344"/>
      <c r="T40" s="348"/>
      <c r="U40" s="349"/>
      <c r="V40" s="350"/>
      <c r="W40" s="343"/>
      <c r="X40" s="352"/>
      <c r="Y40" s="352"/>
      <c r="Z40" s="352"/>
      <c r="AA40" s="352"/>
      <c r="AB40" s="344"/>
      <c r="AC40" s="353"/>
      <c r="AD40" s="353"/>
      <c r="AE40" s="353"/>
      <c r="AF40" s="353"/>
      <c r="AG40" s="4"/>
      <c r="AI40" s="30"/>
      <c r="AU40" s="3" t="s">
        <v>98</v>
      </c>
      <c r="AV40" s="3">
        <v>0.80500000000000005</v>
      </c>
    </row>
    <row r="41" spans="1:48" ht="13.5" customHeight="1">
      <c r="A41" s="6"/>
      <c r="B41" s="42">
        <v>1</v>
      </c>
      <c r="C41" s="298"/>
      <c r="D41" s="305"/>
      <c r="E41" s="305"/>
      <c r="F41" s="305"/>
      <c r="G41" s="305"/>
      <c r="H41" s="305"/>
      <c r="I41" s="305"/>
      <c r="J41" s="305"/>
      <c r="K41" s="299"/>
      <c r="L41" s="306"/>
      <c r="M41" s="307"/>
      <c r="N41" s="307"/>
      <c r="O41" s="308"/>
      <c r="P41" s="298"/>
      <c r="Q41" s="299"/>
      <c r="R41" s="300"/>
      <c r="S41" s="301"/>
      <c r="T41" s="302"/>
      <c r="U41" s="303"/>
      <c r="V41" s="304"/>
      <c r="W41" s="313">
        <f>AR45</f>
        <v>0</v>
      </c>
      <c r="X41" s="314"/>
      <c r="Y41" s="314"/>
      <c r="Z41" s="314"/>
      <c r="AA41" s="235" t="str">
        <f>IF(I35="","",VLOOKUP(I35,$B$71:$Y$80,10,FALSE))</f>
        <v/>
      </c>
      <c r="AB41" s="229"/>
      <c r="AC41" s="315" t="str">
        <f>IF(I35="","",W41*AL41*AP41*44/12)</f>
        <v/>
      </c>
      <c r="AD41" s="316"/>
      <c r="AE41" s="316"/>
      <c r="AF41" s="317"/>
      <c r="AI41" s="8"/>
      <c r="AL41" s="3" t="e">
        <f>VLOOKUP(I35,$B$71:$Y$80,13,FALSE)</f>
        <v>#N/A</v>
      </c>
      <c r="AM41" s="309" t="e">
        <f>VLOOKUP(I35,$B$71:$Y$80,17,FALSE)</f>
        <v>#N/A</v>
      </c>
      <c r="AN41" s="309"/>
      <c r="AO41" s="309"/>
      <c r="AP41" s="31" t="e">
        <f>VLOOKUP(I35,$B$71:$Y$80,21,FALSE)</f>
        <v>#N/A</v>
      </c>
      <c r="AR41" s="3" t="e">
        <f>$AR$23*T41/R41/AM41</f>
        <v>#DIV/0!</v>
      </c>
      <c r="AU41" s="3" t="s">
        <v>99</v>
      </c>
      <c r="AV41" s="3">
        <v>0.8</v>
      </c>
    </row>
    <row r="42" spans="1:48" ht="13.5" customHeight="1">
      <c r="A42" s="6"/>
      <c r="B42" s="42">
        <v>2</v>
      </c>
      <c r="C42" s="298"/>
      <c r="D42" s="305"/>
      <c r="E42" s="305"/>
      <c r="F42" s="305"/>
      <c r="G42" s="305"/>
      <c r="H42" s="305"/>
      <c r="I42" s="305"/>
      <c r="J42" s="305"/>
      <c r="K42" s="299"/>
      <c r="L42" s="306"/>
      <c r="M42" s="307"/>
      <c r="N42" s="307"/>
      <c r="O42" s="308"/>
      <c r="P42" s="298"/>
      <c r="Q42" s="299"/>
      <c r="R42" s="300"/>
      <c r="S42" s="301"/>
      <c r="T42" s="302"/>
      <c r="U42" s="303"/>
      <c r="V42" s="304"/>
      <c r="W42" s="310" t="s">
        <v>138</v>
      </c>
      <c r="X42" s="311"/>
      <c r="Y42" s="311"/>
      <c r="Z42" s="311"/>
      <c r="AA42" s="311"/>
      <c r="AB42" s="311"/>
      <c r="AC42" s="311"/>
      <c r="AD42" s="311"/>
      <c r="AE42" s="311"/>
      <c r="AF42" s="311"/>
      <c r="AH42" s="7"/>
      <c r="AI42" s="8"/>
      <c r="AM42" s="309" t="e">
        <f>VLOOKUP(IF(C42="","",I$35),$B$71:$Y$80,17,FALSE)</f>
        <v>#N/A</v>
      </c>
      <c r="AN42" s="309"/>
      <c r="AO42" s="309"/>
      <c r="AP42" s="31" t="e">
        <f>VLOOKUP(IF(C42="","",I$35),$B$71:$Y$80,21,FALSE)</f>
        <v>#N/A</v>
      </c>
      <c r="AR42" s="3" t="e">
        <f>$AR$23*T42/R42/AM42</f>
        <v>#DIV/0!</v>
      </c>
      <c r="AU42" s="3" t="s">
        <v>100</v>
      </c>
      <c r="AV42" s="3">
        <v>0.79500000000000004</v>
      </c>
    </row>
    <row r="43" spans="1:48" ht="13.5" customHeight="1">
      <c r="A43" s="6"/>
      <c r="B43" s="42">
        <v>3</v>
      </c>
      <c r="C43" s="298"/>
      <c r="D43" s="305"/>
      <c r="E43" s="305"/>
      <c r="F43" s="305"/>
      <c r="G43" s="305"/>
      <c r="H43" s="305"/>
      <c r="I43" s="305"/>
      <c r="J43" s="305"/>
      <c r="K43" s="299"/>
      <c r="L43" s="306"/>
      <c r="M43" s="307"/>
      <c r="N43" s="307"/>
      <c r="O43" s="308"/>
      <c r="P43" s="298"/>
      <c r="Q43" s="299"/>
      <c r="R43" s="300"/>
      <c r="S43" s="301"/>
      <c r="T43" s="302"/>
      <c r="U43" s="303"/>
      <c r="V43" s="304"/>
      <c r="W43" s="312"/>
      <c r="X43" s="284"/>
      <c r="Y43" s="284"/>
      <c r="Z43" s="284"/>
      <c r="AA43" s="284"/>
      <c r="AB43" s="284"/>
      <c r="AC43" s="284"/>
      <c r="AD43" s="284"/>
      <c r="AE43" s="284"/>
      <c r="AF43" s="284"/>
      <c r="AH43" s="7"/>
      <c r="AI43" s="8"/>
      <c r="AM43" s="309" t="e">
        <f>VLOOKUP(IF(C43="","",I$35),$B$71:$Y$80,17,FALSE)</f>
        <v>#N/A</v>
      </c>
      <c r="AN43" s="309"/>
      <c r="AO43" s="309"/>
      <c r="AP43" s="31" t="e">
        <f>VLOOKUP(IF(C43="","",I$35),$B$71:$Y$80,21,FALSE)</f>
        <v>#N/A</v>
      </c>
      <c r="AR43" s="3" t="e">
        <f>$AR$23*T43/R43/AM43</f>
        <v>#DIV/0!</v>
      </c>
      <c r="AU43" s="3" t="s">
        <v>101</v>
      </c>
      <c r="AV43" s="3">
        <v>0.79</v>
      </c>
    </row>
    <row r="44" spans="1:48" ht="13.5" customHeight="1" thickBot="1">
      <c r="A44" s="6"/>
      <c r="B44" s="42">
        <v>4</v>
      </c>
      <c r="C44" s="298"/>
      <c r="D44" s="305"/>
      <c r="E44" s="305"/>
      <c r="F44" s="305"/>
      <c r="G44" s="305"/>
      <c r="H44" s="305"/>
      <c r="I44" s="305"/>
      <c r="J44" s="305"/>
      <c r="K44" s="299"/>
      <c r="L44" s="306"/>
      <c r="M44" s="307"/>
      <c r="N44" s="307"/>
      <c r="O44" s="308"/>
      <c r="P44" s="298"/>
      <c r="Q44" s="299"/>
      <c r="R44" s="300"/>
      <c r="S44" s="301"/>
      <c r="T44" s="302"/>
      <c r="U44" s="303"/>
      <c r="V44" s="304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I44" s="8"/>
      <c r="AM44" s="309" t="e">
        <f>VLOOKUP(IF(C44="","",I$35),$B$71:$Y$80,17,FALSE)</f>
        <v>#N/A</v>
      </c>
      <c r="AN44" s="309"/>
      <c r="AO44" s="309"/>
      <c r="AP44" s="31" t="e">
        <f>VLOOKUP(IF(C44="","",I$35),$B$71:$Y$80,21,FALSE)</f>
        <v>#N/A</v>
      </c>
      <c r="AR44" s="3" t="e">
        <f>$AR$23*T44/R44/AM44</f>
        <v>#DIV/0!</v>
      </c>
      <c r="AU44" s="3" t="s">
        <v>102</v>
      </c>
      <c r="AV44" s="3">
        <v>0.78500000000000003</v>
      </c>
    </row>
    <row r="45" spans="1:48" ht="13.5" customHeight="1" thickBo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43" t="s">
        <v>121</v>
      </c>
      <c r="T45" s="281">
        <f>SUM(T41:U44)</f>
        <v>0</v>
      </c>
      <c r="U45" s="282"/>
      <c r="V45" s="283"/>
      <c r="W45" s="44" t="s">
        <v>136</v>
      </c>
      <c r="X45" s="7"/>
      <c r="Y45" s="7"/>
      <c r="Z45" s="7"/>
      <c r="AA45" s="7"/>
      <c r="AB45" s="7"/>
      <c r="AC45" s="7"/>
      <c r="AD45" s="7"/>
      <c r="AE45" s="7"/>
      <c r="AF45" s="7"/>
      <c r="AH45" s="7"/>
      <c r="AI45" s="8"/>
      <c r="AR45" s="34">
        <f>_xlfn.AGGREGATE(9,7,AR41:AR44)</f>
        <v>0</v>
      </c>
      <c r="AU45" s="3" t="s">
        <v>103</v>
      </c>
      <c r="AV45" s="3">
        <v>0.78</v>
      </c>
    </row>
    <row r="46" spans="1:48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  <c r="AU46" s="3" t="s">
        <v>104</v>
      </c>
      <c r="AV46" s="3">
        <v>0.77500000000000002</v>
      </c>
    </row>
    <row r="47" spans="1:48" ht="13.5" customHeight="1">
      <c r="A47" s="6"/>
      <c r="D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7"/>
      <c r="AB47" s="45"/>
      <c r="AC47" s="45"/>
      <c r="AD47" s="45"/>
      <c r="AE47" s="45"/>
      <c r="AF47" s="7"/>
      <c r="AG47" s="4"/>
      <c r="AH47" s="7"/>
      <c r="AI47" s="8"/>
      <c r="AU47" s="3" t="s">
        <v>105</v>
      </c>
      <c r="AV47" s="3">
        <v>0.77</v>
      </c>
    </row>
    <row r="48" spans="1:48" ht="13.5" customHeight="1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"/>
      <c r="R48" s="36" t="s">
        <v>11</v>
      </c>
      <c r="S48" s="284" t="s">
        <v>19</v>
      </c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5"/>
      <c r="AU48" s="3" t="s">
        <v>83</v>
      </c>
      <c r="AV48" s="3">
        <v>0.88</v>
      </c>
    </row>
    <row r="49" spans="1:48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7" t="str">
        <f>IF(AQ7=1,"",AO49)</f>
        <v/>
      </c>
      <c r="Q49" s="11"/>
      <c r="R49" s="12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7"/>
      <c r="AO49" s="3" t="s">
        <v>206</v>
      </c>
      <c r="AU49" s="3" t="s">
        <v>84</v>
      </c>
      <c r="AV49" s="3">
        <v>0.875</v>
      </c>
    </row>
    <row r="50" spans="1:48">
      <c r="A50" s="38"/>
      <c r="H50" s="288" t="s">
        <v>9</v>
      </c>
      <c r="I50" s="288"/>
      <c r="J50" s="288"/>
      <c r="K50" s="288"/>
      <c r="L50" s="288"/>
      <c r="M50" s="288"/>
      <c r="N50" s="288"/>
      <c r="O50" s="288"/>
      <c r="P50" s="290"/>
      <c r="Q50" s="291"/>
      <c r="R50" s="291"/>
      <c r="S50" s="291"/>
      <c r="T50" s="291"/>
      <c r="U50" s="291"/>
      <c r="V50" s="240" t="s">
        <v>5</v>
      </c>
      <c r="W50" s="240"/>
      <c r="X50" s="240"/>
      <c r="Y50" s="257"/>
      <c r="Z50" s="294" t="str">
        <f>AC41</f>
        <v/>
      </c>
      <c r="AA50" s="295"/>
      <c r="AB50" s="295"/>
      <c r="AC50" s="295"/>
      <c r="AD50" s="295"/>
      <c r="AE50" s="295"/>
      <c r="AF50" s="240" t="s">
        <v>5</v>
      </c>
      <c r="AG50" s="240"/>
      <c r="AH50" s="240"/>
      <c r="AI50" s="257"/>
      <c r="AU50" s="3" t="s">
        <v>106</v>
      </c>
      <c r="AV50" s="3">
        <v>0.755</v>
      </c>
    </row>
    <row r="51" spans="1:48">
      <c r="A51" s="38"/>
      <c r="B51" s="13"/>
      <c r="H51" s="289"/>
      <c r="I51" s="289"/>
      <c r="J51" s="289"/>
      <c r="K51" s="289"/>
      <c r="L51" s="289"/>
      <c r="M51" s="289"/>
      <c r="N51" s="289"/>
      <c r="O51" s="289"/>
      <c r="P51" s="292"/>
      <c r="Q51" s="293"/>
      <c r="R51" s="293"/>
      <c r="S51" s="293"/>
      <c r="T51" s="293"/>
      <c r="U51" s="293"/>
      <c r="V51" s="273"/>
      <c r="W51" s="273"/>
      <c r="X51" s="273"/>
      <c r="Y51" s="259"/>
      <c r="Z51" s="296"/>
      <c r="AA51" s="297"/>
      <c r="AB51" s="297"/>
      <c r="AC51" s="297"/>
      <c r="AD51" s="297"/>
      <c r="AE51" s="297"/>
      <c r="AF51" s="273"/>
      <c r="AG51" s="273"/>
      <c r="AH51" s="273"/>
      <c r="AI51" s="259"/>
      <c r="AU51" s="3" t="s">
        <v>107</v>
      </c>
      <c r="AV51" s="3">
        <v>0.75</v>
      </c>
    </row>
    <row r="52" spans="1:48" ht="13.5" thickBot="1">
      <c r="AU52" s="3" t="s">
        <v>108</v>
      </c>
      <c r="AV52" s="3">
        <v>0.745</v>
      </c>
    </row>
    <row r="53" spans="1:48" ht="13.5" thickTop="1">
      <c r="B53" s="268" t="s">
        <v>8</v>
      </c>
      <c r="C53" s="269"/>
      <c r="D53" s="269"/>
      <c r="E53" s="269"/>
      <c r="F53" s="269"/>
      <c r="G53" s="269"/>
      <c r="H53" s="269"/>
      <c r="I53" s="269"/>
      <c r="J53" s="269"/>
      <c r="K53" s="270"/>
      <c r="N53" s="268" t="s">
        <v>9</v>
      </c>
      <c r="O53" s="269"/>
      <c r="P53" s="269"/>
      <c r="Q53" s="269"/>
      <c r="R53" s="269"/>
      <c r="S53" s="269"/>
      <c r="T53" s="269"/>
      <c r="U53" s="269"/>
      <c r="V53" s="269"/>
      <c r="W53" s="270"/>
      <c r="Z53" s="247" t="s">
        <v>6</v>
      </c>
      <c r="AA53" s="248"/>
      <c r="AB53" s="248"/>
      <c r="AC53" s="248"/>
      <c r="AD53" s="248"/>
      <c r="AE53" s="248"/>
      <c r="AF53" s="248"/>
      <c r="AG53" s="248"/>
      <c r="AH53" s="248"/>
      <c r="AI53" s="249"/>
      <c r="AU53" s="3" t="s">
        <v>109</v>
      </c>
      <c r="AV53" s="3">
        <v>0.74</v>
      </c>
    </row>
    <row r="54" spans="1:48" ht="13.5" customHeight="1">
      <c r="B54" s="271">
        <f>IF($AQ$7=2,P27,Z27)</f>
        <v>0</v>
      </c>
      <c r="C54" s="272"/>
      <c r="D54" s="272"/>
      <c r="E54" s="272"/>
      <c r="F54" s="272"/>
      <c r="G54" s="272"/>
      <c r="H54" s="240" t="s">
        <v>5</v>
      </c>
      <c r="I54" s="240"/>
      <c r="J54" s="240"/>
      <c r="K54" s="257"/>
      <c r="L54" s="274" t="s">
        <v>10</v>
      </c>
      <c r="M54" s="275"/>
      <c r="N54" s="276" t="str">
        <f>IF(AQ7=2,P50,Z50)</f>
        <v/>
      </c>
      <c r="O54" s="277"/>
      <c r="P54" s="277"/>
      <c r="Q54" s="277"/>
      <c r="R54" s="277"/>
      <c r="S54" s="277"/>
      <c r="T54" s="240" t="s">
        <v>5</v>
      </c>
      <c r="U54" s="240"/>
      <c r="V54" s="240"/>
      <c r="W54" s="257"/>
      <c r="X54" s="274" t="s">
        <v>7</v>
      </c>
      <c r="Y54" s="280"/>
      <c r="Z54" s="260" t="str">
        <f>IFERROR(B54-N54,"")</f>
        <v/>
      </c>
      <c r="AA54" s="251"/>
      <c r="AB54" s="251"/>
      <c r="AC54" s="251"/>
      <c r="AD54" s="251"/>
      <c r="AE54" s="251"/>
      <c r="AF54" s="240" t="s">
        <v>5</v>
      </c>
      <c r="AG54" s="240"/>
      <c r="AH54" s="240"/>
      <c r="AI54" s="241"/>
      <c r="AU54" s="3" t="s">
        <v>110</v>
      </c>
      <c r="AV54" s="3">
        <v>0.73499999999999999</v>
      </c>
    </row>
    <row r="55" spans="1:48" ht="14.25" customHeight="1" thickBot="1">
      <c r="A55" s="14"/>
      <c r="B55" s="271"/>
      <c r="C55" s="272"/>
      <c r="D55" s="272"/>
      <c r="E55" s="272"/>
      <c r="F55" s="272"/>
      <c r="G55" s="272"/>
      <c r="H55" s="273"/>
      <c r="I55" s="273"/>
      <c r="J55" s="273"/>
      <c r="K55" s="259"/>
      <c r="L55" s="274"/>
      <c r="M55" s="275"/>
      <c r="N55" s="278"/>
      <c r="O55" s="279"/>
      <c r="P55" s="279"/>
      <c r="Q55" s="279"/>
      <c r="R55" s="279"/>
      <c r="S55" s="279"/>
      <c r="T55" s="273"/>
      <c r="U55" s="273"/>
      <c r="V55" s="273"/>
      <c r="W55" s="259"/>
      <c r="X55" s="274"/>
      <c r="Y55" s="280"/>
      <c r="Z55" s="261"/>
      <c r="AA55" s="262"/>
      <c r="AB55" s="262"/>
      <c r="AC55" s="262"/>
      <c r="AD55" s="262"/>
      <c r="AE55" s="262"/>
      <c r="AF55" s="242"/>
      <c r="AG55" s="242"/>
      <c r="AH55" s="242"/>
      <c r="AI55" s="243"/>
      <c r="AU55" s="3" t="s">
        <v>111</v>
      </c>
      <c r="AV55" s="3">
        <v>0.73</v>
      </c>
    </row>
    <row r="56" spans="1:48" ht="14" thickTop="1" thickBot="1">
      <c r="AU56" s="3" t="s">
        <v>112</v>
      </c>
      <c r="AV56" s="3">
        <v>0.72499999999999998</v>
      </c>
    </row>
    <row r="57" spans="1:48" ht="13.5" customHeight="1" thickTop="1">
      <c r="N57" s="244" t="s">
        <v>223</v>
      </c>
      <c r="O57" s="245"/>
      <c r="P57" s="245"/>
      <c r="Q57" s="245"/>
      <c r="R57" s="245"/>
      <c r="S57" s="245"/>
      <c r="T57" s="246"/>
      <c r="Z57" s="247" t="s">
        <v>228</v>
      </c>
      <c r="AA57" s="248"/>
      <c r="AB57" s="248"/>
      <c r="AC57" s="248"/>
      <c r="AD57" s="248"/>
      <c r="AE57" s="248"/>
      <c r="AF57" s="248"/>
      <c r="AG57" s="248"/>
      <c r="AH57" s="248"/>
      <c r="AI57" s="249"/>
      <c r="AU57" s="3" t="s">
        <v>113</v>
      </c>
      <c r="AV57" s="3">
        <v>0.72</v>
      </c>
    </row>
    <row r="58" spans="1:48" ht="13.5" customHeight="1">
      <c r="N58" s="250">
        <f>I3</f>
        <v>0</v>
      </c>
      <c r="O58" s="251"/>
      <c r="P58" s="251"/>
      <c r="Q58" s="251"/>
      <c r="R58" s="252"/>
      <c r="S58" s="256" t="s">
        <v>1</v>
      </c>
      <c r="T58" s="257"/>
      <c r="Z58" s="260" t="str">
        <f>IFERROR(Z54*N58,"")</f>
        <v/>
      </c>
      <c r="AA58" s="251"/>
      <c r="AB58" s="251"/>
      <c r="AC58" s="251"/>
      <c r="AD58" s="251"/>
      <c r="AE58" s="251"/>
      <c r="AF58" s="263" t="s">
        <v>224</v>
      </c>
      <c r="AG58" s="264"/>
      <c r="AH58" s="264"/>
      <c r="AI58" s="265"/>
      <c r="AU58" s="3" t="s">
        <v>114</v>
      </c>
      <c r="AV58" s="3">
        <v>0.71499999999999997</v>
      </c>
    </row>
    <row r="59" spans="1:48" ht="14.25" customHeight="1" thickBot="1">
      <c r="N59" s="253"/>
      <c r="O59" s="254"/>
      <c r="P59" s="254"/>
      <c r="Q59" s="254"/>
      <c r="R59" s="255"/>
      <c r="S59" s="258"/>
      <c r="T59" s="259"/>
      <c r="Z59" s="261"/>
      <c r="AA59" s="262"/>
      <c r="AB59" s="262"/>
      <c r="AC59" s="262"/>
      <c r="AD59" s="262"/>
      <c r="AE59" s="262"/>
      <c r="AF59" s="266"/>
      <c r="AG59" s="266"/>
      <c r="AH59" s="266"/>
      <c r="AI59" s="267"/>
      <c r="AU59" s="3" t="s">
        <v>115</v>
      </c>
      <c r="AV59" s="3">
        <v>0.71</v>
      </c>
    </row>
    <row r="60" spans="1:48" ht="14.5" thickTop="1">
      <c r="P60" s="15"/>
      <c r="AU60" s="3" t="s">
        <v>116</v>
      </c>
      <c r="AV60" s="3">
        <v>0.70499999999999996</v>
      </c>
    </row>
    <row r="61" spans="1:48" ht="13.5" customHeight="1"/>
    <row r="62" spans="1:48" ht="14.25" customHeight="1">
      <c r="B62" s="3" t="s">
        <v>226</v>
      </c>
      <c r="C62" s="3" t="s">
        <v>227</v>
      </c>
    </row>
    <row r="66" spans="2:36" hidden="1"/>
    <row r="67" spans="2:36" hidden="1"/>
    <row r="68" spans="2:36" hidden="1"/>
    <row r="69" spans="2:36" hidden="1"/>
    <row r="70" spans="2:36" hidden="1">
      <c r="B70" s="236" t="s">
        <v>23</v>
      </c>
      <c r="C70" s="236"/>
      <c r="D70" s="236"/>
      <c r="E70" s="236"/>
      <c r="F70" s="236"/>
      <c r="G70" s="236"/>
      <c r="H70" s="236"/>
      <c r="I70" s="236"/>
      <c r="J70" s="236"/>
      <c r="K70" s="236" t="s">
        <v>15</v>
      </c>
      <c r="L70" s="236"/>
      <c r="M70" s="236"/>
      <c r="N70" s="48" t="s">
        <v>118</v>
      </c>
      <c r="O70" s="49"/>
      <c r="P70" s="49"/>
      <c r="Q70" s="50"/>
      <c r="R70" s="237" t="s">
        <v>119</v>
      </c>
      <c r="S70" s="238"/>
      <c r="T70" s="238"/>
      <c r="U70" s="239"/>
      <c r="V70" s="236" t="s">
        <v>25</v>
      </c>
      <c r="W70" s="236"/>
      <c r="X70" s="236"/>
      <c r="Y70" s="236"/>
      <c r="AA70" s="51" t="s">
        <v>26</v>
      </c>
      <c r="AB70" s="51"/>
      <c r="AC70" s="51"/>
      <c r="AD70" s="51"/>
      <c r="AE70" s="51"/>
      <c r="AF70" s="51"/>
      <c r="AG70" s="51"/>
      <c r="AH70" s="51"/>
      <c r="AI70" s="51"/>
      <c r="AJ70" s="51"/>
    </row>
    <row r="71" spans="2:36" hidden="1">
      <c r="B71" s="229" t="s">
        <v>17</v>
      </c>
      <c r="C71" s="229"/>
      <c r="D71" s="229"/>
      <c r="E71" s="229"/>
      <c r="F71" s="229"/>
      <c r="G71" s="229"/>
      <c r="H71" s="229"/>
      <c r="I71" s="229"/>
      <c r="J71" s="229"/>
      <c r="K71" s="229" t="s">
        <v>16</v>
      </c>
      <c r="L71" s="229"/>
      <c r="M71" s="229"/>
      <c r="N71" s="52">
        <v>36.700000000000003</v>
      </c>
      <c r="O71" s="52"/>
      <c r="P71" s="52"/>
      <c r="Q71" s="52"/>
      <c r="R71" s="233">
        <v>34.200000000000003</v>
      </c>
      <c r="S71" s="234"/>
      <c r="T71" s="234"/>
      <c r="U71" s="235"/>
      <c r="V71" s="229">
        <v>1.8499999999999999E-2</v>
      </c>
      <c r="W71" s="229"/>
      <c r="X71" s="229"/>
      <c r="Y71" s="229"/>
      <c r="AA71" s="52" t="s">
        <v>27</v>
      </c>
      <c r="AB71" s="52"/>
      <c r="AC71" s="52"/>
      <c r="AD71" s="52"/>
      <c r="AE71" s="52"/>
      <c r="AF71" s="52"/>
      <c r="AG71" s="52"/>
      <c r="AH71" s="52"/>
      <c r="AI71" s="52"/>
      <c r="AJ71" s="52"/>
    </row>
    <row r="72" spans="2:36" hidden="1">
      <c r="B72" s="229" t="s">
        <v>28</v>
      </c>
      <c r="C72" s="229"/>
      <c r="D72" s="229"/>
      <c r="E72" s="229"/>
      <c r="F72" s="229"/>
      <c r="G72" s="229"/>
      <c r="H72" s="229"/>
      <c r="I72" s="229"/>
      <c r="J72" s="229"/>
      <c r="K72" s="229" t="s">
        <v>16</v>
      </c>
      <c r="L72" s="229"/>
      <c r="M72" s="229"/>
      <c r="N72" s="52">
        <v>39.1</v>
      </c>
      <c r="O72" s="52"/>
      <c r="P72" s="52"/>
      <c r="Q72" s="52"/>
      <c r="R72" s="233">
        <v>36.6</v>
      </c>
      <c r="S72" s="234"/>
      <c r="T72" s="234"/>
      <c r="U72" s="235"/>
      <c r="V72" s="229">
        <v>1.89E-2</v>
      </c>
      <c r="W72" s="229"/>
      <c r="X72" s="229"/>
      <c r="Y72" s="229"/>
      <c r="AA72" s="52" t="s">
        <v>29</v>
      </c>
      <c r="AB72" s="52"/>
      <c r="AC72" s="52"/>
      <c r="AD72" s="52"/>
      <c r="AE72" s="52"/>
      <c r="AF72" s="52"/>
      <c r="AG72" s="52"/>
      <c r="AH72" s="52"/>
      <c r="AI72" s="52"/>
      <c r="AJ72" s="52"/>
    </row>
    <row r="73" spans="2:36" hidden="1">
      <c r="B73" s="229" t="s">
        <v>30</v>
      </c>
      <c r="C73" s="229"/>
      <c r="D73" s="229"/>
      <c r="E73" s="229"/>
      <c r="F73" s="229"/>
      <c r="G73" s="229"/>
      <c r="H73" s="229"/>
      <c r="I73" s="229"/>
      <c r="J73" s="229"/>
      <c r="K73" s="229" t="s">
        <v>16</v>
      </c>
      <c r="L73" s="229"/>
      <c r="M73" s="229"/>
      <c r="N73" s="52">
        <v>41.9</v>
      </c>
      <c r="O73" s="52"/>
      <c r="P73" s="52"/>
      <c r="Q73" s="52"/>
      <c r="R73" s="233">
        <v>39.4</v>
      </c>
      <c r="S73" s="234"/>
      <c r="T73" s="234"/>
      <c r="U73" s="235"/>
      <c r="V73" s="229">
        <v>1.95E-2</v>
      </c>
      <c r="W73" s="229"/>
      <c r="X73" s="229"/>
      <c r="Y73" s="229"/>
      <c r="AA73" s="52" t="s">
        <v>31</v>
      </c>
      <c r="AB73" s="52"/>
      <c r="AC73" s="52"/>
      <c r="AD73" s="52"/>
      <c r="AE73" s="52"/>
      <c r="AF73" s="52"/>
      <c r="AG73" s="52"/>
      <c r="AH73" s="52"/>
      <c r="AI73" s="52"/>
      <c r="AJ73" s="52"/>
    </row>
    <row r="74" spans="2:36" hidden="1">
      <c r="B74" s="229" t="s">
        <v>32</v>
      </c>
      <c r="C74" s="229"/>
      <c r="D74" s="229"/>
      <c r="E74" s="229"/>
      <c r="F74" s="229"/>
      <c r="G74" s="229"/>
      <c r="H74" s="229"/>
      <c r="I74" s="229"/>
      <c r="J74" s="229"/>
      <c r="K74" s="229" t="s">
        <v>33</v>
      </c>
      <c r="L74" s="229"/>
      <c r="M74" s="229"/>
      <c r="N74" s="52">
        <v>50.8</v>
      </c>
      <c r="O74" s="52"/>
      <c r="P74" s="52"/>
      <c r="Q74" s="52"/>
      <c r="R74" s="233">
        <v>45.8</v>
      </c>
      <c r="S74" s="234"/>
      <c r="T74" s="234"/>
      <c r="U74" s="235"/>
      <c r="V74" s="229">
        <v>1.61E-2</v>
      </c>
      <c r="W74" s="229"/>
      <c r="X74" s="229"/>
      <c r="Y74" s="229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idden="1">
      <c r="B75" s="229" t="s">
        <v>34</v>
      </c>
      <c r="C75" s="229"/>
      <c r="D75" s="229"/>
      <c r="E75" s="229"/>
      <c r="F75" s="229"/>
      <c r="G75" s="229"/>
      <c r="H75" s="229"/>
      <c r="I75" s="229"/>
      <c r="J75" s="229"/>
      <c r="K75" s="229" t="s">
        <v>33</v>
      </c>
      <c r="L75" s="229"/>
      <c r="M75" s="229"/>
      <c r="N75" s="52">
        <v>54.6</v>
      </c>
      <c r="O75" s="52"/>
      <c r="P75" s="52"/>
      <c r="Q75" s="52"/>
      <c r="R75" s="233">
        <v>49.2</v>
      </c>
      <c r="S75" s="234"/>
      <c r="T75" s="234"/>
      <c r="U75" s="235"/>
      <c r="V75" s="229">
        <v>1.35E-2</v>
      </c>
      <c r="W75" s="229"/>
      <c r="X75" s="229"/>
      <c r="Y75" s="229"/>
      <c r="AA75" s="51" t="s">
        <v>0</v>
      </c>
      <c r="AB75" s="51"/>
      <c r="AC75" s="51"/>
      <c r="AD75" s="51"/>
      <c r="AE75" s="51"/>
      <c r="AF75" s="51"/>
      <c r="AG75" s="51"/>
      <c r="AH75" s="51"/>
      <c r="AI75" s="51"/>
      <c r="AJ75" s="51"/>
    </row>
    <row r="76" spans="2:36" hidden="1">
      <c r="B76" s="229" t="s">
        <v>35</v>
      </c>
      <c r="C76" s="229"/>
      <c r="D76" s="229"/>
      <c r="E76" s="229"/>
      <c r="F76" s="229"/>
      <c r="G76" s="229"/>
      <c r="H76" s="229"/>
      <c r="I76" s="229"/>
      <c r="J76" s="229"/>
      <c r="K76" s="229" t="s">
        <v>36</v>
      </c>
      <c r="L76" s="229"/>
      <c r="M76" s="229"/>
      <c r="N76" s="52">
        <v>45</v>
      </c>
      <c r="O76" s="52"/>
      <c r="P76" s="52"/>
      <c r="Q76" s="52"/>
      <c r="R76" s="233">
        <v>40.6</v>
      </c>
      <c r="S76" s="234"/>
      <c r="T76" s="234"/>
      <c r="U76" s="235"/>
      <c r="V76" s="229">
        <v>1.3599999999999999E-2</v>
      </c>
      <c r="W76" s="229"/>
      <c r="X76" s="229"/>
      <c r="Y76" s="229"/>
      <c r="AA76" s="52" t="s">
        <v>37</v>
      </c>
      <c r="AB76" s="52"/>
      <c r="AC76" s="52"/>
      <c r="AD76" s="52"/>
      <c r="AE76" s="52"/>
      <c r="AF76" s="52"/>
      <c r="AG76" s="52"/>
      <c r="AH76" s="52"/>
      <c r="AI76" s="52"/>
      <c r="AJ76" s="52"/>
    </row>
    <row r="77" spans="2:36" hidden="1">
      <c r="B77" s="229" t="s">
        <v>38</v>
      </c>
      <c r="C77" s="229"/>
      <c r="D77" s="229"/>
      <c r="E77" s="229"/>
      <c r="F77" s="229"/>
      <c r="G77" s="229"/>
      <c r="H77" s="229"/>
      <c r="I77" s="229"/>
      <c r="J77" s="229"/>
      <c r="K77" s="229" t="s">
        <v>36</v>
      </c>
      <c r="L77" s="229"/>
      <c r="M77" s="229"/>
      <c r="N77" s="52">
        <v>43.12</v>
      </c>
      <c r="O77" s="52"/>
      <c r="P77" s="52"/>
      <c r="Q77" s="52"/>
      <c r="R77" s="230">
        <f>N77*0.902</f>
        <v>38.894239999999996</v>
      </c>
      <c r="S77" s="231"/>
      <c r="T77" s="231"/>
      <c r="U77" s="232"/>
      <c r="V77" s="229">
        <v>1.3599999999999999E-2</v>
      </c>
      <c r="W77" s="229"/>
      <c r="X77" s="229"/>
      <c r="Y77" s="229"/>
      <c r="AA77" s="52" t="s">
        <v>39</v>
      </c>
      <c r="AB77" s="52"/>
      <c r="AC77" s="52"/>
      <c r="AD77" s="52"/>
      <c r="AE77" s="52"/>
      <c r="AF77" s="52"/>
      <c r="AG77" s="52"/>
      <c r="AH77" s="52"/>
      <c r="AI77" s="52"/>
      <c r="AJ77" s="52"/>
    </row>
    <row r="78" spans="2:36" hidden="1">
      <c r="B78" s="229" t="s">
        <v>40</v>
      </c>
      <c r="C78" s="229"/>
      <c r="D78" s="229"/>
      <c r="E78" s="229"/>
      <c r="F78" s="229"/>
      <c r="G78" s="229"/>
      <c r="H78" s="229"/>
      <c r="I78" s="229"/>
      <c r="J78" s="229"/>
      <c r="K78" s="229" t="s">
        <v>36</v>
      </c>
      <c r="L78" s="229"/>
      <c r="M78" s="229"/>
      <c r="N78" s="52">
        <v>46.04</v>
      </c>
      <c r="O78" s="52"/>
      <c r="P78" s="52"/>
      <c r="Q78" s="52"/>
      <c r="R78" s="230">
        <f>N78*0.902</f>
        <v>41.528080000000003</v>
      </c>
      <c r="S78" s="231"/>
      <c r="T78" s="231"/>
      <c r="U78" s="232"/>
      <c r="V78" s="229">
        <v>1.3599999999999999E-2</v>
      </c>
      <c r="W78" s="229"/>
      <c r="X78" s="229"/>
      <c r="Y78" s="229"/>
      <c r="AA78" s="52" t="s">
        <v>41</v>
      </c>
      <c r="AB78" s="52"/>
      <c r="AC78" s="52"/>
      <c r="AD78" s="52"/>
      <c r="AE78" s="52"/>
      <c r="AF78" s="52"/>
      <c r="AG78" s="52"/>
      <c r="AH78" s="52"/>
      <c r="AI78" s="52"/>
      <c r="AJ78" s="52"/>
    </row>
    <row r="79" spans="2:36" hidden="1">
      <c r="B79" s="229" t="s">
        <v>42</v>
      </c>
      <c r="C79" s="229"/>
      <c r="D79" s="229"/>
      <c r="E79" s="229"/>
      <c r="F79" s="229"/>
      <c r="G79" s="229"/>
      <c r="H79" s="229"/>
      <c r="I79" s="229"/>
      <c r="J79" s="229"/>
      <c r="K79" s="229" t="s">
        <v>36</v>
      </c>
      <c r="L79" s="229"/>
      <c r="M79" s="229"/>
      <c r="N79" s="52">
        <v>41.86</v>
      </c>
      <c r="O79" s="52"/>
      <c r="P79" s="52"/>
      <c r="Q79" s="52"/>
      <c r="R79" s="230">
        <f>N79*0.902</f>
        <v>37.757719999999999</v>
      </c>
      <c r="S79" s="231"/>
      <c r="T79" s="231"/>
      <c r="U79" s="232"/>
      <c r="V79" s="229">
        <v>1.3599999999999999E-2</v>
      </c>
      <c r="W79" s="229"/>
      <c r="X79" s="229"/>
      <c r="Y79" s="229"/>
      <c r="AA79" s="52" t="s">
        <v>43</v>
      </c>
      <c r="AB79" s="52"/>
      <c r="AC79" s="52"/>
      <c r="AD79" s="52"/>
      <c r="AE79" s="52"/>
      <c r="AF79" s="52"/>
      <c r="AG79" s="52"/>
      <c r="AH79" s="52"/>
      <c r="AI79" s="52"/>
      <c r="AJ79" s="52"/>
    </row>
    <row r="80" spans="2:36" hidden="1">
      <c r="B80" s="229" t="s">
        <v>44</v>
      </c>
      <c r="C80" s="229"/>
      <c r="D80" s="229"/>
      <c r="E80" s="229"/>
      <c r="F80" s="229"/>
      <c r="G80" s="229"/>
      <c r="H80" s="229"/>
      <c r="I80" s="229"/>
      <c r="J80" s="229"/>
      <c r="K80" s="229" t="s">
        <v>36</v>
      </c>
      <c r="L80" s="229"/>
      <c r="M80" s="229"/>
      <c r="N80" s="52">
        <v>29.3</v>
      </c>
      <c r="O80" s="52"/>
      <c r="P80" s="52"/>
      <c r="Q80" s="52"/>
      <c r="R80" s="230">
        <f>N80*0.902</f>
        <v>26.428600000000003</v>
      </c>
      <c r="S80" s="231"/>
      <c r="T80" s="231"/>
      <c r="U80" s="232"/>
      <c r="V80" s="229">
        <v>1.3599999999999999E-2</v>
      </c>
      <c r="W80" s="229"/>
      <c r="X80" s="229"/>
      <c r="Y80" s="229"/>
    </row>
    <row r="81" hidden="1"/>
  </sheetData>
  <sheetProtection formatCells="0"/>
  <mergeCells count="215">
    <mergeCell ref="A1:K2"/>
    <mergeCell ref="L1:AA2"/>
    <mergeCell ref="AB1:AC2"/>
    <mergeCell ref="AD1:AI2"/>
    <mergeCell ref="A3:H4"/>
    <mergeCell ref="I3:K4"/>
    <mergeCell ref="L3:V4"/>
    <mergeCell ref="W3:AI4"/>
    <mergeCell ref="A5:AI5"/>
    <mergeCell ref="AO8:AQ8"/>
    <mergeCell ref="B9:B10"/>
    <mergeCell ref="C9:I10"/>
    <mergeCell ref="J9:L10"/>
    <mergeCell ref="M9:N10"/>
    <mergeCell ref="O9:Q10"/>
    <mergeCell ref="R9:R10"/>
    <mergeCell ref="S9:Y10"/>
    <mergeCell ref="Z9:AB10"/>
    <mergeCell ref="AC9:AD10"/>
    <mergeCell ref="AE9:AG10"/>
    <mergeCell ref="C11:I11"/>
    <mergeCell ref="J11:L11"/>
    <mergeCell ref="M11:N11"/>
    <mergeCell ref="O11:Q11"/>
    <mergeCell ref="S11:Y11"/>
    <mergeCell ref="Z11:AB11"/>
    <mergeCell ref="AC11:AD11"/>
    <mergeCell ref="AE11:AG11"/>
    <mergeCell ref="AC12:AD12"/>
    <mergeCell ref="AE12:AG12"/>
    <mergeCell ref="C13:I13"/>
    <mergeCell ref="J13:L13"/>
    <mergeCell ref="M13:N13"/>
    <mergeCell ref="O13:Q13"/>
    <mergeCell ref="S13:Y13"/>
    <mergeCell ref="Z13:AB13"/>
    <mergeCell ref="AC13:AD13"/>
    <mergeCell ref="AE13:AG13"/>
    <mergeCell ref="C12:I12"/>
    <mergeCell ref="J12:L12"/>
    <mergeCell ref="M12:N12"/>
    <mergeCell ref="O12:Q12"/>
    <mergeCell ref="S12:Y12"/>
    <mergeCell ref="Z12:AB12"/>
    <mergeCell ref="AC14:AD14"/>
    <mergeCell ref="AE14:AG14"/>
    <mergeCell ref="B17:B18"/>
    <mergeCell ref="C17:J18"/>
    <mergeCell ref="K17:N18"/>
    <mergeCell ref="O17:P18"/>
    <mergeCell ref="Q17:T18"/>
    <mergeCell ref="U17:V18"/>
    <mergeCell ref="W17:AB18"/>
    <mergeCell ref="AC17:AD18"/>
    <mergeCell ref="C14:I14"/>
    <mergeCell ref="J14:L14"/>
    <mergeCell ref="M14:N14"/>
    <mergeCell ref="O14:Q14"/>
    <mergeCell ref="S14:Y14"/>
    <mergeCell ref="Z14:AB14"/>
    <mergeCell ref="AE17:AH18"/>
    <mergeCell ref="AC21:AD21"/>
    <mergeCell ref="AE21:AH21"/>
    <mergeCell ref="AM19:AO19"/>
    <mergeCell ref="C20:J20"/>
    <mergeCell ref="K20:N20"/>
    <mergeCell ref="O20:P20"/>
    <mergeCell ref="Q20:T20"/>
    <mergeCell ref="U20:V20"/>
    <mergeCell ref="W20:Z20"/>
    <mergeCell ref="AA20:AB20"/>
    <mergeCell ref="AC20:AD20"/>
    <mergeCell ref="AE20:AH20"/>
    <mergeCell ref="AM20:AO20"/>
    <mergeCell ref="C19:J19"/>
    <mergeCell ref="K19:N19"/>
    <mergeCell ref="O19:P19"/>
    <mergeCell ref="Q19:T19"/>
    <mergeCell ref="U19:V19"/>
    <mergeCell ref="W19:Z19"/>
    <mergeCell ref="AA19:AB19"/>
    <mergeCell ref="AC19:AD19"/>
    <mergeCell ref="AE19:AH19"/>
    <mergeCell ref="AM22:AO22"/>
    <mergeCell ref="S25:AI26"/>
    <mergeCell ref="H27:O28"/>
    <mergeCell ref="P27:U28"/>
    <mergeCell ref="V27:Y28"/>
    <mergeCell ref="Z27:AE28"/>
    <mergeCell ref="AF27:AI28"/>
    <mergeCell ref="AM21:AO21"/>
    <mergeCell ref="C22:J22"/>
    <mergeCell ref="K22:N22"/>
    <mergeCell ref="O22:P22"/>
    <mergeCell ref="Q22:T22"/>
    <mergeCell ref="U22:V22"/>
    <mergeCell ref="W22:Z22"/>
    <mergeCell ref="AA22:AB22"/>
    <mergeCell ref="AC22:AD22"/>
    <mergeCell ref="AE22:AH22"/>
    <mergeCell ref="C21:J21"/>
    <mergeCell ref="K21:N21"/>
    <mergeCell ref="O21:P21"/>
    <mergeCell ref="Q21:T21"/>
    <mergeCell ref="U21:V21"/>
    <mergeCell ref="W21:Z21"/>
    <mergeCell ref="AA21:AB21"/>
    <mergeCell ref="A30:AI30"/>
    <mergeCell ref="I33:P33"/>
    <mergeCell ref="I34:P34"/>
    <mergeCell ref="I35:P35"/>
    <mergeCell ref="B39:B40"/>
    <mergeCell ref="C39:K40"/>
    <mergeCell ref="L39:O40"/>
    <mergeCell ref="P39:Q40"/>
    <mergeCell ref="R39:S40"/>
    <mergeCell ref="T39:V40"/>
    <mergeCell ref="W39:AB40"/>
    <mergeCell ref="AC39:AF40"/>
    <mergeCell ref="AM44:AO44"/>
    <mergeCell ref="AM41:AO41"/>
    <mergeCell ref="C42:K42"/>
    <mergeCell ref="L42:O42"/>
    <mergeCell ref="P42:Q42"/>
    <mergeCell ref="R42:S42"/>
    <mergeCell ref="T42:V42"/>
    <mergeCell ref="W42:AF43"/>
    <mergeCell ref="AM42:AO42"/>
    <mergeCell ref="C43:K43"/>
    <mergeCell ref="L43:O43"/>
    <mergeCell ref="C41:K41"/>
    <mergeCell ref="L41:O41"/>
    <mergeCell ref="P41:Q41"/>
    <mergeCell ref="R41:S41"/>
    <mergeCell ref="T41:V41"/>
    <mergeCell ref="W41:Z41"/>
    <mergeCell ref="AA41:AB41"/>
    <mergeCell ref="AC41:AF41"/>
    <mergeCell ref="AM43:AO43"/>
    <mergeCell ref="T45:V45"/>
    <mergeCell ref="S48:AI49"/>
    <mergeCell ref="H50:O51"/>
    <mergeCell ref="P50:U51"/>
    <mergeCell ref="V50:Y51"/>
    <mergeCell ref="Z50:AE51"/>
    <mergeCell ref="AF50:AI51"/>
    <mergeCell ref="P43:Q43"/>
    <mergeCell ref="R43:S43"/>
    <mergeCell ref="T43:V43"/>
    <mergeCell ref="C44:K44"/>
    <mergeCell ref="L44:O44"/>
    <mergeCell ref="P44:Q44"/>
    <mergeCell ref="R44:S44"/>
    <mergeCell ref="T44:V44"/>
    <mergeCell ref="AF54:AI55"/>
    <mergeCell ref="N57:T57"/>
    <mergeCell ref="Z57:AI57"/>
    <mergeCell ref="N58:R59"/>
    <mergeCell ref="S58:T59"/>
    <mergeCell ref="Z58:AE59"/>
    <mergeCell ref="AF58:AI59"/>
    <mergeCell ref="B53:K53"/>
    <mergeCell ref="N53:W53"/>
    <mergeCell ref="Z53:AI53"/>
    <mergeCell ref="B54:G55"/>
    <mergeCell ref="H54:K55"/>
    <mergeCell ref="L54:M55"/>
    <mergeCell ref="N54:S55"/>
    <mergeCell ref="T54:W55"/>
    <mergeCell ref="X54:Y55"/>
    <mergeCell ref="Z54:AE55"/>
    <mergeCell ref="B72:J72"/>
    <mergeCell ref="K72:M72"/>
    <mergeCell ref="R72:U72"/>
    <mergeCell ref="V72:Y72"/>
    <mergeCell ref="B73:J73"/>
    <mergeCell ref="K73:M73"/>
    <mergeCell ref="R73:U73"/>
    <mergeCell ref="V73:Y73"/>
    <mergeCell ref="B70:J70"/>
    <mergeCell ref="K70:M70"/>
    <mergeCell ref="R70:U70"/>
    <mergeCell ref="V70:Y70"/>
    <mergeCell ref="B71:J71"/>
    <mergeCell ref="K71:M71"/>
    <mergeCell ref="R71:U71"/>
    <mergeCell ref="V71:Y71"/>
    <mergeCell ref="B76:J76"/>
    <mergeCell ref="K76:M76"/>
    <mergeCell ref="R76:U76"/>
    <mergeCell ref="V76:Y76"/>
    <mergeCell ref="B77:J77"/>
    <mergeCell ref="K77:M77"/>
    <mergeCell ref="R77:U77"/>
    <mergeCell ref="V77:Y77"/>
    <mergeCell ref="B74:J74"/>
    <mergeCell ref="K74:M74"/>
    <mergeCell ref="R74:U74"/>
    <mergeCell ref="V74:Y74"/>
    <mergeCell ref="B75:J75"/>
    <mergeCell ref="K75:M75"/>
    <mergeCell ref="R75:U75"/>
    <mergeCell ref="V75:Y75"/>
    <mergeCell ref="B80:J80"/>
    <mergeCell ref="K80:M80"/>
    <mergeCell ref="R80:U80"/>
    <mergeCell ref="V80:Y80"/>
    <mergeCell ref="B78:J78"/>
    <mergeCell ref="K78:M78"/>
    <mergeCell ref="R78:U78"/>
    <mergeCell ref="V78:Y78"/>
    <mergeCell ref="B79:J79"/>
    <mergeCell ref="K79:M79"/>
    <mergeCell ref="R79:U79"/>
    <mergeCell ref="V79:Y79"/>
  </mergeCells>
  <phoneticPr fontId="18"/>
  <conditionalFormatting sqref="C19:C22">
    <cfRule type="containsBlanks" dxfId="18" priority="17">
      <formula>LEN(TRIM(C19))=0</formula>
    </cfRule>
  </conditionalFormatting>
  <conditionalFormatting sqref="C41:C44">
    <cfRule type="containsBlanks" dxfId="17" priority="20">
      <formula>LEN(TRIM(C41))=0</formula>
    </cfRule>
  </conditionalFormatting>
  <conditionalFormatting sqref="C11:Q14">
    <cfRule type="containsBlanks" dxfId="16" priority="10">
      <formula>LEN(TRIM(C11))=0</formula>
    </cfRule>
  </conditionalFormatting>
  <conditionalFormatting sqref="I3:K4">
    <cfRule type="containsBlanks" dxfId="15" priority="1">
      <formula>LEN(TRIM(I3))=0</formula>
    </cfRule>
  </conditionalFormatting>
  <conditionalFormatting sqref="I33:P34">
    <cfRule type="containsBlanks" dxfId="14" priority="16">
      <formula>LEN(TRIM(I33))=0</formula>
    </cfRule>
  </conditionalFormatting>
  <conditionalFormatting sqref="K19:K22">
    <cfRule type="containsBlanks" dxfId="13" priority="18">
      <formula>LEN(TRIM(K19))=0</formula>
    </cfRule>
  </conditionalFormatting>
  <conditionalFormatting sqref="L41:L44">
    <cfRule type="containsBlanks" dxfId="12" priority="2">
      <formula>LEN(TRIM(L41))=0</formula>
    </cfRule>
  </conditionalFormatting>
  <conditionalFormatting sqref="L24:Z24">
    <cfRule type="expression" dxfId="11" priority="23">
      <formula>($K$24="")</formula>
    </cfRule>
  </conditionalFormatting>
  <conditionalFormatting sqref="P41:R44">
    <cfRule type="containsBlanks" dxfId="10" priority="14">
      <formula>LEN(TRIM(P41))=0</formula>
    </cfRule>
  </conditionalFormatting>
  <conditionalFormatting sqref="P27:U28">
    <cfRule type="notContainsBlanks" dxfId="9" priority="8">
      <formula>LEN(TRIM(P27))&gt;0</formula>
    </cfRule>
    <cfRule type="expression" dxfId="8" priority="25">
      <formula>AQ7=2</formula>
    </cfRule>
  </conditionalFormatting>
  <conditionalFormatting sqref="P50:U51">
    <cfRule type="notContainsBlanks" dxfId="7" priority="5">
      <formula>LEN(TRIM(P50))&gt;0</formula>
    </cfRule>
    <cfRule type="expression" dxfId="6" priority="6">
      <formula>AQ7=2</formula>
    </cfRule>
  </conditionalFormatting>
  <conditionalFormatting sqref="Q21:T22">
    <cfRule type="containsBlanks" priority="19">
      <formula>LEN(TRIM(Q21))=0</formula>
    </cfRule>
  </conditionalFormatting>
  <conditionalFormatting sqref="Q19:V20 O19:O22 Q21:T22 I35">
    <cfRule type="containsBlanks" dxfId="5" priority="21">
      <formula>LEN(TRIM(I19))=0</formula>
    </cfRule>
  </conditionalFormatting>
  <conditionalFormatting sqref="S11:AG14">
    <cfRule type="containsBlanks" dxfId="4" priority="9">
      <formula>LEN(TRIM(S11))=0</formula>
    </cfRule>
  </conditionalFormatting>
  <conditionalFormatting sqref="T41:T44">
    <cfRule type="containsBlanks" dxfId="3" priority="13">
      <formula>LEN(TRIM(T41))=0</formula>
    </cfRule>
  </conditionalFormatting>
  <conditionalFormatting sqref="U19:Z22">
    <cfRule type="containsBlanks" dxfId="2" priority="12">
      <formula>LEN(TRIM(U19))=0</formula>
    </cfRule>
  </conditionalFormatting>
  <conditionalFormatting sqref="W45">
    <cfRule type="expression" dxfId="1" priority="24">
      <formula>$T$45=1</formula>
    </cfRule>
  </conditionalFormatting>
  <conditionalFormatting sqref="AC19:AD22">
    <cfRule type="containsBlanks" dxfId="0" priority="11">
      <formula>LEN(TRIM(AC19))=0</formula>
    </cfRule>
  </conditionalFormatting>
  <dataValidations count="6">
    <dataValidation type="list" allowBlank="1" showInputMessage="1" showErrorMessage="1" sqref="O19:O22" xr:uid="{00000000-0002-0000-0D00-000000000000}">
      <formula1>$AU$1:$AU$60</formula1>
    </dataValidation>
    <dataValidation type="list" allowBlank="1" showInputMessage="1" showErrorMessage="1" sqref="K19:K22 L41:L44" xr:uid="{00000000-0002-0000-0D00-000001000000}">
      <formula1>$AW$1:$AW$9</formula1>
    </dataValidation>
    <dataValidation type="list" allowBlank="1" showInputMessage="1" showErrorMessage="1" sqref="E33" xr:uid="{00000000-0002-0000-0D00-000002000000}">
      <formula1>"ｋL，ｔ"</formula1>
    </dataValidation>
    <dataValidation type="list" allowBlank="1" showInputMessage="1" sqref="I33:P33" xr:uid="{00000000-0002-0000-0D00-000003000000}">
      <formula1>$AA$71:$AA$73</formula1>
    </dataValidation>
    <dataValidation type="list" allowBlank="1" showInputMessage="1" sqref="I45:P45 N16:P16 I34:P34 N8:P8 I38:M38" xr:uid="{00000000-0002-0000-0D00-000004000000}">
      <formula1>$AA$76:$AA$79</formula1>
    </dataValidation>
    <dataValidation type="list" allowBlank="1" showInputMessage="1" sqref="Q19:Q22 I35 I16 I8" xr:uid="{00000000-0002-0000-0D00-000005000000}">
      <formula1>$B$71:$B$80</formula1>
    </dataValidation>
  </dataValidations>
  <printOptions horizontalCentered="1"/>
  <pageMargins left="0.51181102362204722" right="0.51181102362204722" top="0.51181102362204722" bottom="0.35433070866141736" header="0.27559055118110237" footer="0.31496062992125984"/>
  <pageSetup paperSize="9" scale="95" orientation="portrait" r:id="rId1"/>
  <headerFooter>
    <oddHeader>&amp;L&amp;"-,太字"６．CO₂排出削減量算定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Option Button 1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2</xdr:row>
                    <xdr:rowOff>50800</xdr:rowOff>
                  </from>
                  <to>
                    <xdr:col>23</xdr:col>
                    <xdr:colOff>114300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Option Button 2">
              <controlPr locked="0" defaultSize="0" autoFill="0" autoLine="0" autoPict="0">
                <anchor moveWithCells="1">
                  <from>
                    <xdr:col>28</xdr:col>
                    <xdr:colOff>31750</xdr:colOff>
                    <xdr:row>2</xdr:row>
                    <xdr:rowOff>57150</xdr:rowOff>
                  </from>
                  <to>
                    <xdr:col>29</xdr:col>
                    <xdr:colOff>133350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5:AA183"/>
  <sheetViews>
    <sheetView workbookViewId="0">
      <selection activeCell="BU21" sqref="BU21"/>
    </sheetView>
  </sheetViews>
  <sheetFormatPr defaultRowHeight="13"/>
  <cols>
    <col min="5" max="5" width="9.90625" bestFit="1" customWidth="1"/>
    <col min="21" max="21" width="9.90625" bestFit="1" customWidth="1"/>
    <col min="22" max="22" width="9.7265625" customWidth="1"/>
    <col min="23" max="24" width="9.90625" bestFit="1" customWidth="1"/>
  </cols>
  <sheetData>
    <row r="5" spans="6:14">
      <c r="F5" s="429"/>
      <c r="G5" s="432" t="s">
        <v>139</v>
      </c>
      <c r="H5" s="432"/>
      <c r="I5" s="432"/>
      <c r="J5" s="432"/>
      <c r="K5" s="432" t="s">
        <v>140</v>
      </c>
      <c r="L5" s="432"/>
      <c r="M5" s="432"/>
      <c r="N5" s="432"/>
    </row>
    <row r="6" spans="6:14">
      <c r="F6" s="430"/>
      <c r="G6" s="433" t="s">
        <v>142</v>
      </c>
      <c r="H6" s="434"/>
      <c r="I6" s="433" t="s">
        <v>144</v>
      </c>
      <c r="J6" s="434"/>
      <c r="K6" s="433" t="s">
        <v>142</v>
      </c>
      <c r="L6" s="434"/>
      <c r="M6" s="433" t="s">
        <v>144</v>
      </c>
      <c r="N6" s="434"/>
    </row>
    <row r="7" spans="6:14">
      <c r="F7" s="431"/>
      <c r="G7" s="23" t="s">
        <v>145</v>
      </c>
      <c r="H7" s="23" t="s">
        <v>146</v>
      </c>
      <c r="I7" s="23" t="s">
        <v>145</v>
      </c>
      <c r="J7" s="23" t="s">
        <v>146</v>
      </c>
      <c r="K7" s="23" t="s">
        <v>145</v>
      </c>
      <c r="L7" s="23" t="s">
        <v>146</v>
      </c>
      <c r="M7" s="23" t="s">
        <v>145</v>
      </c>
      <c r="N7" s="23" t="s">
        <v>146</v>
      </c>
    </row>
    <row r="8" spans="6:14">
      <c r="F8" s="55" t="s">
        <v>147</v>
      </c>
      <c r="G8" s="56">
        <v>0.14699999999999999</v>
      </c>
      <c r="H8" s="56">
        <v>0.13700000000000001</v>
      </c>
      <c r="I8" s="57">
        <v>0.20799999999999999</v>
      </c>
      <c r="J8" s="57">
        <v>0.151</v>
      </c>
      <c r="K8" s="56">
        <v>0.16400000000000001</v>
      </c>
      <c r="L8" s="56">
        <v>0.16</v>
      </c>
      <c r="M8" s="57">
        <v>0.10199999999999999</v>
      </c>
      <c r="N8" s="57">
        <v>8.7999999999999995E-2</v>
      </c>
    </row>
    <row r="9" spans="6:14">
      <c r="F9" s="23" t="s">
        <v>148</v>
      </c>
      <c r="G9" s="56">
        <v>0.248</v>
      </c>
      <c r="H9" s="56">
        <v>0.20599999999999999</v>
      </c>
      <c r="I9" s="57">
        <v>0.14399999999999999</v>
      </c>
      <c r="J9" s="57">
        <v>0.13200000000000001</v>
      </c>
      <c r="K9" s="56">
        <v>0.26800000000000002</v>
      </c>
      <c r="L9" s="56">
        <v>0.25700000000000001</v>
      </c>
      <c r="M9" s="57">
        <v>7.5999999999999998E-2</v>
      </c>
      <c r="N9" s="57">
        <v>4.4999999999999998E-2</v>
      </c>
    </row>
    <row r="10" spans="6:14">
      <c r="F10" s="23" t="s">
        <v>149</v>
      </c>
      <c r="G10" s="56">
        <v>0.30499999999999999</v>
      </c>
      <c r="H10" s="56">
        <v>0.249</v>
      </c>
      <c r="I10" s="57">
        <v>0</v>
      </c>
      <c r="J10" s="57">
        <v>0</v>
      </c>
      <c r="K10" s="56">
        <v>0.378</v>
      </c>
      <c r="L10" s="56">
        <v>0.317</v>
      </c>
      <c r="M10" s="57">
        <v>0</v>
      </c>
      <c r="N10" s="57">
        <v>0</v>
      </c>
    </row>
    <row r="11" spans="6:14">
      <c r="F11" s="23" t="s">
        <v>150</v>
      </c>
      <c r="G11" s="56">
        <v>0.54600000000000004</v>
      </c>
      <c r="H11" s="56">
        <v>0.54400000000000004</v>
      </c>
      <c r="I11" s="57">
        <v>0</v>
      </c>
      <c r="J11" s="57">
        <v>0</v>
      </c>
      <c r="K11" s="56">
        <v>0.58699999999999997</v>
      </c>
      <c r="L11" s="56">
        <v>0.57299999999999995</v>
      </c>
      <c r="M11" s="57">
        <v>0</v>
      </c>
      <c r="N11" s="57">
        <v>0</v>
      </c>
    </row>
    <row r="12" spans="6:14">
      <c r="F12" s="23" t="s">
        <v>151</v>
      </c>
      <c r="G12" s="56">
        <v>0.58699999999999997</v>
      </c>
      <c r="H12" s="56">
        <v>0.53400000000000003</v>
      </c>
      <c r="I12" s="57">
        <v>0</v>
      </c>
      <c r="J12" s="57">
        <v>0</v>
      </c>
      <c r="K12" s="56">
        <v>0.626</v>
      </c>
      <c r="L12" s="56">
        <v>0.61499999999999999</v>
      </c>
      <c r="M12" s="57">
        <v>0</v>
      </c>
      <c r="N12" s="57">
        <v>0</v>
      </c>
    </row>
    <row r="13" spans="6:14">
      <c r="F13" s="23" t="s">
        <v>152</v>
      </c>
      <c r="G13" s="56">
        <v>0.372</v>
      </c>
      <c r="H13" s="56">
        <v>0.432</v>
      </c>
      <c r="I13" s="57">
        <v>0</v>
      </c>
      <c r="J13" s="57">
        <v>0</v>
      </c>
      <c r="K13" s="56">
        <v>0.436</v>
      </c>
      <c r="L13" s="56">
        <v>0.48399999999999999</v>
      </c>
      <c r="M13" s="57">
        <v>0</v>
      </c>
      <c r="N13" s="57">
        <v>0</v>
      </c>
    </row>
    <row r="14" spans="6:14">
      <c r="F14" s="23" t="s">
        <v>153</v>
      </c>
      <c r="G14" s="56">
        <v>0.18</v>
      </c>
      <c r="H14" s="56">
        <v>0.20599999999999999</v>
      </c>
      <c r="I14" s="57">
        <v>0.14799999999999999</v>
      </c>
      <c r="J14" s="57">
        <v>6.2E-2</v>
      </c>
      <c r="K14" s="56">
        <v>0.21</v>
      </c>
      <c r="L14" s="56">
        <v>0.23499999999999999</v>
      </c>
      <c r="M14" s="57">
        <v>4.4999999999999998E-2</v>
      </c>
      <c r="N14" s="57">
        <v>0</v>
      </c>
    </row>
    <row r="15" spans="6:14">
      <c r="F15" s="23" t="s">
        <v>154</v>
      </c>
      <c r="G15" s="56">
        <v>8.5000000000000006E-2</v>
      </c>
      <c r="H15" s="56">
        <v>0.129</v>
      </c>
      <c r="I15" s="57">
        <v>0.245</v>
      </c>
      <c r="J15" s="57">
        <v>0.17100000000000001</v>
      </c>
      <c r="K15" s="56">
        <v>0.16900000000000001</v>
      </c>
      <c r="L15" s="56">
        <v>0.13600000000000001</v>
      </c>
      <c r="M15" s="57">
        <v>0.13100000000000001</v>
      </c>
      <c r="N15" s="57">
        <v>0.09</v>
      </c>
    </row>
    <row r="16" spans="6:14">
      <c r="F16" s="23" t="s">
        <v>155</v>
      </c>
      <c r="G16" s="56">
        <v>0</v>
      </c>
      <c r="H16" s="56">
        <v>0</v>
      </c>
      <c r="I16" s="57">
        <v>0.45</v>
      </c>
      <c r="J16" s="57">
        <v>0.312</v>
      </c>
      <c r="K16" s="56">
        <v>0</v>
      </c>
      <c r="L16" s="56">
        <v>0</v>
      </c>
      <c r="M16" s="57">
        <v>0.224</v>
      </c>
      <c r="N16" s="57">
        <v>0.151</v>
      </c>
    </row>
    <row r="17" spans="6:23">
      <c r="F17" s="23" t="s">
        <v>156</v>
      </c>
      <c r="G17" s="56">
        <v>0</v>
      </c>
      <c r="H17" s="56">
        <v>0</v>
      </c>
      <c r="I17" s="57">
        <v>0.56499999999999995</v>
      </c>
      <c r="J17" s="57">
        <v>0.44600000000000001</v>
      </c>
      <c r="K17" s="56">
        <v>0</v>
      </c>
      <c r="L17" s="56">
        <v>0</v>
      </c>
      <c r="M17" s="57">
        <v>0.27800000000000002</v>
      </c>
      <c r="N17" s="57">
        <v>0.19900000000000001</v>
      </c>
    </row>
    <row r="18" spans="6:23">
      <c r="F18" s="23" t="s">
        <v>157</v>
      </c>
      <c r="G18" s="56">
        <v>0</v>
      </c>
      <c r="H18" s="56">
        <v>0</v>
      </c>
      <c r="I18" s="57">
        <v>0.52900000000000003</v>
      </c>
      <c r="J18" s="57">
        <v>0.432</v>
      </c>
      <c r="K18" s="56">
        <v>0</v>
      </c>
      <c r="L18" s="56">
        <v>0</v>
      </c>
      <c r="M18" s="57">
        <v>0.25</v>
      </c>
      <c r="N18" s="57">
        <v>0.193</v>
      </c>
    </row>
    <row r="19" spans="6:23">
      <c r="F19" s="23" t="s">
        <v>158</v>
      </c>
      <c r="G19" s="56">
        <v>0</v>
      </c>
      <c r="H19" s="56">
        <v>0.107</v>
      </c>
      <c r="I19" s="57">
        <v>0.38900000000000001</v>
      </c>
      <c r="J19" s="57">
        <v>0.32500000000000001</v>
      </c>
      <c r="K19" s="56">
        <v>5.8000000000000003E-2</v>
      </c>
      <c r="L19" s="56">
        <v>0.188</v>
      </c>
      <c r="M19" s="57">
        <v>0.20100000000000001</v>
      </c>
      <c r="N19" s="57">
        <v>0.14599999999999999</v>
      </c>
    </row>
    <row r="22" spans="6:23">
      <c r="F22" t="s">
        <v>159</v>
      </c>
      <c r="G22" t="s">
        <v>139</v>
      </c>
      <c r="K22" t="s">
        <v>140</v>
      </c>
      <c r="P22" t="s">
        <v>162</v>
      </c>
      <c r="U22" t="s">
        <v>169</v>
      </c>
    </row>
    <row r="23" spans="6:23">
      <c r="G23" t="s">
        <v>142</v>
      </c>
      <c r="I23" t="s">
        <v>144</v>
      </c>
      <c r="K23" t="s">
        <v>142</v>
      </c>
      <c r="M23" t="s">
        <v>144</v>
      </c>
    </row>
    <row r="24" spans="6:23">
      <c r="G24" t="s">
        <v>145</v>
      </c>
      <c r="H24" t="s">
        <v>146</v>
      </c>
      <c r="I24" t="s">
        <v>145</v>
      </c>
      <c r="J24" t="s">
        <v>146</v>
      </c>
      <c r="K24" t="s">
        <v>145</v>
      </c>
      <c r="L24" t="s">
        <v>146</v>
      </c>
      <c r="M24" t="s">
        <v>145</v>
      </c>
      <c r="N24" t="s">
        <v>146</v>
      </c>
      <c r="P24" t="s">
        <v>139</v>
      </c>
      <c r="R24" t="s">
        <v>140</v>
      </c>
    </row>
    <row r="25" spans="6:23">
      <c r="G25">
        <v>111</v>
      </c>
      <c r="H25">
        <v>121</v>
      </c>
      <c r="I25">
        <v>112</v>
      </c>
      <c r="J25">
        <v>122</v>
      </c>
      <c r="K25">
        <v>211</v>
      </c>
      <c r="L25">
        <v>221</v>
      </c>
      <c r="M25">
        <v>212</v>
      </c>
      <c r="N25">
        <v>222</v>
      </c>
      <c r="P25" t="s">
        <v>142</v>
      </c>
      <c r="Q25" t="s">
        <v>144</v>
      </c>
      <c r="R25" t="s">
        <v>142</v>
      </c>
      <c r="S25" t="s">
        <v>144</v>
      </c>
      <c r="U25" t="s">
        <v>142</v>
      </c>
      <c r="V25" t="s">
        <v>144</v>
      </c>
      <c r="W25" t="s">
        <v>168</v>
      </c>
    </row>
    <row r="26" spans="6:23">
      <c r="F26" t="s">
        <v>147</v>
      </c>
      <c r="G26" s="58">
        <v>0.14699999999999999</v>
      </c>
      <c r="H26" s="58">
        <v>0.13700000000000001</v>
      </c>
      <c r="I26" s="59">
        <v>0.20799999999999999</v>
      </c>
      <c r="J26" s="59">
        <v>0.151</v>
      </c>
      <c r="K26" s="58">
        <v>0.16400000000000001</v>
      </c>
      <c r="L26" s="58">
        <v>0.16</v>
      </c>
      <c r="M26" s="59">
        <v>0.10199999999999999</v>
      </c>
      <c r="N26" s="59">
        <v>8.7999999999999995E-2</v>
      </c>
      <c r="P26" s="63">
        <f>(G26+H26)/2</f>
        <v>0.14200000000000002</v>
      </c>
      <c r="Q26" s="62">
        <f t="shared" ref="Q26:Q37" si="0">(I26+J26)/2</f>
        <v>0.17949999999999999</v>
      </c>
      <c r="R26" s="63">
        <f t="shared" ref="R26:R37" si="1">(K26+L26)/2</f>
        <v>0.16200000000000001</v>
      </c>
      <c r="S26" s="62">
        <f t="shared" ref="S26:S37" si="2">(M26+N26)/2</f>
        <v>9.5000000000000001E-2</v>
      </c>
      <c r="U26" s="63">
        <f>(P26+R26)/2</f>
        <v>0.15200000000000002</v>
      </c>
      <c r="V26" s="62">
        <f>(Q26+S26)/2</f>
        <v>0.13724999999999998</v>
      </c>
      <c r="W26" s="65">
        <f>MAX(U26:V26)</f>
        <v>0.15200000000000002</v>
      </c>
    </row>
    <row r="27" spans="6:23">
      <c r="F27" t="s">
        <v>148</v>
      </c>
      <c r="G27" s="58">
        <v>0.248</v>
      </c>
      <c r="H27" s="58">
        <v>0.20599999999999999</v>
      </c>
      <c r="I27" s="59">
        <v>0.14399999999999999</v>
      </c>
      <c r="J27" s="59">
        <v>0.13200000000000001</v>
      </c>
      <c r="K27" s="58">
        <v>0.26800000000000002</v>
      </c>
      <c r="L27" s="58">
        <v>0.25700000000000001</v>
      </c>
      <c r="M27" s="59">
        <v>7.5999999999999998E-2</v>
      </c>
      <c r="N27" s="59">
        <v>4.4999999999999998E-2</v>
      </c>
      <c r="P27" s="63">
        <f t="shared" ref="P27:P37" si="3">(G27+H27)/2</f>
        <v>0.22699999999999998</v>
      </c>
      <c r="Q27" s="62">
        <f t="shared" si="0"/>
        <v>0.13800000000000001</v>
      </c>
      <c r="R27" s="63">
        <f t="shared" si="1"/>
        <v>0.26250000000000001</v>
      </c>
      <c r="S27" s="62">
        <f t="shared" si="2"/>
        <v>6.0499999999999998E-2</v>
      </c>
      <c r="U27" s="63">
        <f t="shared" ref="U27:V37" si="4">(P27+R27)/2</f>
        <v>0.24475</v>
      </c>
      <c r="V27" s="62">
        <f t="shared" si="4"/>
        <v>9.9250000000000005E-2</v>
      </c>
      <c r="W27" s="65">
        <f t="shared" ref="W27:W37" si="5">MAX(U27:V27)</f>
        <v>0.24475</v>
      </c>
    </row>
    <row r="28" spans="6:23">
      <c r="F28" t="s">
        <v>149</v>
      </c>
      <c r="G28" s="58">
        <v>0.30499999999999999</v>
      </c>
      <c r="H28" s="58">
        <v>0.249</v>
      </c>
      <c r="I28" s="59">
        <v>0</v>
      </c>
      <c r="J28" s="59">
        <v>0</v>
      </c>
      <c r="K28" s="58">
        <v>0.378</v>
      </c>
      <c r="L28" s="58">
        <v>0.317</v>
      </c>
      <c r="M28" s="59">
        <v>0</v>
      </c>
      <c r="N28" s="59">
        <v>0</v>
      </c>
      <c r="P28" s="63">
        <f t="shared" si="3"/>
        <v>0.27700000000000002</v>
      </c>
      <c r="Q28" s="62">
        <f t="shared" si="0"/>
        <v>0</v>
      </c>
      <c r="R28" s="63">
        <f t="shared" si="1"/>
        <v>0.34750000000000003</v>
      </c>
      <c r="S28" s="62">
        <f t="shared" si="2"/>
        <v>0</v>
      </c>
      <c r="U28" s="63">
        <f t="shared" si="4"/>
        <v>0.31225000000000003</v>
      </c>
      <c r="V28" s="62">
        <f t="shared" si="4"/>
        <v>0</v>
      </c>
      <c r="W28" s="65">
        <f t="shared" si="5"/>
        <v>0.31225000000000003</v>
      </c>
    </row>
    <row r="29" spans="6:23">
      <c r="F29" t="s">
        <v>150</v>
      </c>
      <c r="G29" s="58">
        <v>0.54600000000000004</v>
      </c>
      <c r="H29" s="58">
        <v>0.54400000000000004</v>
      </c>
      <c r="I29" s="59">
        <v>0</v>
      </c>
      <c r="J29" s="59">
        <v>0</v>
      </c>
      <c r="K29" s="58">
        <v>0.58699999999999997</v>
      </c>
      <c r="L29" s="58">
        <v>0.57299999999999995</v>
      </c>
      <c r="M29" s="59">
        <v>0</v>
      </c>
      <c r="N29" s="59">
        <v>0</v>
      </c>
      <c r="P29" s="63">
        <f t="shared" si="3"/>
        <v>0.54500000000000004</v>
      </c>
      <c r="Q29" s="62">
        <f t="shared" si="0"/>
        <v>0</v>
      </c>
      <c r="R29" s="63">
        <f t="shared" si="1"/>
        <v>0.57999999999999996</v>
      </c>
      <c r="S29" s="62">
        <f t="shared" si="2"/>
        <v>0</v>
      </c>
      <c r="U29" s="63">
        <f t="shared" si="4"/>
        <v>0.5625</v>
      </c>
      <c r="V29" s="62">
        <f t="shared" si="4"/>
        <v>0</v>
      </c>
      <c r="W29" s="65">
        <f t="shared" si="5"/>
        <v>0.5625</v>
      </c>
    </row>
    <row r="30" spans="6:23">
      <c r="F30" t="s">
        <v>151</v>
      </c>
      <c r="G30" s="58">
        <v>0.58699999999999997</v>
      </c>
      <c r="H30" s="58">
        <v>0.53400000000000003</v>
      </c>
      <c r="I30" s="59">
        <v>0</v>
      </c>
      <c r="J30" s="59">
        <v>0</v>
      </c>
      <c r="K30" s="58">
        <v>0.626</v>
      </c>
      <c r="L30" s="58">
        <v>0.61499999999999999</v>
      </c>
      <c r="M30" s="59">
        <v>0</v>
      </c>
      <c r="N30" s="59">
        <v>0</v>
      </c>
      <c r="P30" s="63">
        <f t="shared" si="3"/>
        <v>0.5605</v>
      </c>
      <c r="Q30" s="62">
        <f t="shared" si="0"/>
        <v>0</v>
      </c>
      <c r="R30" s="63">
        <f t="shared" si="1"/>
        <v>0.62050000000000005</v>
      </c>
      <c r="S30" s="62">
        <f t="shared" si="2"/>
        <v>0</v>
      </c>
      <c r="U30" s="63">
        <f t="shared" si="4"/>
        <v>0.59050000000000002</v>
      </c>
      <c r="V30" s="62">
        <f t="shared" si="4"/>
        <v>0</v>
      </c>
      <c r="W30" s="65">
        <f t="shared" si="5"/>
        <v>0.59050000000000002</v>
      </c>
    </row>
    <row r="31" spans="6:23">
      <c r="F31" t="s">
        <v>152</v>
      </c>
      <c r="G31" s="58">
        <v>0.372</v>
      </c>
      <c r="H31" s="58">
        <v>0.432</v>
      </c>
      <c r="I31" s="59">
        <v>0</v>
      </c>
      <c r="J31" s="59">
        <v>0</v>
      </c>
      <c r="K31" s="58">
        <v>0.436</v>
      </c>
      <c r="L31" s="58">
        <v>0.48399999999999999</v>
      </c>
      <c r="M31" s="59">
        <v>0</v>
      </c>
      <c r="N31" s="59">
        <v>0</v>
      </c>
      <c r="P31" s="63">
        <f t="shared" si="3"/>
        <v>0.40200000000000002</v>
      </c>
      <c r="Q31" s="62">
        <f t="shared" si="0"/>
        <v>0</v>
      </c>
      <c r="R31" s="63">
        <f t="shared" si="1"/>
        <v>0.45999999999999996</v>
      </c>
      <c r="S31" s="62">
        <f t="shared" si="2"/>
        <v>0</v>
      </c>
      <c r="U31" s="63">
        <f t="shared" si="4"/>
        <v>0.43099999999999999</v>
      </c>
      <c r="V31" s="62">
        <f t="shared" si="4"/>
        <v>0</v>
      </c>
      <c r="W31" s="65">
        <f t="shared" si="5"/>
        <v>0.43099999999999999</v>
      </c>
    </row>
    <row r="32" spans="6:23">
      <c r="F32" t="s">
        <v>153</v>
      </c>
      <c r="G32" s="58">
        <v>0.18</v>
      </c>
      <c r="H32" s="58">
        <v>0.20599999999999999</v>
      </c>
      <c r="I32" s="59">
        <v>0.14799999999999999</v>
      </c>
      <c r="J32" s="59">
        <v>6.2E-2</v>
      </c>
      <c r="K32" s="58">
        <v>0.21</v>
      </c>
      <c r="L32" s="58">
        <v>0.23499999999999999</v>
      </c>
      <c r="M32" s="59">
        <v>4.4999999999999998E-2</v>
      </c>
      <c r="N32" s="59">
        <v>0</v>
      </c>
      <c r="P32" s="63">
        <f t="shared" si="3"/>
        <v>0.193</v>
      </c>
      <c r="Q32" s="62">
        <f t="shared" si="0"/>
        <v>0.105</v>
      </c>
      <c r="R32" s="63">
        <f t="shared" si="1"/>
        <v>0.22249999999999998</v>
      </c>
      <c r="S32" s="62">
        <f t="shared" si="2"/>
        <v>2.2499999999999999E-2</v>
      </c>
      <c r="U32" s="63">
        <f t="shared" si="4"/>
        <v>0.20774999999999999</v>
      </c>
      <c r="V32" s="62">
        <f t="shared" si="4"/>
        <v>6.3750000000000001E-2</v>
      </c>
      <c r="W32" s="65">
        <f t="shared" si="5"/>
        <v>0.20774999999999999</v>
      </c>
    </row>
    <row r="33" spans="6:27">
      <c r="F33" t="s">
        <v>154</v>
      </c>
      <c r="G33" s="58">
        <v>8.5000000000000006E-2</v>
      </c>
      <c r="H33" s="58">
        <v>0.129</v>
      </c>
      <c r="I33" s="59">
        <v>0.245</v>
      </c>
      <c r="J33" s="59">
        <v>0.17100000000000001</v>
      </c>
      <c r="K33" s="58">
        <v>0.16900000000000001</v>
      </c>
      <c r="L33" s="58">
        <v>0.13600000000000001</v>
      </c>
      <c r="M33" s="59">
        <v>0.13100000000000001</v>
      </c>
      <c r="N33" s="59">
        <v>0.09</v>
      </c>
      <c r="P33" s="63">
        <f t="shared" si="3"/>
        <v>0.10700000000000001</v>
      </c>
      <c r="Q33" s="62">
        <f t="shared" si="0"/>
        <v>0.20800000000000002</v>
      </c>
      <c r="R33" s="63">
        <f t="shared" si="1"/>
        <v>0.15250000000000002</v>
      </c>
      <c r="S33" s="62">
        <f t="shared" si="2"/>
        <v>0.1105</v>
      </c>
      <c r="U33" s="63">
        <f t="shared" si="4"/>
        <v>0.12975000000000003</v>
      </c>
      <c r="V33" s="62">
        <f t="shared" si="4"/>
        <v>0.15925</v>
      </c>
      <c r="W33" s="65">
        <f t="shared" si="5"/>
        <v>0.15925</v>
      </c>
    </row>
    <row r="34" spans="6:27">
      <c r="F34" t="s">
        <v>155</v>
      </c>
      <c r="G34" s="58">
        <v>0</v>
      </c>
      <c r="H34" s="58">
        <v>0</v>
      </c>
      <c r="I34" s="59">
        <v>0.45</v>
      </c>
      <c r="J34" s="59">
        <v>0.312</v>
      </c>
      <c r="K34" s="58">
        <v>0</v>
      </c>
      <c r="L34" s="58">
        <v>0</v>
      </c>
      <c r="M34" s="59">
        <v>0.224</v>
      </c>
      <c r="N34" s="59">
        <v>0.151</v>
      </c>
      <c r="P34" s="63">
        <f t="shared" si="3"/>
        <v>0</v>
      </c>
      <c r="Q34" s="62">
        <f t="shared" si="0"/>
        <v>0.38100000000000001</v>
      </c>
      <c r="R34" s="63">
        <f t="shared" si="1"/>
        <v>0</v>
      </c>
      <c r="S34" s="62">
        <f t="shared" si="2"/>
        <v>0.1875</v>
      </c>
      <c r="U34" s="63">
        <f t="shared" si="4"/>
        <v>0</v>
      </c>
      <c r="V34" s="62">
        <f t="shared" si="4"/>
        <v>0.28425</v>
      </c>
      <c r="W34" s="65">
        <f t="shared" si="5"/>
        <v>0.28425</v>
      </c>
    </row>
    <row r="35" spans="6:27">
      <c r="F35" t="s">
        <v>156</v>
      </c>
      <c r="G35" s="58">
        <v>0</v>
      </c>
      <c r="H35" s="58">
        <v>0</v>
      </c>
      <c r="I35" s="59">
        <v>0.56499999999999995</v>
      </c>
      <c r="J35" s="59">
        <v>0.44600000000000001</v>
      </c>
      <c r="K35" s="58">
        <v>0</v>
      </c>
      <c r="L35" s="58">
        <v>0</v>
      </c>
      <c r="M35" s="59">
        <v>0.27800000000000002</v>
      </c>
      <c r="N35" s="59">
        <v>0.19900000000000001</v>
      </c>
      <c r="P35" s="63">
        <f t="shared" si="3"/>
        <v>0</v>
      </c>
      <c r="Q35" s="62">
        <f t="shared" si="0"/>
        <v>0.50549999999999995</v>
      </c>
      <c r="R35" s="63">
        <f t="shared" si="1"/>
        <v>0</v>
      </c>
      <c r="S35" s="62">
        <f t="shared" si="2"/>
        <v>0.23850000000000002</v>
      </c>
      <c r="U35" s="63">
        <f t="shared" si="4"/>
        <v>0</v>
      </c>
      <c r="V35" s="62">
        <f t="shared" si="4"/>
        <v>0.372</v>
      </c>
      <c r="W35" s="65">
        <f t="shared" si="5"/>
        <v>0.372</v>
      </c>
    </row>
    <row r="36" spans="6:27">
      <c r="F36" t="s">
        <v>157</v>
      </c>
      <c r="G36" s="58">
        <v>0</v>
      </c>
      <c r="H36" s="58">
        <v>0</v>
      </c>
      <c r="I36" s="59">
        <v>0.52900000000000003</v>
      </c>
      <c r="J36" s="59">
        <v>0.432</v>
      </c>
      <c r="K36" s="58">
        <v>0</v>
      </c>
      <c r="L36" s="58">
        <v>0</v>
      </c>
      <c r="M36" s="59">
        <v>0.25</v>
      </c>
      <c r="N36" s="59">
        <v>0.193</v>
      </c>
      <c r="P36" s="63">
        <f t="shared" si="3"/>
        <v>0</v>
      </c>
      <c r="Q36" s="62">
        <f t="shared" si="0"/>
        <v>0.48050000000000004</v>
      </c>
      <c r="R36" s="63">
        <f t="shared" si="1"/>
        <v>0</v>
      </c>
      <c r="S36" s="62">
        <f t="shared" si="2"/>
        <v>0.2215</v>
      </c>
      <c r="U36" s="63">
        <f t="shared" si="4"/>
        <v>0</v>
      </c>
      <c r="V36" s="62">
        <f t="shared" si="4"/>
        <v>0.35100000000000003</v>
      </c>
      <c r="W36" s="65">
        <f t="shared" si="5"/>
        <v>0.35100000000000003</v>
      </c>
    </row>
    <row r="37" spans="6:27">
      <c r="F37" t="s">
        <v>158</v>
      </c>
      <c r="G37" s="58">
        <v>0</v>
      </c>
      <c r="H37" s="58">
        <v>0.107</v>
      </c>
      <c r="I37" s="59">
        <v>0.38900000000000001</v>
      </c>
      <c r="J37" s="59">
        <v>0.32500000000000001</v>
      </c>
      <c r="K37" s="58">
        <v>5.8000000000000003E-2</v>
      </c>
      <c r="L37" s="58">
        <v>0.188</v>
      </c>
      <c r="M37" s="59">
        <v>0.20100000000000001</v>
      </c>
      <c r="N37" s="59">
        <v>0.14599999999999999</v>
      </c>
      <c r="P37" s="63">
        <f t="shared" si="3"/>
        <v>5.3499999999999999E-2</v>
      </c>
      <c r="Q37" s="62">
        <f t="shared" si="0"/>
        <v>0.35699999999999998</v>
      </c>
      <c r="R37" s="63">
        <f t="shared" si="1"/>
        <v>0.123</v>
      </c>
      <c r="S37" s="62">
        <f t="shared" si="2"/>
        <v>0.17349999999999999</v>
      </c>
      <c r="U37" s="63">
        <f t="shared" si="4"/>
        <v>8.8249999999999995E-2</v>
      </c>
      <c r="V37" s="62">
        <f t="shared" si="4"/>
        <v>0.26524999999999999</v>
      </c>
      <c r="W37" s="65">
        <f t="shared" si="5"/>
        <v>0.26524999999999999</v>
      </c>
    </row>
    <row r="38" spans="6:27">
      <c r="T38" s="24" t="s">
        <v>166</v>
      </c>
      <c r="U38" s="61">
        <f>_xlfn.AGGREGATE(1,5,U26:U37)</f>
        <v>0.2265625</v>
      </c>
      <c r="V38" s="61">
        <f>_xlfn.AGGREGATE(1,5,V26:V37)</f>
        <v>0.14433333333333334</v>
      </c>
      <c r="W38" s="61">
        <f>_xlfn.AGGREGATE(1,5,W26:W37)</f>
        <v>0.32770833333333332</v>
      </c>
    </row>
    <row r="40" spans="6:27">
      <c r="F40" t="s">
        <v>160</v>
      </c>
      <c r="G40" t="s">
        <v>161</v>
      </c>
      <c r="P40" t="s">
        <v>163</v>
      </c>
    </row>
    <row r="41" spans="6:27">
      <c r="G41" t="s">
        <v>139</v>
      </c>
      <c r="I41" t="s">
        <v>140</v>
      </c>
      <c r="U41" t="s">
        <v>164</v>
      </c>
    </row>
    <row r="42" spans="6:27">
      <c r="G42" t="s">
        <v>145</v>
      </c>
      <c r="H42" t="s">
        <v>146</v>
      </c>
      <c r="I42" t="s">
        <v>145</v>
      </c>
      <c r="J42" t="s">
        <v>146</v>
      </c>
      <c r="P42" t="s">
        <v>139</v>
      </c>
      <c r="Q42" t="s">
        <v>140</v>
      </c>
      <c r="U42" t="s">
        <v>139</v>
      </c>
      <c r="W42" t="s">
        <v>140</v>
      </c>
      <c r="Y42" t="s">
        <v>170</v>
      </c>
    </row>
    <row r="43" spans="6:27">
      <c r="G43">
        <v>11</v>
      </c>
      <c r="H43">
        <v>12</v>
      </c>
      <c r="I43">
        <v>21</v>
      </c>
      <c r="J43">
        <v>22</v>
      </c>
      <c r="U43" t="s">
        <v>142</v>
      </c>
      <c r="V43" t="s">
        <v>144</v>
      </c>
      <c r="W43" t="s">
        <v>142</v>
      </c>
      <c r="X43" t="s">
        <v>144</v>
      </c>
      <c r="Y43" t="s">
        <v>142</v>
      </c>
      <c r="Z43" t="s">
        <v>144</v>
      </c>
      <c r="AA43" t="s">
        <v>171</v>
      </c>
    </row>
    <row r="44" spans="6:27">
      <c r="F44" t="s">
        <v>147</v>
      </c>
      <c r="G44" s="60">
        <v>0.36099999999999999</v>
      </c>
      <c r="H44" s="60">
        <v>0.27400000000000002</v>
      </c>
      <c r="I44" s="60">
        <v>0.32300000000000001</v>
      </c>
      <c r="J44" s="60">
        <v>0.27500000000000002</v>
      </c>
      <c r="P44" s="64">
        <f>(G44+H44)/2</f>
        <v>0.3175</v>
      </c>
      <c r="Q44" s="64">
        <f t="shared" ref="Q44:Q55" si="6">(I44+J44)/2</f>
        <v>0.29900000000000004</v>
      </c>
      <c r="U44" s="63">
        <f t="shared" ref="U44:U55" si="7">P26*P44</f>
        <v>4.5085000000000007E-2</v>
      </c>
      <c r="V44" s="62">
        <f t="shared" ref="V44:V55" si="8">Q26*P44</f>
        <v>5.699125E-2</v>
      </c>
      <c r="W44" s="63">
        <f t="shared" ref="W44:W55" si="9">R26*Q44</f>
        <v>4.8438000000000009E-2</v>
      </c>
      <c r="X44" s="62">
        <f t="shared" ref="X44:X55" si="10">S26*Q44</f>
        <v>2.8405000000000003E-2</v>
      </c>
      <c r="Y44" s="63">
        <f>(U44+W44)/2</f>
        <v>4.6761500000000011E-2</v>
      </c>
      <c r="Z44" s="62">
        <f>(V44+X44)/2</f>
        <v>4.2698125000000003E-2</v>
      </c>
      <c r="AA44" s="65">
        <f>MAX(Y44:Z44)</f>
        <v>4.6761500000000011E-2</v>
      </c>
    </row>
    <row r="45" spans="6:27">
      <c r="F45" t="s">
        <v>148</v>
      </c>
      <c r="G45" s="60">
        <v>0.45100000000000001</v>
      </c>
      <c r="H45" s="60">
        <v>0.51100000000000001</v>
      </c>
      <c r="I45" s="60">
        <v>0.77500000000000002</v>
      </c>
      <c r="J45" s="60">
        <v>0.81399999999999995</v>
      </c>
      <c r="P45" s="64">
        <f t="shared" ref="P45:P55" si="11">(G45+H45)/2</f>
        <v>0.48099999999999998</v>
      </c>
      <c r="Q45" s="64">
        <f t="shared" si="6"/>
        <v>0.79449999999999998</v>
      </c>
      <c r="U45" s="63">
        <f t="shared" si="7"/>
        <v>0.10918699999999999</v>
      </c>
      <c r="V45" s="62">
        <f t="shared" si="8"/>
        <v>6.6378000000000006E-2</v>
      </c>
      <c r="W45" s="63">
        <f t="shared" si="9"/>
        <v>0.20855625</v>
      </c>
      <c r="X45" s="62">
        <f t="shared" si="10"/>
        <v>4.8067249999999999E-2</v>
      </c>
      <c r="Y45" s="63">
        <f t="shared" ref="Y45:Y55" si="12">(U45+W45)/2</f>
        <v>0.15887162499999999</v>
      </c>
      <c r="Z45" s="62">
        <f t="shared" ref="Z45:Z55" si="13">(V45+X45)/2</f>
        <v>5.7222624999999999E-2</v>
      </c>
      <c r="AA45" s="65">
        <f t="shared" ref="AA45:AA55" si="14">MAX(Y45:Z45)</f>
        <v>0.15887162499999999</v>
      </c>
    </row>
    <row r="46" spans="6:27">
      <c r="F46" t="s">
        <v>149</v>
      </c>
      <c r="G46" s="60">
        <v>0.71699999999999997</v>
      </c>
      <c r="H46" s="60">
        <v>0.67400000000000004</v>
      </c>
      <c r="I46" s="60">
        <v>0.94499999999999995</v>
      </c>
      <c r="J46" s="60">
        <v>0.94200000000000006</v>
      </c>
      <c r="P46" s="64">
        <f t="shared" si="11"/>
        <v>0.69550000000000001</v>
      </c>
      <c r="Q46" s="64">
        <f t="shared" si="6"/>
        <v>0.94350000000000001</v>
      </c>
      <c r="U46" s="63">
        <f t="shared" si="7"/>
        <v>0.19265350000000001</v>
      </c>
      <c r="V46" s="62">
        <f t="shared" si="8"/>
        <v>0</v>
      </c>
      <c r="W46" s="63">
        <f t="shared" si="9"/>
        <v>0.32786625000000003</v>
      </c>
      <c r="X46" s="62">
        <f t="shared" si="10"/>
        <v>0</v>
      </c>
      <c r="Y46" s="63">
        <f t="shared" si="12"/>
        <v>0.26025987500000003</v>
      </c>
      <c r="Z46" s="62">
        <f t="shared" si="13"/>
        <v>0</v>
      </c>
      <c r="AA46" s="65">
        <f t="shared" si="14"/>
        <v>0.26025987500000003</v>
      </c>
    </row>
    <row r="47" spans="6:27">
      <c r="F47" t="s">
        <v>150</v>
      </c>
      <c r="G47" s="60">
        <v>0.89500000000000002</v>
      </c>
      <c r="H47" s="60">
        <v>0.88800000000000001</v>
      </c>
      <c r="I47" s="60">
        <v>1</v>
      </c>
      <c r="J47" s="60">
        <v>0.99</v>
      </c>
      <c r="P47" s="64">
        <f t="shared" si="11"/>
        <v>0.89149999999999996</v>
      </c>
      <c r="Q47" s="64">
        <f t="shared" si="6"/>
        <v>0.995</v>
      </c>
      <c r="U47" s="63">
        <f t="shared" si="7"/>
        <v>0.48586750000000001</v>
      </c>
      <c r="V47" s="62">
        <f t="shared" si="8"/>
        <v>0</v>
      </c>
      <c r="W47" s="63">
        <f t="shared" si="9"/>
        <v>0.57709999999999995</v>
      </c>
      <c r="X47" s="62">
        <f t="shared" si="10"/>
        <v>0</v>
      </c>
      <c r="Y47" s="63">
        <f t="shared" si="12"/>
        <v>0.53148375000000003</v>
      </c>
      <c r="Z47" s="62">
        <f t="shared" si="13"/>
        <v>0</v>
      </c>
      <c r="AA47" s="65">
        <f t="shared" si="14"/>
        <v>0.53148375000000003</v>
      </c>
    </row>
    <row r="48" spans="6:27">
      <c r="F48" t="s">
        <v>151</v>
      </c>
      <c r="G48" s="60">
        <v>0.92300000000000004</v>
      </c>
      <c r="H48" s="60">
        <v>0.99</v>
      </c>
      <c r="I48" s="60">
        <v>1</v>
      </c>
      <c r="J48" s="60">
        <v>1</v>
      </c>
      <c r="P48" s="64">
        <f t="shared" si="11"/>
        <v>0.95650000000000002</v>
      </c>
      <c r="Q48" s="64">
        <f t="shared" si="6"/>
        <v>1</v>
      </c>
      <c r="U48" s="63">
        <f t="shared" si="7"/>
        <v>0.53611825000000002</v>
      </c>
      <c r="V48" s="62">
        <f t="shared" si="8"/>
        <v>0</v>
      </c>
      <c r="W48" s="63">
        <f t="shared" si="9"/>
        <v>0.62050000000000005</v>
      </c>
      <c r="X48" s="62">
        <f t="shared" si="10"/>
        <v>0</v>
      </c>
      <c r="Y48" s="63">
        <f t="shared" si="12"/>
        <v>0.57830912500000009</v>
      </c>
      <c r="Z48" s="62">
        <f t="shared" si="13"/>
        <v>0</v>
      </c>
      <c r="AA48" s="65">
        <f t="shared" si="14"/>
        <v>0.57830912500000009</v>
      </c>
    </row>
    <row r="49" spans="2:27">
      <c r="F49" t="s">
        <v>152</v>
      </c>
      <c r="G49" s="60">
        <v>0.81</v>
      </c>
      <c r="H49" s="60">
        <v>0.83799999999999997</v>
      </c>
      <c r="I49" s="60">
        <v>0.99</v>
      </c>
      <c r="J49" s="60">
        <v>1</v>
      </c>
      <c r="P49" s="64">
        <f t="shared" si="11"/>
        <v>0.82400000000000007</v>
      </c>
      <c r="Q49" s="64">
        <f t="shared" si="6"/>
        <v>0.995</v>
      </c>
      <c r="U49" s="63">
        <f t="shared" si="7"/>
        <v>0.33124800000000004</v>
      </c>
      <c r="V49" s="62">
        <f t="shared" si="8"/>
        <v>0</v>
      </c>
      <c r="W49" s="63">
        <f t="shared" si="9"/>
        <v>0.45769999999999994</v>
      </c>
      <c r="X49" s="62">
        <f t="shared" si="10"/>
        <v>0</v>
      </c>
      <c r="Y49" s="63">
        <f t="shared" si="12"/>
        <v>0.39447399999999999</v>
      </c>
      <c r="Z49" s="62">
        <f t="shared" si="13"/>
        <v>0</v>
      </c>
      <c r="AA49" s="65">
        <f t="shared" si="14"/>
        <v>0.39447399999999999</v>
      </c>
    </row>
    <row r="50" spans="2:27">
      <c r="F50" t="s">
        <v>153</v>
      </c>
      <c r="G50" s="60">
        <v>0.23499999999999999</v>
      </c>
      <c r="H50" s="60">
        <v>0.40899999999999997</v>
      </c>
      <c r="I50" s="60">
        <v>0.48399999999999999</v>
      </c>
      <c r="J50" s="60">
        <v>0.79900000000000004</v>
      </c>
      <c r="P50" s="64">
        <f t="shared" si="11"/>
        <v>0.32199999999999995</v>
      </c>
      <c r="Q50" s="64">
        <f t="shared" si="6"/>
        <v>0.64149999999999996</v>
      </c>
      <c r="U50" s="63">
        <f t="shared" si="7"/>
        <v>6.2145999999999993E-2</v>
      </c>
      <c r="V50" s="62">
        <f t="shared" si="8"/>
        <v>3.3809999999999993E-2</v>
      </c>
      <c r="W50" s="63">
        <f t="shared" si="9"/>
        <v>0.14273374999999996</v>
      </c>
      <c r="X50" s="62">
        <f t="shared" si="10"/>
        <v>1.4433749999999999E-2</v>
      </c>
      <c r="Y50" s="63">
        <f t="shared" si="12"/>
        <v>0.10243987499999999</v>
      </c>
      <c r="Z50" s="62">
        <f t="shared" si="13"/>
        <v>2.4121874999999994E-2</v>
      </c>
      <c r="AA50" s="65">
        <f t="shared" si="14"/>
        <v>0.10243987499999999</v>
      </c>
    </row>
    <row r="51" spans="2:27">
      <c r="F51" t="s">
        <v>154</v>
      </c>
      <c r="G51" s="60">
        <v>0.67400000000000004</v>
      </c>
      <c r="H51" s="60">
        <v>0.47599999999999998</v>
      </c>
      <c r="I51" s="60">
        <v>0.09</v>
      </c>
      <c r="J51" s="60">
        <v>0.23300000000000001</v>
      </c>
      <c r="P51" s="64">
        <f t="shared" si="11"/>
        <v>0.57499999999999996</v>
      </c>
      <c r="Q51" s="64">
        <f t="shared" si="6"/>
        <v>0.1615</v>
      </c>
      <c r="U51" s="63">
        <f t="shared" si="7"/>
        <v>6.1525000000000003E-2</v>
      </c>
      <c r="V51" s="62">
        <f t="shared" si="8"/>
        <v>0.1196</v>
      </c>
      <c r="W51" s="63">
        <f t="shared" si="9"/>
        <v>2.4628750000000005E-2</v>
      </c>
      <c r="X51" s="62">
        <f t="shared" si="10"/>
        <v>1.7845750000000001E-2</v>
      </c>
      <c r="Y51" s="63">
        <f t="shared" si="12"/>
        <v>4.3076875000000001E-2</v>
      </c>
      <c r="Z51" s="62">
        <f t="shared" si="13"/>
        <v>6.8722875000000003E-2</v>
      </c>
      <c r="AA51" s="65">
        <f t="shared" si="14"/>
        <v>6.8722875000000003E-2</v>
      </c>
    </row>
    <row r="52" spans="2:27">
      <c r="F52" t="s">
        <v>155</v>
      </c>
      <c r="G52" s="60">
        <v>0.96499999999999997</v>
      </c>
      <c r="H52" s="60">
        <v>0.93300000000000005</v>
      </c>
      <c r="I52" s="60">
        <v>0.80500000000000005</v>
      </c>
      <c r="J52" s="60">
        <v>0.62</v>
      </c>
      <c r="P52" s="64">
        <f t="shared" si="11"/>
        <v>0.94900000000000007</v>
      </c>
      <c r="Q52" s="64">
        <f t="shared" si="6"/>
        <v>0.71250000000000002</v>
      </c>
      <c r="U52" s="63">
        <f t="shared" si="7"/>
        <v>0</v>
      </c>
      <c r="V52" s="62">
        <f t="shared" si="8"/>
        <v>0.36156900000000003</v>
      </c>
      <c r="W52" s="63">
        <f t="shared" si="9"/>
        <v>0</v>
      </c>
      <c r="X52" s="62">
        <f t="shared" si="10"/>
        <v>0.13359375000000001</v>
      </c>
      <c r="Y52" s="63">
        <f t="shared" si="12"/>
        <v>0</v>
      </c>
      <c r="Z52" s="62">
        <f t="shared" si="13"/>
        <v>0.24758137500000002</v>
      </c>
      <c r="AA52" s="65">
        <f t="shared" si="14"/>
        <v>0.24758137500000002</v>
      </c>
    </row>
    <row r="53" spans="2:27">
      <c r="F53" t="s">
        <v>156</v>
      </c>
      <c r="G53" s="60">
        <v>1</v>
      </c>
      <c r="H53" s="60">
        <v>1</v>
      </c>
      <c r="I53" s="60">
        <v>0.97199999999999998</v>
      </c>
      <c r="J53" s="60">
        <v>0.97799999999999998</v>
      </c>
      <c r="P53" s="64">
        <f t="shared" si="11"/>
        <v>1</v>
      </c>
      <c r="Q53" s="64">
        <f t="shared" si="6"/>
        <v>0.97499999999999998</v>
      </c>
      <c r="U53" s="63">
        <f t="shared" si="7"/>
        <v>0</v>
      </c>
      <c r="V53" s="62">
        <f t="shared" si="8"/>
        <v>0.50549999999999995</v>
      </c>
      <c r="W53" s="63">
        <f t="shared" si="9"/>
        <v>0</v>
      </c>
      <c r="X53" s="62">
        <f t="shared" si="10"/>
        <v>0.23253750000000001</v>
      </c>
      <c r="Y53" s="63">
        <f t="shared" si="12"/>
        <v>0</v>
      </c>
      <c r="Z53" s="62">
        <f t="shared" si="13"/>
        <v>0.36901874999999995</v>
      </c>
      <c r="AA53" s="65">
        <f t="shared" si="14"/>
        <v>0.36901874999999995</v>
      </c>
    </row>
    <row r="54" spans="2:27">
      <c r="F54" t="s">
        <v>157</v>
      </c>
      <c r="G54" s="60">
        <v>0.99399999999999999</v>
      </c>
      <c r="H54" s="60">
        <v>0.96899999999999997</v>
      </c>
      <c r="I54" s="60">
        <v>0.97199999999999998</v>
      </c>
      <c r="J54" s="60">
        <v>0.875</v>
      </c>
      <c r="P54" s="64">
        <f t="shared" si="11"/>
        <v>0.98150000000000004</v>
      </c>
      <c r="Q54" s="64">
        <f t="shared" si="6"/>
        <v>0.92349999999999999</v>
      </c>
      <c r="U54" s="63">
        <f t="shared" si="7"/>
        <v>0</v>
      </c>
      <c r="V54" s="62">
        <f t="shared" si="8"/>
        <v>0.47161075000000008</v>
      </c>
      <c r="W54" s="63">
        <f t="shared" si="9"/>
        <v>0</v>
      </c>
      <c r="X54" s="62">
        <f t="shared" si="10"/>
        <v>0.20455524999999999</v>
      </c>
      <c r="Y54" s="63">
        <f t="shared" si="12"/>
        <v>0</v>
      </c>
      <c r="Z54" s="62">
        <f t="shared" si="13"/>
        <v>0.33808300000000002</v>
      </c>
      <c r="AA54" s="65">
        <f t="shared" si="14"/>
        <v>0.33808300000000002</v>
      </c>
    </row>
    <row r="55" spans="2:27">
      <c r="F55" t="s">
        <v>158</v>
      </c>
      <c r="G55" s="60">
        <v>0.9</v>
      </c>
      <c r="H55" s="60">
        <v>0.88500000000000001</v>
      </c>
      <c r="I55" s="60">
        <v>0.59599999999999997</v>
      </c>
      <c r="J55" s="60">
        <v>3.2000000000000001E-2</v>
      </c>
      <c r="P55" s="64">
        <f t="shared" si="11"/>
        <v>0.89250000000000007</v>
      </c>
      <c r="Q55" s="64">
        <f t="shared" si="6"/>
        <v>0.314</v>
      </c>
      <c r="U55" s="63">
        <f t="shared" si="7"/>
        <v>4.774875E-2</v>
      </c>
      <c r="V55" s="62">
        <f t="shared" si="8"/>
        <v>0.31862250000000003</v>
      </c>
      <c r="W55" s="63">
        <f t="shared" si="9"/>
        <v>3.8621999999999997E-2</v>
      </c>
      <c r="X55" s="62">
        <f t="shared" si="10"/>
        <v>5.4479E-2</v>
      </c>
      <c r="Y55" s="63">
        <f t="shared" si="12"/>
        <v>4.3185374999999998E-2</v>
      </c>
      <c r="Z55" s="62">
        <f t="shared" si="13"/>
        <v>0.18655075000000002</v>
      </c>
      <c r="AA55" s="65">
        <f t="shared" si="14"/>
        <v>0.18655075000000002</v>
      </c>
    </row>
    <row r="56" spans="2:27">
      <c r="AA56" s="65">
        <f>AVERAGE(AA44:AA55)</f>
        <v>0.27354637500000006</v>
      </c>
    </row>
    <row r="61" spans="2:27">
      <c r="B61" t="s">
        <v>194</v>
      </c>
    </row>
    <row r="62" spans="2:27">
      <c r="B62" t="s">
        <v>182</v>
      </c>
      <c r="K62" t="s">
        <v>183</v>
      </c>
    </row>
    <row r="63" spans="2:27">
      <c r="B63" s="70"/>
      <c r="C63" s="433" t="s">
        <v>184</v>
      </c>
      <c r="D63" s="435"/>
      <c r="E63" s="435"/>
      <c r="F63" s="435"/>
      <c r="G63" s="435"/>
      <c r="H63" s="434"/>
      <c r="I63" s="433" t="s">
        <v>185</v>
      </c>
      <c r="J63" s="434"/>
      <c r="K63" s="433" t="s">
        <v>184</v>
      </c>
      <c r="L63" s="435"/>
      <c r="M63" s="435"/>
      <c r="N63" s="435"/>
      <c r="O63" s="435"/>
      <c r="P63" s="434"/>
      <c r="Q63" s="433" t="s">
        <v>185</v>
      </c>
      <c r="R63" s="434"/>
    </row>
    <row r="64" spans="2:27">
      <c r="B64" s="71"/>
      <c r="C64" s="433" t="s">
        <v>186</v>
      </c>
      <c r="D64" s="434"/>
      <c r="E64" s="433" t="s">
        <v>140</v>
      </c>
      <c r="F64" s="434"/>
      <c r="G64" s="433" t="s">
        <v>187</v>
      </c>
      <c r="H64" s="434"/>
      <c r="I64" s="72"/>
      <c r="J64" s="17"/>
      <c r="K64" s="433" t="s">
        <v>186</v>
      </c>
      <c r="L64" s="434"/>
      <c r="M64" s="433" t="s">
        <v>140</v>
      </c>
      <c r="N64" s="434"/>
      <c r="O64" s="433" t="s">
        <v>187</v>
      </c>
      <c r="P64" s="434"/>
      <c r="Q64" s="72"/>
      <c r="R64" s="17"/>
    </row>
    <row r="65" spans="2:18">
      <c r="B65" s="73"/>
      <c r="C65" s="21">
        <v>111</v>
      </c>
      <c r="D65" s="22">
        <v>112</v>
      </c>
      <c r="E65" s="21">
        <v>121</v>
      </c>
      <c r="F65" s="22">
        <v>122</v>
      </c>
      <c r="G65" s="21">
        <v>131</v>
      </c>
      <c r="H65" s="22">
        <v>132</v>
      </c>
      <c r="I65" s="72">
        <v>211</v>
      </c>
      <c r="J65" s="17">
        <v>212</v>
      </c>
      <c r="K65" s="21">
        <v>111</v>
      </c>
      <c r="L65" s="22">
        <v>112</v>
      </c>
      <c r="M65" s="21">
        <v>121</v>
      </c>
      <c r="N65" s="22">
        <v>122</v>
      </c>
      <c r="O65" s="21">
        <v>131</v>
      </c>
      <c r="P65" s="22">
        <v>132</v>
      </c>
      <c r="Q65" s="72">
        <v>211</v>
      </c>
      <c r="R65" s="17">
        <v>212</v>
      </c>
    </row>
    <row r="66" spans="2:18">
      <c r="B66" s="2" t="s">
        <v>188</v>
      </c>
      <c r="C66" s="23" t="s">
        <v>142</v>
      </c>
      <c r="D66" s="23" t="s">
        <v>144</v>
      </c>
      <c r="E66" s="23" t="s">
        <v>142</v>
      </c>
      <c r="F66" s="23" t="s">
        <v>144</v>
      </c>
      <c r="G66" s="23" t="s">
        <v>142</v>
      </c>
      <c r="H66" s="23" t="s">
        <v>144</v>
      </c>
      <c r="I66" s="23" t="s">
        <v>142</v>
      </c>
      <c r="J66" s="23" t="s">
        <v>144</v>
      </c>
      <c r="K66" s="23" t="s">
        <v>142</v>
      </c>
      <c r="L66" s="23" t="s">
        <v>144</v>
      </c>
      <c r="M66" s="23" t="s">
        <v>142</v>
      </c>
      <c r="N66" s="23" t="s">
        <v>144</v>
      </c>
      <c r="O66" s="23" t="s">
        <v>142</v>
      </c>
      <c r="P66" s="23" t="s">
        <v>144</v>
      </c>
      <c r="Q66" s="23" t="s">
        <v>142</v>
      </c>
      <c r="R66" s="23" t="s">
        <v>144</v>
      </c>
    </row>
    <row r="67" spans="2:18">
      <c r="B67" s="2">
        <v>1995</v>
      </c>
      <c r="C67" s="2">
        <v>1.05</v>
      </c>
      <c r="D67" s="2">
        <v>1.05</v>
      </c>
      <c r="E67" s="2">
        <v>1.05</v>
      </c>
      <c r="F67" s="2">
        <f>1.1</f>
        <v>1.1000000000000001</v>
      </c>
      <c r="G67" s="2">
        <v>1.05</v>
      </c>
      <c r="H67" s="2">
        <f>1</f>
        <v>1</v>
      </c>
      <c r="I67" s="2">
        <v>0.26</v>
      </c>
      <c r="J67" s="2">
        <v>0.26</v>
      </c>
      <c r="K67" s="2">
        <v>0.5</v>
      </c>
      <c r="L67" s="2">
        <v>0.45</v>
      </c>
      <c r="M67" s="2">
        <v>0.9</v>
      </c>
      <c r="N67" s="2">
        <v>0.83</v>
      </c>
      <c r="O67" s="2">
        <v>0.56000000000000005</v>
      </c>
      <c r="P67" s="2">
        <v>0.56999999999999995</v>
      </c>
      <c r="Q67" s="2">
        <v>0.74</v>
      </c>
      <c r="R67" s="2">
        <v>0.74</v>
      </c>
    </row>
    <row r="68" spans="2:18">
      <c r="B68" s="2">
        <v>2005</v>
      </c>
      <c r="C68" s="2">
        <v>1.05</v>
      </c>
      <c r="D68" s="2">
        <v>1.05</v>
      </c>
      <c r="E68" s="2">
        <v>1.05</v>
      </c>
      <c r="F68" s="2">
        <f>1</f>
        <v>1</v>
      </c>
      <c r="G68" s="2">
        <v>1.05</v>
      </c>
      <c r="H68" s="2">
        <f>1</f>
        <v>1</v>
      </c>
      <c r="I68" s="2">
        <v>0.25</v>
      </c>
      <c r="J68" s="2">
        <v>0.25</v>
      </c>
      <c r="K68" s="2">
        <v>1.37</v>
      </c>
      <c r="L68" s="2">
        <v>1.22</v>
      </c>
      <c r="M68" s="2">
        <v>1.25</v>
      </c>
      <c r="N68" s="2">
        <v>1.17</v>
      </c>
      <c r="O68" s="2">
        <v>0.83</v>
      </c>
      <c r="P68" s="2">
        <v>0.84</v>
      </c>
      <c r="Q68" s="2">
        <v>0.75</v>
      </c>
      <c r="R68" s="2">
        <v>0.75</v>
      </c>
    </row>
    <row r="69" spans="2:18">
      <c r="B69" s="2">
        <v>2015</v>
      </c>
      <c r="C69" s="2">
        <v>1.05</v>
      </c>
      <c r="D69" s="2">
        <v>1.05</v>
      </c>
      <c r="E69" s="2">
        <v>1.05</v>
      </c>
      <c r="F69" s="2">
        <f>1</f>
        <v>1</v>
      </c>
      <c r="G69" s="2">
        <v>1.05</v>
      </c>
      <c r="H69" s="2">
        <f>1</f>
        <v>1</v>
      </c>
      <c r="I69" s="2">
        <v>0.25</v>
      </c>
      <c r="J69" s="2">
        <v>0.25</v>
      </c>
      <c r="K69" s="2">
        <v>1.77</v>
      </c>
      <c r="L69" s="2">
        <v>1.45</v>
      </c>
      <c r="M69" s="2">
        <v>1.91</v>
      </c>
      <c r="N69" s="2">
        <v>1.4</v>
      </c>
      <c r="O69" s="2">
        <v>1.2</v>
      </c>
      <c r="P69" s="2">
        <v>1.19</v>
      </c>
      <c r="Q69" s="2">
        <v>0.75</v>
      </c>
      <c r="R69" s="2">
        <v>0.75</v>
      </c>
    </row>
    <row r="70" spans="2:18">
      <c r="B70" s="2" t="s">
        <v>189</v>
      </c>
      <c r="C70" s="23" t="s">
        <v>142</v>
      </c>
      <c r="D70" s="23" t="s">
        <v>144</v>
      </c>
      <c r="E70" s="23" t="s">
        <v>142</v>
      </c>
      <c r="F70" s="23" t="s">
        <v>144</v>
      </c>
      <c r="G70" s="23" t="s">
        <v>142</v>
      </c>
      <c r="H70" s="23" t="s">
        <v>144</v>
      </c>
      <c r="I70" s="23" t="s">
        <v>142</v>
      </c>
      <c r="J70" s="23" t="s">
        <v>144</v>
      </c>
      <c r="K70" s="23" t="s">
        <v>142</v>
      </c>
      <c r="L70" s="23" t="s">
        <v>144</v>
      </c>
      <c r="M70" s="23" t="s">
        <v>142</v>
      </c>
      <c r="N70" s="23" t="s">
        <v>144</v>
      </c>
      <c r="O70" s="23" t="s">
        <v>142</v>
      </c>
      <c r="P70" s="23" t="s">
        <v>144</v>
      </c>
      <c r="Q70" s="23" t="s">
        <v>142</v>
      </c>
      <c r="R70" s="23" t="s">
        <v>144</v>
      </c>
    </row>
    <row r="71" spans="2:18">
      <c r="B71" s="2">
        <v>1995</v>
      </c>
      <c r="C71" s="2">
        <v>0.31</v>
      </c>
      <c r="D71" s="2">
        <f>0.38</f>
        <v>0.38</v>
      </c>
      <c r="E71" s="74">
        <f>-0.25</f>
        <v>-0.25</v>
      </c>
      <c r="F71" s="75">
        <f>-0.09</f>
        <v>-0.09</v>
      </c>
      <c r="G71" s="2">
        <f>0.25</f>
        <v>0.25</v>
      </c>
      <c r="H71" s="2">
        <f>0.25</f>
        <v>0.25</v>
      </c>
      <c r="I71" s="2">
        <v>0.26</v>
      </c>
      <c r="J71" s="2">
        <v>0.26</v>
      </c>
      <c r="K71" s="2">
        <v>0.69</v>
      </c>
      <c r="L71" s="2">
        <v>0.62</v>
      </c>
      <c r="M71" s="76">
        <v>1.22</v>
      </c>
      <c r="N71" s="75">
        <v>1.1000000000000001</v>
      </c>
      <c r="O71" s="2">
        <v>0.75</v>
      </c>
      <c r="P71" s="2">
        <v>0.75</v>
      </c>
      <c r="Q71" s="2">
        <v>0.74</v>
      </c>
      <c r="R71" s="2">
        <v>0.74</v>
      </c>
    </row>
    <row r="72" spans="2:18">
      <c r="B72" s="2">
        <v>2005</v>
      </c>
      <c r="C72" s="2">
        <f>-0.85</f>
        <v>-0.85</v>
      </c>
      <c r="D72" s="2">
        <f>-0.65</f>
        <v>-0.65</v>
      </c>
      <c r="E72" s="77">
        <f>-0.6875</f>
        <v>-0.6875</v>
      </c>
      <c r="F72" s="75">
        <f>-0.56</f>
        <v>-0.56000000000000005</v>
      </c>
      <c r="G72" s="75">
        <f>-0.125</f>
        <v>-0.125</v>
      </c>
      <c r="H72" s="75">
        <f>-0.1</f>
        <v>-0.1</v>
      </c>
      <c r="I72" s="2">
        <v>0.25</v>
      </c>
      <c r="J72" s="2">
        <v>0.25</v>
      </c>
      <c r="K72" s="2">
        <v>1.85</v>
      </c>
      <c r="L72" s="2">
        <v>1.65</v>
      </c>
      <c r="M72" s="76">
        <v>1.69</v>
      </c>
      <c r="N72" s="75">
        <v>1.56</v>
      </c>
      <c r="O72" s="74">
        <v>1.1200000000000001</v>
      </c>
      <c r="P72" s="75">
        <v>1.1000000000000001</v>
      </c>
      <c r="Q72" s="2">
        <v>0.75</v>
      </c>
      <c r="R72" s="2">
        <v>0.75</v>
      </c>
    </row>
    <row r="73" spans="2:18">
      <c r="B73" s="2">
        <v>2015</v>
      </c>
      <c r="C73" s="2">
        <v>-1.38</v>
      </c>
      <c r="D73" s="2">
        <f>-0.95</f>
        <v>-0.95</v>
      </c>
      <c r="E73" s="77">
        <f>-1.575</f>
        <v>-1.575</v>
      </c>
      <c r="F73" s="74">
        <f>-0.875</f>
        <v>-0.875</v>
      </c>
      <c r="G73" s="75">
        <f>-0.625</f>
        <v>-0.625</v>
      </c>
      <c r="H73" s="75">
        <f>-0.6</f>
        <v>-0.6</v>
      </c>
      <c r="I73" s="2">
        <v>0.25</v>
      </c>
      <c r="J73" s="2">
        <v>0.25</v>
      </c>
      <c r="K73" s="2">
        <v>2.38</v>
      </c>
      <c r="L73" s="2">
        <v>1.95</v>
      </c>
      <c r="M73" s="76">
        <v>2.58</v>
      </c>
      <c r="N73" s="74">
        <v>1.88</v>
      </c>
      <c r="O73" s="74">
        <v>1.62</v>
      </c>
      <c r="P73" s="75">
        <v>1.6</v>
      </c>
      <c r="Q73" s="2">
        <v>0.75</v>
      </c>
      <c r="R73" s="2">
        <v>0.75</v>
      </c>
    </row>
    <row r="74" spans="2:18" ht="13.5" thickBot="1"/>
    <row r="75" spans="2:18" ht="13.5" thickBot="1">
      <c r="C75" s="78">
        <v>0.25</v>
      </c>
    </row>
    <row r="76" spans="2:18">
      <c r="C76" s="79"/>
      <c r="G76" t="s">
        <v>141</v>
      </c>
      <c r="H76">
        <v>111</v>
      </c>
      <c r="I76" s="24" t="s">
        <v>177</v>
      </c>
      <c r="J76">
        <v>2015</v>
      </c>
      <c r="M76" t="s">
        <v>190</v>
      </c>
      <c r="N76" t="s">
        <v>191</v>
      </c>
      <c r="O76" t="s">
        <v>192</v>
      </c>
      <c r="P76" t="s">
        <v>193</v>
      </c>
    </row>
    <row r="77" spans="2:18">
      <c r="G77" t="s">
        <v>143</v>
      </c>
      <c r="H77">
        <v>112</v>
      </c>
      <c r="I77" s="24" t="s">
        <v>178</v>
      </c>
      <c r="J77">
        <v>1</v>
      </c>
      <c r="L77" t="s">
        <v>188</v>
      </c>
      <c r="M77" s="2">
        <f>VLOOKUP(J76,B67:J69,J78+1,FALSE)</f>
        <v>1.05</v>
      </c>
      <c r="N77" s="2">
        <f>VLOOKUP($J76,B67:J69,$J78+1,FALSE)</f>
        <v>1.05</v>
      </c>
      <c r="O77" s="2">
        <f>VLOOKUP(J76,B67:R69,J78+9,FALSE)</f>
        <v>1.77</v>
      </c>
      <c r="P77" s="2">
        <f>VLOOKUP(J76,B67:R69,J78+9,FALSE)</f>
        <v>1.77</v>
      </c>
    </row>
    <row r="78" spans="2:18">
      <c r="G78" s="24" t="s">
        <v>179</v>
      </c>
      <c r="H78">
        <v>12</v>
      </c>
      <c r="I78" s="24" t="s">
        <v>180</v>
      </c>
      <c r="J78">
        <v>1</v>
      </c>
      <c r="K78">
        <f>MATCH(H77,C65:J65,0)</f>
        <v>2</v>
      </c>
      <c r="L78" t="s">
        <v>189</v>
      </c>
      <c r="M78" s="2">
        <f>VLOOKUP(J76,B71:J73,J78+1,FALSE)</f>
        <v>-1.38</v>
      </c>
      <c r="N78" s="2">
        <f>VLOOKUP(J76,B71:J73,J78+1,FALSE)</f>
        <v>-1.38</v>
      </c>
      <c r="O78" s="2">
        <f>VLOOKUP(J76,B71:R73,J78+9,FALSE)</f>
        <v>2.38</v>
      </c>
      <c r="P78" s="2">
        <f>VLOOKUP(J76,B71:R73,J78+9,FALSE)</f>
        <v>2.38</v>
      </c>
    </row>
    <row r="79" spans="2:18">
      <c r="G79" s="24" t="s">
        <v>181</v>
      </c>
      <c r="H79">
        <v>2</v>
      </c>
      <c r="J79">
        <v>2</v>
      </c>
      <c r="O79" t="s">
        <v>142</v>
      </c>
      <c r="P79" t="s">
        <v>144</v>
      </c>
    </row>
    <row r="80" spans="2:18">
      <c r="B80" t="s">
        <v>198</v>
      </c>
      <c r="G80" s="24"/>
    </row>
    <row r="81" spans="2:11">
      <c r="C81" t="s">
        <v>196</v>
      </c>
      <c r="H81" s="1" t="s">
        <v>197</v>
      </c>
    </row>
    <row r="82" spans="2:11">
      <c r="B82" s="2"/>
      <c r="C82" s="72" t="s">
        <v>182</v>
      </c>
      <c r="D82" s="80"/>
      <c r="E82" s="72" t="s">
        <v>183</v>
      </c>
      <c r="F82" s="17"/>
      <c r="H82" s="72" t="s">
        <v>182</v>
      </c>
      <c r="I82" s="80"/>
      <c r="J82" s="72" t="s">
        <v>183</v>
      </c>
      <c r="K82" s="17"/>
    </row>
    <row r="83" spans="2:11">
      <c r="B83" s="2" t="s">
        <v>188</v>
      </c>
      <c r="C83" s="23" t="s">
        <v>142</v>
      </c>
      <c r="D83" s="23" t="s">
        <v>144</v>
      </c>
      <c r="E83" s="23" t="s">
        <v>142</v>
      </c>
      <c r="F83" s="23" t="s">
        <v>144</v>
      </c>
      <c r="H83" s="23" t="s">
        <v>142</v>
      </c>
      <c r="I83" s="23" t="s">
        <v>144</v>
      </c>
      <c r="J83" s="23" t="s">
        <v>142</v>
      </c>
      <c r="K83" s="23" t="s">
        <v>144</v>
      </c>
    </row>
    <row r="84" spans="2:11">
      <c r="B84" s="2">
        <v>1995</v>
      </c>
      <c r="C84" s="2">
        <f t="shared" ref="C84:D86" si="15">(C67+E67)/2</f>
        <v>1.05</v>
      </c>
      <c r="D84" s="2">
        <f t="shared" si="15"/>
        <v>1.0750000000000002</v>
      </c>
      <c r="E84" s="2">
        <f t="shared" ref="E84:F86" si="16">(K67+M67)/2</f>
        <v>0.7</v>
      </c>
      <c r="F84" s="2">
        <f t="shared" si="16"/>
        <v>0.64</v>
      </c>
      <c r="H84" s="2">
        <v>0.26</v>
      </c>
      <c r="I84" s="2">
        <v>0.26</v>
      </c>
      <c r="J84" s="2">
        <v>0.74</v>
      </c>
      <c r="K84" s="2">
        <v>0.74</v>
      </c>
    </row>
    <row r="85" spans="2:11">
      <c r="B85" s="2">
        <v>2005</v>
      </c>
      <c r="C85" s="2">
        <f t="shared" si="15"/>
        <v>1.05</v>
      </c>
      <c r="D85" s="2">
        <f t="shared" si="15"/>
        <v>1.0249999999999999</v>
      </c>
      <c r="E85" s="2">
        <f t="shared" si="16"/>
        <v>1.31</v>
      </c>
      <c r="F85" s="2">
        <f t="shared" si="16"/>
        <v>1.1949999999999998</v>
      </c>
      <c r="H85" s="2">
        <v>0.25</v>
      </c>
      <c r="I85" s="2">
        <v>0.25</v>
      </c>
      <c r="J85" s="2">
        <v>0.75</v>
      </c>
      <c r="K85" s="2">
        <v>0.75</v>
      </c>
    </row>
    <row r="86" spans="2:11">
      <c r="B86" s="2">
        <v>2015</v>
      </c>
      <c r="C86" s="2">
        <f t="shared" si="15"/>
        <v>1.05</v>
      </c>
      <c r="D86" s="2">
        <f t="shared" si="15"/>
        <v>1.0249999999999999</v>
      </c>
      <c r="E86" s="2">
        <f t="shared" si="16"/>
        <v>1.8399999999999999</v>
      </c>
      <c r="F86" s="2">
        <f t="shared" si="16"/>
        <v>1.4249999999999998</v>
      </c>
      <c r="H86" s="2">
        <v>0.25</v>
      </c>
      <c r="I86" s="2">
        <v>0.25</v>
      </c>
      <c r="J86" s="2">
        <v>0.75</v>
      </c>
      <c r="K86" s="2">
        <v>0.75</v>
      </c>
    </row>
    <row r="87" spans="2:11">
      <c r="B87" s="2" t="s">
        <v>189</v>
      </c>
      <c r="C87" s="23" t="s">
        <v>142</v>
      </c>
      <c r="D87" s="23" t="s">
        <v>144</v>
      </c>
      <c r="E87" s="23" t="s">
        <v>142</v>
      </c>
      <c r="F87" s="23" t="s">
        <v>144</v>
      </c>
      <c r="H87" s="23" t="s">
        <v>142</v>
      </c>
      <c r="I87" s="23" t="s">
        <v>144</v>
      </c>
      <c r="J87" s="23" t="s">
        <v>142</v>
      </c>
      <c r="K87" s="23" t="s">
        <v>144</v>
      </c>
    </row>
    <row r="88" spans="2:11">
      <c r="B88" s="2">
        <v>1995</v>
      </c>
      <c r="C88" s="74">
        <f t="shared" ref="C88:D90" si="17">(C71+E71)/2</f>
        <v>0.03</v>
      </c>
      <c r="D88" s="74">
        <f t="shared" si="17"/>
        <v>0.14500000000000002</v>
      </c>
      <c r="E88" s="2">
        <f t="shared" ref="E88:F90" si="18">(K71+M71)/2</f>
        <v>0.95499999999999996</v>
      </c>
      <c r="F88" s="2">
        <f t="shared" si="18"/>
        <v>0.8600000000000001</v>
      </c>
      <c r="H88" s="2">
        <v>0.26</v>
      </c>
      <c r="I88" s="2">
        <v>0.26</v>
      </c>
      <c r="J88" s="2">
        <v>0.74</v>
      </c>
      <c r="K88" s="2">
        <v>0.74</v>
      </c>
    </row>
    <row r="89" spans="2:11">
      <c r="B89" s="2">
        <v>2005</v>
      </c>
      <c r="C89" s="74">
        <f t="shared" si="17"/>
        <v>-0.76875000000000004</v>
      </c>
      <c r="D89" s="74">
        <f t="shared" si="17"/>
        <v>-0.60499999999999998</v>
      </c>
      <c r="E89" s="2">
        <f t="shared" si="18"/>
        <v>1.77</v>
      </c>
      <c r="F89" s="2">
        <f t="shared" si="18"/>
        <v>1.605</v>
      </c>
      <c r="H89" s="2">
        <v>0.25</v>
      </c>
      <c r="I89" s="2">
        <v>0.25</v>
      </c>
      <c r="J89" s="2">
        <v>0.75</v>
      </c>
      <c r="K89" s="2">
        <v>0.75</v>
      </c>
    </row>
    <row r="90" spans="2:11">
      <c r="B90" s="2">
        <v>2015</v>
      </c>
      <c r="C90" s="74">
        <f t="shared" si="17"/>
        <v>-1.4775</v>
      </c>
      <c r="D90" s="74">
        <f t="shared" si="17"/>
        <v>-0.91249999999999998</v>
      </c>
      <c r="E90" s="2">
        <f t="shared" si="18"/>
        <v>2.48</v>
      </c>
      <c r="F90" s="2">
        <f t="shared" si="18"/>
        <v>1.915</v>
      </c>
      <c r="H90" s="2">
        <v>0.25</v>
      </c>
      <c r="I90" s="2">
        <v>0.25</v>
      </c>
      <c r="J90" s="2">
        <v>0.75</v>
      </c>
      <c r="K90" s="2">
        <v>0.75</v>
      </c>
    </row>
    <row r="93" spans="2:11">
      <c r="B93" s="436" t="s">
        <v>196</v>
      </c>
      <c r="C93" s="23" t="s">
        <v>188</v>
      </c>
      <c r="D93" s="23" t="s">
        <v>188</v>
      </c>
      <c r="E93" s="23" t="s">
        <v>189</v>
      </c>
      <c r="F93" s="23" t="s">
        <v>189</v>
      </c>
      <c r="G93" s="23" t="s">
        <v>188</v>
      </c>
      <c r="H93" s="23" t="s">
        <v>188</v>
      </c>
      <c r="I93" s="23" t="s">
        <v>189</v>
      </c>
      <c r="J93" s="23" t="s">
        <v>189</v>
      </c>
    </row>
    <row r="94" spans="2:11">
      <c r="B94" s="437"/>
      <c r="C94" s="433" t="s">
        <v>182</v>
      </c>
      <c r="D94" s="435"/>
      <c r="E94" s="435"/>
      <c r="F94" s="434"/>
      <c r="G94" s="433" t="s">
        <v>199</v>
      </c>
      <c r="H94" s="435"/>
      <c r="I94" s="435"/>
      <c r="J94" s="434"/>
    </row>
    <row r="95" spans="2:11">
      <c r="B95" s="438"/>
      <c r="C95" s="84" t="s">
        <v>142</v>
      </c>
      <c r="D95" s="85" t="s">
        <v>144</v>
      </c>
      <c r="E95" s="84" t="s">
        <v>142</v>
      </c>
      <c r="F95" s="85" t="s">
        <v>144</v>
      </c>
      <c r="G95" s="84" t="s">
        <v>142</v>
      </c>
      <c r="H95" s="85" t="s">
        <v>144</v>
      </c>
      <c r="I95" s="84" t="s">
        <v>142</v>
      </c>
      <c r="J95" s="85" t="s">
        <v>144</v>
      </c>
    </row>
    <row r="96" spans="2:11" hidden="1">
      <c r="B96">
        <v>1981</v>
      </c>
      <c r="C96">
        <v>1.05</v>
      </c>
      <c r="E96">
        <f t="shared" ref="E96:E109" si="19">($C$90-$C$88)/20*(B96-$B$110)+0.03</f>
        <v>1.08525</v>
      </c>
    </row>
    <row r="97" spans="2:10" hidden="1">
      <c r="B97">
        <v>1982</v>
      </c>
      <c r="E97">
        <f t="shared" si="19"/>
        <v>1.0098749999999999</v>
      </c>
    </row>
    <row r="98" spans="2:10" hidden="1">
      <c r="B98">
        <v>1983</v>
      </c>
      <c r="E98">
        <f t="shared" si="19"/>
        <v>0.9345</v>
      </c>
    </row>
    <row r="99" spans="2:10" hidden="1">
      <c r="B99">
        <v>1984</v>
      </c>
      <c r="E99">
        <f t="shared" si="19"/>
        <v>0.85912500000000003</v>
      </c>
    </row>
    <row r="100" spans="2:10" hidden="1">
      <c r="B100">
        <v>1985</v>
      </c>
      <c r="E100">
        <f t="shared" si="19"/>
        <v>0.78374999999999995</v>
      </c>
    </row>
    <row r="101" spans="2:10" hidden="1">
      <c r="B101">
        <v>1986</v>
      </c>
      <c r="E101">
        <f t="shared" si="19"/>
        <v>0.70837499999999998</v>
      </c>
    </row>
    <row r="102" spans="2:10" hidden="1">
      <c r="B102">
        <v>1987</v>
      </c>
      <c r="E102">
        <f t="shared" si="19"/>
        <v>0.63300000000000001</v>
      </c>
    </row>
    <row r="103" spans="2:10" hidden="1">
      <c r="B103">
        <v>1988</v>
      </c>
      <c r="E103">
        <f t="shared" si="19"/>
        <v>0.55762500000000004</v>
      </c>
    </row>
    <row r="104" spans="2:10" hidden="1">
      <c r="B104">
        <v>1989</v>
      </c>
      <c r="E104">
        <f t="shared" si="19"/>
        <v>0.48224999999999996</v>
      </c>
    </row>
    <row r="105" spans="2:10" hidden="1">
      <c r="B105">
        <v>1990</v>
      </c>
      <c r="E105">
        <f t="shared" si="19"/>
        <v>0.40687499999999999</v>
      </c>
    </row>
    <row r="106" spans="2:10" hidden="1">
      <c r="B106">
        <v>1991</v>
      </c>
      <c r="E106">
        <f t="shared" si="19"/>
        <v>0.33150000000000002</v>
      </c>
    </row>
    <row r="107" spans="2:10" hidden="1">
      <c r="B107">
        <v>1992</v>
      </c>
      <c r="E107">
        <f t="shared" si="19"/>
        <v>0.25612499999999999</v>
      </c>
    </row>
    <row r="108" spans="2:10" hidden="1">
      <c r="B108">
        <v>1993</v>
      </c>
      <c r="E108">
        <f t="shared" si="19"/>
        <v>0.18074999999999999</v>
      </c>
    </row>
    <row r="109" spans="2:10" hidden="1">
      <c r="B109">
        <v>1994</v>
      </c>
      <c r="E109">
        <f t="shared" si="19"/>
        <v>0.105375</v>
      </c>
    </row>
    <row r="110" spans="2:10">
      <c r="B110" s="86">
        <v>1995</v>
      </c>
      <c r="C110" s="86">
        <v>1.05</v>
      </c>
      <c r="D110" s="87">
        <f>(D84+D85+D86)/3</f>
        <v>1.0416666666666667</v>
      </c>
      <c r="E110" s="88">
        <f t="shared" ref="E110:E119" si="20">($C$89-$C$88)/10*($B110-$B$110)+0.03</f>
        <v>0.03</v>
      </c>
      <c r="F110" s="88">
        <f t="shared" ref="F110:F119" si="21">($D$89-$D$88)/10*($B110-$B$110)+0.15</f>
        <v>0.15</v>
      </c>
      <c r="G110" s="88">
        <f t="shared" ref="G110:G119" si="22">($E$85-$E$84)/10*($B110-$B$110)+0.7</f>
        <v>0.7</v>
      </c>
      <c r="H110" s="87">
        <f t="shared" ref="H110:H119" si="23">($F$85-$F$84)/10*($B110-$B$110)+0.64</f>
        <v>0.64</v>
      </c>
      <c r="I110" s="88">
        <f t="shared" ref="I110:I119" si="24">($E$89-$E$88)/10*($B110-$B$110)+0.955</f>
        <v>0.95499999999999996</v>
      </c>
      <c r="J110" s="88">
        <f t="shared" ref="J110:J119" si="25">($F$89-$F$88)/10*($B110-$B$110)+0.86</f>
        <v>0.86</v>
      </c>
    </row>
    <row r="111" spans="2:10">
      <c r="B111" s="2">
        <v>1996</v>
      </c>
      <c r="C111" s="74">
        <f>C110</f>
        <v>1.05</v>
      </c>
      <c r="D111" s="75">
        <f>D110</f>
        <v>1.0416666666666667</v>
      </c>
      <c r="E111" s="74">
        <f t="shared" si="20"/>
        <v>-4.9875000000000003E-2</v>
      </c>
      <c r="F111" s="74">
        <f t="shared" si="21"/>
        <v>7.4999999999999997E-2</v>
      </c>
      <c r="G111" s="74">
        <f t="shared" si="22"/>
        <v>0.76100000000000001</v>
      </c>
      <c r="H111" s="75">
        <f t="shared" si="23"/>
        <v>0.69550000000000001</v>
      </c>
      <c r="I111" s="74">
        <f t="shared" si="24"/>
        <v>1.0365</v>
      </c>
      <c r="J111" s="74">
        <f t="shared" si="25"/>
        <v>0.9345</v>
      </c>
    </row>
    <row r="112" spans="2:10">
      <c r="B112" s="2">
        <v>1997</v>
      </c>
      <c r="C112" s="74">
        <f t="shared" ref="C112:C129" si="26">C111</f>
        <v>1.05</v>
      </c>
      <c r="D112" s="75">
        <f t="shared" ref="D112:D130" si="27">D111</f>
        <v>1.0416666666666667</v>
      </c>
      <c r="E112" s="74">
        <f t="shared" si="20"/>
        <v>-0.12975</v>
      </c>
      <c r="F112" s="74">
        <f t="shared" si="21"/>
        <v>0</v>
      </c>
      <c r="G112" s="74">
        <f t="shared" si="22"/>
        <v>0.82199999999999995</v>
      </c>
      <c r="H112" s="75">
        <f t="shared" si="23"/>
        <v>0.751</v>
      </c>
      <c r="I112" s="74">
        <f t="shared" si="24"/>
        <v>1.1179999999999999</v>
      </c>
      <c r="J112" s="74">
        <f t="shared" si="25"/>
        <v>1.0089999999999999</v>
      </c>
    </row>
    <row r="113" spans="2:10">
      <c r="B113" s="2">
        <v>1998</v>
      </c>
      <c r="C113" s="74">
        <f t="shared" si="26"/>
        <v>1.05</v>
      </c>
      <c r="D113" s="75">
        <f t="shared" si="27"/>
        <v>1.0416666666666667</v>
      </c>
      <c r="E113" s="74">
        <f t="shared" si="20"/>
        <v>-0.20962500000000001</v>
      </c>
      <c r="F113" s="74">
        <f t="shared" si="21"/>
        <v>-7.4999999999999983E-2</v>
      </c>
      <c r="G113" s="74">
        <f t="shared" si="22"/>
        <v>0.88300000000000001</v>
      </c>
      <c r="H113" s="75">
        <f t="shared" si="23"/>
        <v>0.80649999999999999</v>
      </c>
      <c r="I113" s="74">
        <f t="shared" si="24"/>
        <v>1.1995</v>
      </c>
      <c r="J113" s="74">
        <f t="shared" si="25"/>
        <v>1.0834999999999999</v>
      </c>
    </row>
    <row r="114" spans="2:10">
      <c r="B114" s="2">
        <v>1999</v>
      </c>
      <c r="C114" s="74">
        <f t="shared" si="26"/>
        <v>1.05</v>
      </c>
      <c r="D114" s="75">
        <f t="shared" si="27"/>
        <v>1.0416666666666667</v>
      </c>
      <c r="E114" s="74">
        <f t="shared" si="20"/>
        <v>-0.28949999999999998</v>
      </c>
      <c r="F114" s="74">
        <f t="shared" si="21"/>
        <v>-0.15</v>
      </c>
      <c r="G114" s="74">
        <f t="shared" si="22"/>
        <v>0.94399999999999995</v>
      </c>
      <c r="H114" s="75">
        <f t="shared" si="23"/>
        <v>0.86199999999999988</v>
      </c>
      <c r="I114" s="74">
        <f t="shared" si="24"/>
        <v>1.2809999999999999</v>
      </c>
      <c r="J114" s="74">
        <f t="shared" si="25"/>
        <v>1.1579999999999999</v>
      </c>
    </row>
    <row r="115" spans="2:10">
      <c r="B115" s="2">
        <v>2000</v>
      </c>
      <c r="C115" s="74">
        <f t="shared" si="26"/>
        <v>1.05</v>
      </c>
      <c r="D115" s="75">
        <f t="shared" si="27"/>
        <v>1.0416666666666667</v>
      </c>
      <c r="E115" s="74">
        <f t="shared" si="20"/>
        <v>-0.36937500000000001</v>
      </c>
      <c r="F115" s="74">
        <f t="shared" si="21"/>
        <v>-0.22500000000000001</v>
      </c>
      <c r="G115" s="74">
        <f t="shared" si="22"/>
        <v>1.0049999999999999</v>
      </c>
      <c r="H115" s="75">
        <f t="shared" si="23"/>
        <v>0.91749999999999998</v>
      </c>
      <c r="I115" s="74">
        <f t="shared" si="24"/>
        <v>1.3625</v>
      </c>
      <c r="J115" s="74">
        <f t="shared" si="25"/>
        <v>1.2324999999999999</v>
      </c>
    </row>
    <row r="116" spans="2:10">
      <c r="B116" s="2">
        <v>2001</v>
      </c>
      <c r="C116" s="74">
        <f t="shared" si="26"/>
        <v>1.05</v>
      </c>
      <c r="D116" s="75">
        <f t="shared" si="27"/>
        <v>1.0416666666666667</v>
      </c>
      <c r="E116" s="74">
        <f t="shared" si="20"/>
        <v>-0.44925000000000004</v>
      </c>
      <c r="F116" s="74">
        <f t="shared" si="21"/>
        <v>-0.29999999999999993</v>
      </c>
      <c r="G116" s="74">
        <f t="shared" si="22"/>
        <v>1.0660000000000001</v>
      </c>
      <c r="H116" s="75">
        <f t="shared" si="23"/>
        <v>0.97299999999999986</v>
      </c>
      <c r="I116" s="74">
        <f t="shared" si="24"/>
        <v>1.444</v>
      </c>
      <c r="J116" s="74">
        <f t="shared" si="25"/>
        <v>1.3069999999999999</v>
      </c>
    </row>
    <row r="117" spans="2:10">
      <c r="B117" s="2">
        <v>2002</v>
      </c>
      <c r="C117" s="74">
        <f t="shared" si="26"/>
        <v>1.05</v>
      </c>
      <c r="D117" s="75">
        <f t="shared" si="27"/>
        <v>1.0416666666666667</v>
      </c>
      <c r="E117" s="74">
        <f t="shared" si="20"/>
        <v>-0.52912499999999996</v>
      </c>
      <c r="F117" s="74">
        <f t="shared" si="21"/>
        <v>-0.375</v>
      </c>
      <c r="G117" s="74">
        <f t="shared" si="22"/>
        <v>1.127</v>
      </c>
      <c r="H117" s="75">
        <f t="shared" si="23"/>
        <v>1.0284999999999997</v>
      </c>
      <c r="I117" s="74">
        <f t="shared" si="24"/>
        <v>1.5255000000000001</v>
      </c>
      <c r="J117" s="74">
        <f t="shared" si="25"/>
        <v>1.3815</v>
      </c>
    </row>
    <row r="118" spans="2:10">
      <c r="B118" s="2">
        <v>2003</v>
      </c>
      <c r="C118" s="74">
        <f t="shared" si="26"/>
        <v>1.05</v>
      </c>
      <c r="D118" s="75">
        <f t="shared" si="27"/>
        <v>1.0416666666666667</v>
      </c>
      <c r="E118" s="74">
        <f t="shared" si="20"/>
        <v>-0.60899999999999999</v>
      </c>
      <c r="F118" s="74">
        <f t="shared" si="21"/>
        <v>-0.44999999999999996</v>
      </c>
      <c r="G118" s="74">
        <f t="shared" si="22"/>
        <v>1.1880000000000002</v>
      </c>
      <c r="H118" s="75">
        <f t="shared" si="23"/>
        <v>1.0839999999999999</v>
      </c>
      <c r="I118" s="74">
        <f t="shared" si="24"/>
        <v>1.607</v>
      </c>
      <c r="J118" s="74">
        <f t="shared" si="25"/>
        <v>1.456</v>
      </c>
    </row>
    <row r="119" spans="2:10">
      <c r="B119" s="2">
        <v>2004</v>
      </c>
      <c r="C119" s="74">
        <f t="shared" si="26"/>
        <v>1.05</v>
      </c>
      <c r="D119" s="75">
        <f t="shared" si="27"/>
        <v>1.0416666666666667</v>
      </c>
      <c r="E119" s="74">
        <f t="shared" si="20"/>
        <v>-0.68887500000000002</v>
      </c>
      <c r="F119" s="74">
        <f t="shared" si="21"/>
        <v>-0.52499999999999991</v>
      </c>
      <c r="G119" s="74">
        <f t="shared" si="22"/>
        <v>1.2490000000000001</v>
      </c>
      <c r="H119" s="75">
        <f t="shared" si="23"/>
        <v>1.1395</v>
      </c>
      <c r="I119" s="74">
        <f t="shared" si="24"/>
        <v>1.6884999999999999</v>
      </c>
      <c r="J119" s="74">
        <f t="shared" si="25"/>
        <v>1.5305</v>
      </c>
    </row>
    <row r="120" spans="2:10">
      <c r="B120" s="86">
        <v>2005</v>
      </c>
      <c r="C120" s="88">
        <f t="shared" si="26"/>
        <v>1.05</v>
      </c>
      <c r="D120" s="87">
        <f t="shared" si="27"/>
        <v>1.0416666666666667</v>
      </c>
      <c r="E120" s="88">
        <f t="shared" ref="E120:E133" si="28">($C$90-$C$89)/10*(B120-$B$120)-0.77</f>
        <v>-0.77</v>
      </c>
      <c r="F120" s="88">
        <f t="shared" ref="F120:F133" si="29">($D$90-$D$89)/10*($B120-$B$120)-0.605</f>
        <v>-0.60499999999999998</v>
      </c>
      <c r="G120" s="88">
        <f t="shared" ref="G120:G133" si="30">($E$86-$E$85)/10*($B120-$B$120)+1.31</f>
        <v>1.31</v>
      </c>
      <c r="H120" s="87">
        <f t="shared" ref="H120:H133" si="31">($F$86-$F$85)/10*($B120-$B$120)+1.195</f>
        <v>1.1950000000000001</v>
      </c>
      <c r="I120" s="88">
        <f t="shared" ref="I120:I133" si="32">($E$90-$E$89)/10*($B120-$B$120)+1.77</f>
        <v>1.77</v>
      </c>
      <c r="J120" s="88">
        <f t="shared" ref="J120:J133" si="33">($F$90-$F$89)/10*($B120-$B$120)+1.605</f>
        <v>1.605</v>
      </c>
    </row>
    <row r="121" spans="2:10">
      <c r="B121" s="2">
        <v>2006</v>
      </c>
      <c r="C121" s="74">
        <f t="shared" si="26"/>
        <v>1.05</v>
      </c>
      <c r="D121" s="75">
        <f t="shared" si="27"/>
        <v>1.0416666666666667</v>
      </c>
      <c r="E121" s="74">
        <f t="shared" si="28"/>
        <v>-0.84087500000000004</v>
      </c>
      <c r="F121" s="74">
        <f t="shared" si="29"/>
        <v>-0.63575000000000004</v>
      </c>
      <c r="G121" s="74">
        <f t="shared" si="30"/>
        <v>1.363</v>
      </c>
      <c r="H121" s="75">
        <f t="shared" si="31"/>
        <v>1.218</v>
      </c>
      <c r="I121" s="74">
        <f t="shared" si="32"/>
        <v>1.841</v>
      </c>
      <c r="J121" s="74">
        <f t="shared" si="33"/>
        <v>1.6359999999999999</v>
      </c>
    </row>
    <row r="122" spans="2:10">
      <c r="B122" s="2">
        <v>2007</v>
      </c>
      <c r="C122" s="74">
        <f t="shared" si="26"/>
        <v>1.05</v>
      </c>
      <c r="D122" s="75">
        <f t="shared" si="27"/>
        <v>1.0416666666666667</v>
      </c>
      <c r="E122" s="74">
        <f t="shared" si="28"/>
        <v>-0.91175000000000006</v>
      </c>
      <c r="F122" s="74">
        <f t="shared" si="29"/>
        <v>-0.66649999999999998</v>
      </c>
      <c r="G122" s="74">
        <f t="shared" si="30"/>
        <v>1.4159999999999999</v>
      </c>
      <c r="H122" s="75">
        <f t="shared" si="31"/>
        <v>1.2410000000000001</v>
      </c>
      <c r="I122" s="74">
        <f t="shared" si="32"/>
        <v>1.9119999999999999</v>
      </c>
      <c r="J122" s="74">
        <f t="shared" si="33"/>
        <v>1.667</v>
      </c>
    </row>
    <row r="123" spans="2:10">
      <c r="B123" s="2">
        <v>2008</v>
      </c>
      <c r="C123" s="74">
        <f t="shared" si="26"/>
        <v>1.05</v>
      </c>
      <c r="D123" s="75">
        <f t="shared" si="27"/>
        <v>1.0416666666666667</v>
      </c>
      <c r="E123" s="74">
        <f t="shared" si="28"/>
        <v>-0.98262499999999997</v>
      </c>
      <c r="F123" s="74">
        <f t="shared" si="29"/>
        <v>-0.69724999999999993</v>
      </c>
      <c r="G123" s="74">
        <f t="shared" si="30"/>
        <v>1.4689999999999999</v>
      </c>
      <c r="H123" s="75">
        <f t="shared" si="31"/>
        <v>1.264</v>
      </c>
      <c r="I123" s="74">
        <f t="shared" si="32"/>
        <v>1.9830000000000001</v>
      </c>
      <c r="J123" s="74">
        <f t="shared" si="33"/>
        <v>1.698</v>
      </c>
    </row>
    <row r="124" spans="2:10">
      <c r="B124" s="2">
        <v>2009</v>
      </c>
      <c r="C124" s="74">
        <f t="shared" si="26"/>
        <v>1.05</v>
      </c>
      <c r="D124" s="75">
        <f t="shared" si="27"/>
        <v>1.0416666666666667</v>
      </c>
      <c r="E124" s="74">
        <f t="shared" si="28"/>
        <v>-1.0535000000000001</v>
      </c>
      <c r="F124" s="74">
        <f t="shared" si="29"/>
        <v>-0.72799999999999998</v>
      </c>
      <c r="G124" s="74">
        <f t="shared" si="30"/>
        <v>1.522</v>
      </c>
      <c r="H124" s="75">
        <f t="shared" si="31"/>
        <v>1.2870000000000001</v>
      </c>
      <c r="I124" s="74">
        <f t="shared" si="32"/>
        <v>2.0539999999999998</v>
      </c>
      <c r="J124" s="74">
        <f t="shared" si="33"/>
        <v>1.7290000000000001</v>
      </c>
    </row>
    <row r="125" spans="2:10">
      <c r="B125" s="2">
        <v>2010</v>
      </c>
      <c r="C125" s="74">
        <f t="shared" si="26"/>
        <v>1.05</v>
      </c>
      <c r="D125" s="75">
        <f t="shared" si="27"/>
        <v>1.0416666666666667</v>
      </c>
      <c r="E125" s="74">
        <f t="shared" si="28"/>
        <v>-1.1243750000000001</v>
      </c>
      <c r="F125" s="74">
        <f t="shared" si="29"/>
        <v>-0.75875000000000004</v>
      </c>
      <c r="G125" s="74">
        <f t="shared" si="30"/>
        <v>1.575</v>
      </c>
      <c r="H125" s="75">
        <f t="shared" si="31"/>
        <v>1.31</v>
      </c>
      <c r="I125" s="74">
        <f t="shared" si="32"/>
        <v>2.125</v>
      </c>
      <c r="J125" s="74">
        <f t="shared" si="33"/>
        <v>1.76</v>
      </c>
    </row>
    <row r="126" spans="2:10">
      <c r="B126" s="2">
        <v>2011</v>
      </c>
      <c r="C126" s="74">
        <f t="shared" si="26"/>
        <v>1.05</v>
      </c>
      <c r="D126" s="75">
        <f t="shared" si="27"/>
        <v>1.0416666666666667</v>
      </c>
      <c r="E126" s="74">
        <f t="shared" si="28"/>
        <v>-1.1952499999999999</v>
      </c>
      <c r="F126" s="74">
        <f t="shared" si="29"/>
        <v>-0.78949999999999998</v>
      </c>
      <c r="G126" s="74">
        <f t="shared" si="30"/>
        <v>1.6279999999999999</v>
      </c>
      <c r="H126" s="75">
        <f t="shared" si="31"/>
        <v>1.3330000000000002</v>
      </c>
      <c r="I126" s="74">
        <f t="shared" si="32"/>
        <v>2.1959999999999997</v>
      </c>
      <c r="J126" s="74">
        <f t="shared" si="33"/>
        <v>1.7909999999999999</v>
      </c>
    </row>
    <row r="127" spans="2:10">
      <c r="B127" s="2">
        <v>2012</v>
      </c>
      <c r="C127" s="74">
        <f t="shared" si="26"/>
        <v>1.05</v>
      </c>
      <c r="D127" s="75">
        <f t="shared" si="27"/>
        <v>1.0416666666666667</v>
      </c>
      <c r="E127" s="74">
        <f t="shared" si="28"/>
        <v>-1.2661249999999999</v>
      </c>
      <c r="F127" s="74">
        <f t="shared" si="29"/>
        <v>-0.82024999999999992</v>
      </c>
      <c r="G127" s="74">
        <f t="shared" si="30"/>
        <v>1.6809999999999998</v>
      </c>
      <c r="H127" s="75">
        <f t="shared" si="31"/>
        <v>1.3560000000000001</v>
      </c>
      <c r="I127" s="74">
        <f t="shared" si="32"/>
        <v>2.2669999999999999</v>
      </c>
      <c r="J127" s="74">
        <f t="shared" si="33"/>
        <v>1.8220000000000001</v>
      </c>
    </row>
    <row r="128" spans="2:10">
      <c r="B128" s="2">
        <v>2013</v>
      </c>
      <c r="C128" s="74">
        <f t="shared" si="26"/>
        <v>1.05</v>
      </c>
      <c r="D128" s="75">
        <f t="shared" si="27"/>
        <v>1.0416666666666667</v>
      </c>
      <c r="E128" s="74">
        <f t="shared" si="28"/>
        <v>-1.337</v>
      </c>
      <c r="F128" s="74">
        <f t="shared" si="29"/>
        <v>-0.85099999999999998</v>
      </c>
      <c r="G128" s="74">
        <f t="shared" si="30"/>
        <v>1.734</v>
      </c>
      <c r="H128" s="75">
        <f t="shared" si="31"/>
        <v>1.379</v>
      </c>
      <c r="I128" s="74">
        <f t="shared" si="32"/>
        <v>2.3380000000000001</v>
      </c>
      <c r="J128" s="74">
        <f t="shared" si="33"/>
        <v>1.853</v>
      </c>
    </row>
    <row r="129" spans="2:20">
      <c r="B129" s="2">
        <v>2014</v>
      </c>
      <c r="C129" s="74">
        <f t="shared" si="26"/>
        <v>1.05</v>
      </c>
      <c r="D129" s="75">
        <f t="shared" si="27"/>
        <v>1.0416666666666667</v>
      </c>
      <c r="E129" s="74">
        <f t="shared" si="28"/>
        <v>-1.407875</v>
      </c>
      <c r="F129" s="74">
        <f t="shared" si="29"/>
        <v>-0.88175000000000003</v>
      </c>
      <c r="G129" s="74">
        <f t="shared" si="30"/>
        <v>1.7869999999999999</v>
      </c>
      <c r="H129" s="75">
        <f t="shared" si="31"/>
        <v>1.4020000000000001</v>
      </c>
      <c r="I129" s="74">
        <f t="shared" si="32"/>
        <v>2.4089999999999998</v>
      </c>
      <c r="J129" s="74">
        <f t="shared" si="33"/>
        <v>1.8840000000000001</v>
      </c>
    </row>
    <row r="130" spans="2:20">
      <c r="B130" s="86">
        <v>2015</v>
      </c>
      <c r="C130" s="88">
        <f>C129</f>
        <v>1.05</v>
      </c>
      <c r="D130" s="87">
        <f t="shared" si="27"/>
        <v>1.0416666666666667</v>
      </c>
      <c r="E130" s="88">
        <f t="shared" si="28"/>
        <v>-1.47875</v>
      </c>
      <c r="F130" s="88">
        <f t="shared" si="29"/>
        <v>-0.91249999999999998</v>
      </c>
      <c r="G130" s="88">
        <f t="shared" si="30"/>
        <v>1.8399999999999999</v>
      </c>
      <c r="H130" s="87">
        <f t="shared" si="31"/>
        <v>1.425</v>
      </c>
      <c r="I130" s="88">
        <f t="shared" si="32"/>
        <v>2.48</v>
      </c>
      <c r="J130" s="88">
        <f t="shared" si="33"/>
        <v>1.915</v>
      </c>
    </row>
    <row r="131" spans="2:20">
      <c r="B131" s="2">
        <v>2016</v>
      </c>
      <c r="C131" s="74">
        <f>C130</f>
        <v>1.05</v>
      </c>
      <c r="D131" s="75">
        <f>D130</f>
        <v>1.0416666666666667</v>
      </c>
      <c r="E131" s="74">
        <f t="shared" si="28"/>
        <v>-1.5496249999999998</v>
      </c>
      <c r="F131" s="74">
        <f t="shared" si="29"/>
        <v>-0.94324999999999992</v>
      </c>
      <c r="G131" s="74">
        <f t="shared" si="30"/>
        <v>1.8929999999999998</v>
      </c>
      <c r="H131" s="75">
        <f t="shared" si="31"/>
        <v>1.448</v>
      </c>
      <c r="I131" s="74">
        <f t="shared" si="32"/>
        <v>2.5510000000000002</v>
      </c>
      <c r="J131" s="74">
        <f t="shared" si="33"/>
        <v>1.9460000000000002</v>
      </c>
    </row>
    <row r="132" spans="2:20">
      <c r="B132" s="2">
        <v>2017</v>
      </c>
      <c r="C132" s="74">
        <f>C131</f>
        <v>1.05</v>
      </c>
      <c r="D132" s="75">
        <f>D131</f>
        <v>1.0416666666666667</v>
      </c>
      <c r="E132" s="74">
        <f t="shared" si="28"/>
        <v>-1.6204999999999998</v>
      </c>
      <c r="F132" s="74">
        <f t="shared" si="29"/>
        <v>-0.97399999999999998</v>
      </c>
      <c r="G132" s="74">
        <f t="shared" si="30"/>
        <v>1.9459999999999997</v>
      </c>
      <c r="H132" s="75">
        <f t="shared" si="31"/>
        <v>1.4710000000000001</v>
      </c>
      <c r="I132" s="74">
        <f t="shared" si="32"/>
        <v>2.6219999999999999</v>
      </c>
      <c r="J132" s="74">
        <f t="shared" si="33"/>
        <v>1.9770000000000001</v>
      </c>
    </row>
    <row r="133" spans="2:20">
      <c r="B133" s="2">
        <v>2018</v>
      </c>
      <c r="C133" s="74">
        <f>C132</f>
        <v>1.05</v>
      </c>
      <c r="D133" s="75">
        <f>D132</f>
        <v>1.0416666666666667</v>
      </c>
      <c r="E133" s="74">
        <f t="shared" si="28"/>
        <v>-1.6913749999999999</v>
      </c>
      <c r="F133" s="74">
        <f t="shared" si="29"/>
        <v>-1.00475</v>
      </c>
      <c r="G133" s="74">
        <f t="shared" si="30"/>
        <v>1.9989999999999997</v>
      </c>
      <c r="H133" s="75">
        <f t="shared" si="31"/>
        <v>1.494</v>
      </c>
      <c r="I133" s="74">
        <f t="shared" si="32"/>
        <v>2.6930000000000001</v>
      </c>
      <c r="J133" s="74">
        <f t="shared" si="33"/>
        <v>2.008</v>
      </c>
    </row>
    <row r="134" spans="2:20">
      <c r="E134">
        <f>($C$90-$C$89)/10*(B134-$B$110)-0.77</f>
        <v>140.62562499999999</v>
      </c>
    </row>
    <row r="135" spans="2:20">
      <c r="E135">
        <f>($C$90-$C$89)/10*(B135-$B$110)-0.77</f>
        <v>140.62562499999999</v>
      </c>
    </row>
    <row r="136" spans="2:20">
      <c r="E136">
        <f>($C$90-$C$89)/10*(B136-$B$110)-0.77</f>
        <v>140.62562499999999</v>
      </c>
    </row>
    <row r="137" spans="2:20">
      <c r="E137">
        <f>($C$90-$C$89)/10*(B137-$B$110)-0.77</f>
        <v>140.62562499999999</v>
      </c>
    </row>
    <row r="138" spans="2:20">
      <c r="E138">
        <f>($C$90-$C$89)/10*(B138-$B$110)-0.77</f>
        <v>140.62562499999999</v>
      </c>
    </row>
    <row r="143" spans="2:20">
      <c r="B143" s="3"/>
      <c r="C143" s="3" t="s">
        <v>176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2" t="s">
        <v>165</v>
      </c>
      <c r="D144" s="67"/>
      <c r="E144" s="67"/>
      <c r="F144" s="3"/>
      <c r="G144" s="3"/>
      <c r="H144" s="3"/>
      <c r="I144" s="3"/>
      <c r="J144" s="3"/>
      <c r="K144" s="3" t="s">
        <v>173</v>
      </c>
      <c r="L144" s="3"/>
      <c r="M144" s="3"/>
      <c r="N144" s="3"/>
      <c r="O144" s="3" t="s">
        <v>200</v>
      </c>
      <c r="P144" s="3"/>
      <c r="Q144" s="3"/>
      <c r="R144" s="3"/>
      <c r="S144" s="3"/>
      <c r="T144" s="3"/>
    </row>
    <row r="145" spans="2:20">
      <c r="B145" s="3"/>
      <c r="C145" s="42" t="s">
        <v>142</v>
      </c>
      <c r="D145" s="42" t="s">
        <v>144</v>
      </c>
      <c r="E145" s="42" t="s">
        <v>174</v>
      </c>
      <c r="F145" s="67" t="s">
        <v>202</v>
      </c>
      <c r="G145" s="3"/>
      <c r="H145" s="3"/>
      <c r="I145" s="3"/>
      <c r="J145" s="3"/>
      <c r="K145" s="42" t="s">
        <v>175</v>
      </c>
      <c r="L145" s="67" t="s">
        <v>202</v>
      </c>
      <c r="M145" s="3"/>
      <c r="N145" s="3"/>
      <c r="O145" s="3"/>
      <c r="P145" s="3"/>
      <c r="Q145" s="3"/>
      <c r="R145" s="3"/>
      <c r="S145" s="3"/>
      <c r="T145" s="3"/>
    </row>
    <row r="146" spans="2:20">
      <c r="B146" s="68" t="s">
        <v>151</v>
      </c>
      <c r="C146" s="66">
        <v>0.59050000000000002</v>
      </c>
      <c r="D146" s="66">
        <v>0</v>
      </c>
      <c r="E146" s="66">
        <v>0.59050000000000002</v>
      </c>
      <c r="F146" s="69">
        <f>AVERAGE(E$146:E146)</f>
        <v>0.59050000000000002</v>
      </c>
      <c r="G146" s="3"/>
      <c r="H146" s="68" t="s">
        <v>151</v>
      </c>
      <c r="I146" s="68" t="s">
        <v>203</v>
      </c>
      <c r="J146" s="3">
        <v>24</v>
      </c>
      <c r="K146" s="66">
        <v>0.57830912500000009</v>
      </c>
      <c r="L146" s="69">
        <f>AVERAGE(K$146:K146)</f>
        <v>0.57830912500000009</v>
      </c>
      <c r="M146" s="3">
        <v>22</v>
      </c>
      <c r="N146" s="3"/>
      <c r="O146" s="3"/>
      <c r="P146" s="3"/>
      <c r="Q146" s="3"/>
      <c r="R146" s="3"/>
      <c r="S146" s="3"/>
      <c r="T146" s="3"/>
    </row>
    <row r="147" spans="2:20">
      <c r="B147" s="68" t="s">
        <v>150</v>
      </c>
      <c r="C147" s="66">
        <v>0.5625</v>
      </c>
      <c r="D147" s="66">
        <v>0</v>
      </c>
      <c r="E147" s="66">
        <v>0.5625</v>
      </c>
      <c r="F147" s="69">
        <f>AVERAGE(E$146:E147)</f>
        <v>0.57650000000000001</v>
      </c>
      <c r="G147" s="3"/>
      <c r="H147" s="68" t="s">
        <v>150</v>
      </c>
      <c r="I147" s="68" t="s">
        <v>203</v>
      </c>
      <c r="J147" s="3">
        <f>J146+24</f>
        <v>48</v>
      </c>
      <c r="K147" s="66">
        <v>0.53148375000000003</v>
      </c>
      <c r="L147" s="69">
        <f>AVERAGE(K$146:K147)</f>
        <v>0.55489643750000006</v>
      </c>
      <c r="M147" s="3">
        <v>26</v>
      </c>
      <c r="N147" s="3"/>
      <c r="O147" s="3"/>
      <c r="P147" s="3"/>
      <c r="Q147" s="3"/>
      <c r="R147" s="3"/>
      <c r="S147" s="3"/>
      <c r="T147" s="3"/>
    </row>
    <row r="148" spans="2:20">
      <c r="B148" s="68" t="s">
        <v>152</v>
      </c>
      <c r="C148" s="66">
        <v>0.43099999999999999</v>
      </c>
      <c r="D148" s="66">
        <v>0</v>
      </c>
      <c r="E148" s="66">
        <v>0.43099999999999999</v>
      </c>
      <c r="F148" s="69">
        <f>AVERAGE(E$146:E148)</f>
        <v>0.52800000000000002</v>
      </c>
      <c r="G148" s="3"/>
      <c r="H148" s="68" t="s">
        <v>152</v>
      </c>
      <c r="I148" s="68" t="s">
        <v>203</v>
      </c>
      <c r="J148" s="3">
        <f>J147+24</f>
        <v>72</v>
      </c>
      <c r="K148" s="66">
        <v>0.39447399999999999</v>
      </c>
      <c r="L148" s="69">
        <f>AVERAGE(K$146:K148)</f>
        <v>0.50142229166666674</v>
      </c>
      <c r="M148" s="3">
        <v>24</v>
      </c>
      <c r="N148" s="3"/>
      <c r="O148" s="3"/>
      <c r="P148" s="3"/>
      <c r="Q148" s="3"/>
      <c r="R148" s="3"/>
      <c r="S148" s="3"/>
      <c r="T148" s="3"/>
    </row>
    <row r="149" spans="2:20">
      <c r="B149" s="68" t="s">
        <v>156</v>
      </c>
      <c r="C149" s="66">
        <v>0</v>
      </c>
      <c r="D149" s="66">
        <v>0.372</v>
      </c>
      <c r="E149" s="66">
        <v>0.372</v>
      </c>
      <c r="F149" s="69">
        <f>AVERAGE(E$146:E149)</f>
        <v>0.48899999999999999</v>
      </c>
      <c r="G149" s="3"/>
      <c r="H149" s="68" t="s">
        <v>156</v>
      </c>
      <c r="I149" s="68" t="s">
        <v>204</v>
      </c>
      <c r="J149" s="3">
        <f t="shared" ref="J149:J157" si="34">J148+24</f>
        <v>96</v>
      </c>
      <c r="K149" s="66">
        <v>0.36901874999999995</v>
      </c>
      <c r="L149" s="69">
        <f>AVERAGE(K$146:K149)</f>
        <v>0.46832140625000002</v>
      </c>
      <c r="M149" s="3">
        <v>23</v>
      </c>
      <c r="N149" s="3"/>
      <c r="O149" s="3"/>
      <c r="P149" s="3"/>
      <c r="Q149" s="3"/>
      <c r="R149" s="3"/>
      <c r="S149" s="3"/>
      <c r="T149" s="3"/>
    </row>
    <row r="150" spans="2:20">
      <c r="B150" s="68" t="s">
        <v>157</v>
      </c>
      <c r="C150" s="66">
        <v>0</v>
      </c>
      <c r="D150" s="66">
        <v>0.35100000000000003</v>
      </c>
      <c r="E150" s="66">
        <v>0.35100000000000003</v>
      </c>
      <c r="F150" s="69">
        <f>AVERAGE(E$146:E150)</f>
        <v>0.46139999999999998</v>
      </c>
      <c r="G150" s="3"/>
      <c r="H150" s="68" t="s">
        <v>157</v>
      </c>
      <c r="I150" s="68" t="s">
        <v>204</v>
      </c>
      <c r="J150" s="3">
        <f t="shared" si="34"/>
        <v>120</v>
      </c>
      <c r="K150" s="66">
        <v>0.33808300000000002</v>
      </c>
      <c r="L150" s="69">
        <f>AVERAGE(K$146:K150)</f>
        <v>0.44227372500000001</v>
      </c>
      <c r="M150" s="3">
        <v>22</v>
      </c>
      <c r="N150" s="3"/>
      <c r="O150" s="3"/>
      <c r="P150" s="3"/>
      <c r="Q150" s="3"/>
      <c r="R150" s="3"/>
      <c r="S150" s="3"/>
      <c r="T150" s="3"/>
    </row>
    <row r="151" spans="2:20">
      <c r="B151" s="68" t="s">
        <v>149</v>
      </c>
      <c r="C151" s="66">
        <v>0.31225000000000003</v>
      </c>
      <c r="D151" s="66">
        <v>0</v>
      </c>
      <c r="E151" s="66">
        <v>0.31225000000000003</v>
      </c>
      <c r="F151" s="69">
        <f>AVERAGE(E$146:E151)</f>
        <v>0.43654166666666666</v>
      </c>
      <c r="G151" s="3"/>
      <c r="H151" s="68" t="s">
        <v>149</v>
      </c>
      <c r="I151" s="68" t="s">
        <v>203</v>
      </c>
      <c r="J151" s="3">
        <f t="shared" si="34"/>
        <v>144</v>
      </c>
      <c r="K151" s="66">
        <v>0.26025987500000003</v>
      </c>
      <c r="L151" s="69">
        <f>AVERAGE(K$146:K151)</f>
        <v>0.41193808333333332</v>
      </c>
      <c r="M151" s="3">
        <v>26</v>
      </c>
      <c r="N151" s="3"/>
      <c r="O151" s="3"/>
      <c r="P151" s="3"/>
      <c r="Q151" s="3"/>
      <c r="R151" s="3"/>
      <c r="S151" s="3"/>
      <c r="T151" s="3"/>
    </row>
    <row r="152" spans="2:20">
      <c r="B152" s="68" t="s">
        <v>155</v>
      </c>
      <c r="C152" s="66">
        <v>0</v>
      </c>
      <c r="D152" s="66">
        <v>0.28425</v>
      </c>
      <c r="E152" s="66">
        <v>0.28425</v>
      </c>
      <c r="F152" s="69">
        <f>AVERAGE(E$146:E152)</f>
        <v>0.41478571428571431</v>
      </c>
      <c r="G152" s="3"/>
      <c r="H152" s="68" t="s">
        <v>155</v>
      </c>
      <c r="I152" s="68" t="s">
        <v>204</v>
      </c>
      <c r="J152" s="3">
        <f t="shared" si="34"/>
        <v>168</v>
      </c>
      <c r="K152" s="66">
        <v>0.24758137500000002</v>
      </c>
      <c r="L152" s="69">
        <f>AVERAGE(K$146:K152)</f>
        <v>0.38845855357142861</v>
      </c>
      <c r="M152" s="3">
        <v>25</v>
      </c>
      <c r="N152" s="3"/>
      <c r="O152" s="3"/>
      <c r="P152" s="3"/>
      <c r="Q152" s="3"/>
      <c r="R152" s="3"/>
      <c r="S152" s="3"/>
      <c r="T152" s="3"/>
    </row>
    <row r="153" spans="2:20">
      <c r="B153" s="68" t="s">
        <v>158</v>
      </c>
      <c r="C153" s="66">
        <v>8.8249999999999995E-2</v>
      </c>
      <c r="D153" s="66">
        <v>0.26524999999999999</v>
      </c>
      <c r="E153" s="66">
        <v>0.26524999999999999</v>
      </c>
      <c r="F153" s="69">
        <f>AVERAGE(E$146:E153)</f>
        <v>0.39609375000000002</v>
      </c>
      <c r="G153" s="3"/>
      <c r="H153" s="68" t="s">
        <v>158</v>
      </c>
      <c r="I153" s="68" t="s">
        <v>204</v>
      </c>
      <c r="J153" s="3">
        <f t="shared" si="34"/>
        <v>192</v>
      </c>
      <c r="K153" s="66">
        <v>0.18655075000000002</v>
      </c>
      <c r="L153" s="69">
        <f>AVERAGE(K$146:K153)</f>
        <v>0.36322007812500001</v>
      </c>
      <c r="M153" s="3">
        <v>25</v>
      </c>
      <c r="N153" s="3"/>
      <c r="O153" s="3"/>
      <c r="P153" s="3"/>
      <c r="Q153" s="3"/>
      <c r="R153" s="3"/>
      <c r="S153" s="3"/>
      <c r="T153" s="3"/>
    </row>
    <row r="154" spans="2:20">
      <c r="B154" s="68" t="s">
        <v>148</v>
      </c>
      <c r="C154" s="66">
        <v>0.24475</v>
      </c>
      <c r="D154" s="66">
        <v>9.9250000000000005E-2</v>
      </c>
      <c r="E154" s="66">
        <v>0.24475</v>
      </c>
      <c r="F154" s="69">
        <f>AVERAGE(E$146:E154)</f>
        <v>0.37927777777777777</v>
      </c>
      <c r="G154" s="3"/>
      <c r="H154" s="68" t="s">
        <v>148</v>
      </c>
      <c r="I154" s="68" t="s">
        <v>203</v>
      </c>
      <c r="J154" s="3">
        <f t="shared" si="34"/>
        <v>216</v>
      </c>
      <c r="K154" s="66">
        <v>0.15887162499999999</v>
      </c>
      <c r="L154" s="69">
        <f>AVERAGE(K$146:K154)</f>
        <v>0.34051469444444449</v>
      </c>
      <c r="M154" s="3">
        <v>22</v>
      </c>
      <c r="N154" s="3"/>
      <c r="O154" s="3"/>
      <c r="P154" s="3"/>
      <c r="Q154" s="3"/>
      <c r="R154" s="3"/>
      <c r="S154" s="3"/>
      <c r="T154" s="3"/>
    </row>
    <row r="155" spans="2:20">
      <c r="B155" s="68" t="s">
        <v>153</v>
      </c>
      <c r="C155" s="66">
        <v>0.20774999999999999</v>
      </c>
      <c r="D155" s="66">
        <v>6.3750000000000001E-2</v>
      </c>
      <c r="E155" s="66">
        <v>0.20774999999999999</v>
      </c>
      <c r="F155" s="69">
        <f>AVERAGE(E$146:E155)</f>
        <v>0.36212499999999997</v>
      </c>
      <c r="G155" s="3"/>
      <c r="H155" s="68" t="s">
        <v>153</v>
      </c>
      <c r="I155" s="68" t="s">
        <v>203</v>
      </c>
      <c r="J155" s="3">
        <f t="shared" si="34"/>
        <v>240</v>
      </c>
      <c r="K155" s="66">
        <v>0.10243987499999999</v>
      </c>
      <c r="L155" s="69">
        <f>AVERAGE(K$146:K155)</f>
        <v>0.3167072125</v>
      </c>
      <c r="M155" s="3">
        <v>26</v>
      </c>
      <c r="N155" s="3"/>
      <c r="O155" s="3"/>
      <c r="P155" s="3"/>
      <c r="Q155" s="3"/>
      <c r="R155" s="3"/>
      <c r="S155" s="3"/>
      <c r="T155" s="3"/>
    </row>
    <row r="156" spans="2:20">
      <c r="B156" s="68" t="s">
        <v>154</v>
      </c>
      <c r="C156" s="66">
        <v>0.12975000000000003</v>
      </c>
      <c r="D156" s="66">
        <v>0.15925</v>
      </c>
      <c r="E156" s="66">
        <v>0.15925</v>
      </c>
      <c r="F156" s="69">
        <f>AVERAGE(E$146:E156)</f>
        <v>0.3436818181818182</v>
      </c>
      <c r="G156" s="3"/>
      <c r="H156" s="68" t="s">
        <v>154</v>
      </c>
      <c r="I156" s="68" t="s">
        <v>204</v>
      </c>
      <c r="J156" s="3">
        <f t="shared" si="34"/>
        <v>264</v>
      </c>
      <c r="K156" s="66">
        <v>6.8722875000000003E-2</v>
      </c>
      <c r="L156" s="69">
        <f>AVERAGE(K$146:K156)</f>
        <v>0.29416318181818185</v>
      </c>
      <c r="M156" s="3">
        <v>25</v>
      </c>
      <c r="N156" s="3"/>
      <c r="O156" s="3"/>
      <c r="P156" s="3"/>
      <c r="Q156" s="3"/>
      <c r="R156" s="3"/>
      <c r="S156" s="3"/>
      <c r="T156" s="3"/>
    </row>
    <row r="157" spans="2:20">
      <c r="B157" s="68" t="s">
        <v>172</v>
      </c>
      <c r="C157" s="66">
        <v>0.15200000000000002</v>
      </c>
      <c r="D157" s="66">
        <v>0.13724999999999998</v>
      </c>
      <c r="E157" s="66">
        <v>0.15200000000000002</v>
      </c>
      <c r="F157" s="69">
        <f>AVERAGE(E$146:E157)</f>
        <v>0.32770833333333332</v>
      </c>
      <c r="G157" s="3"/>
      <c r="H157" s="68" t="s">
        <v>172</v>
      </c>
      <c r="I157" s="68" t="s">
        <v>203</v>
      </c>
      <c r="J157" s="3">
        <f t="shared" si="34"/>
        <v>288</v>
      </c>
      <c r="K157" s="66">
        <v>4.6761500000000011E-2</v>
      </c>
      <c r="L157" s="69">
        <f>AVERAGE(K$146:K157)</f>
        <v>0.27354637500000006</v>
      </c>
      <c r="M157" s="3">
        <v>25</v>
      </c>
      <c r="N157" s="3"/>
      <c r="O157" s="3"/>
      <c r="P157" s="3"/>
      <c r="Q157" s="3"/>
      <c r="R157" s="3"/>
      <c r="S157" s="3"/>
      <c r="T157" s="3"/>
    </row>
    <row r="158" spans="2:20">
      <c r="B158" s="68" t="s">
        <v>167</v>
      </c>
      <c r="C158" s="66">
        <f>_xlfn.AGGREGATE(1,5,C146:C157)</f>
        <v>0.2265625</v>
      </c>
      <c r="D158" s="66">
        <f>_xlfn.AGGREGATE(1,5,D146:D157)</f>
        <v>0.14433333333333331</v>
      </c>
      <c r="E158" s="66">
        <f>_xlfn.AGGREGATE(1,5,E146:E157)</f>
        <v>0.32770833333333332</v>
      </c>
      <c r="F158" s="3"/>
      <c r="G158" s="3"/>
      <c r="H158" s="68" t="s">
        <v>167</v>
      </c>
      <c r="I158" s="3"/>
      <c r="J158" s="83">
        <f>_xlfn.AGGREGATE(1,5,J146:J157)</f>
        <v>156</v>
      </c>
      <c r="K158" s="66">
        <f>_xlfn.AGGREGATE(1,5,K146:K157)</f>
        <v>0.27354637500000006</v>
      </c>
      <c r="L158" s="3"/>
      <c r="M158" s="83">
        <f>SUM(M146:M157)</f>
        <v>291</v>
      </c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 t="s">
        <v>197</v>
      </c>
      <c r="P161" s="3"/>
      <c r="Q161" s="3"/>
      <c r="R161" s="3"/>
      <c r="S161" s="3"/>
      <c r="T161" s="3"/>
    </row>
    <row r="162" spans="2:20">
      <c r="B162" s="3"/>
      <c r="C162" s="3"/>
      <c r="D162" s="3" t="s">
        <v>195</v>
      </c>
      <c r="E162" s="3" t="s">
        <v>182</v>
      </c>
      <c r="F162" s="3"/>
      <c r="G162" s="3"/>
      <c r="H162" s="3"/>
      <c r="I162" s="3"/>
      <c r="J162" s="3" t="s">
        <v>199</v>
      </c>
      <c r="K162" s="3"/>
      <c r="L162" s="3"/>
      <c r="M162" s="3"/>
      <c r="N162" s="3"/>
      <c r="O162" s="3"/>
      <c r="P162" s="3" t="s">
        <v>182</v>
      </c>
      <c r="Q162" s="3"/>
      <c r="R162" s="3" t="s">
        <v>183</v>
      </c>
      <c r="S162" s="3"/>
      <c r="T162" s="3"/>
    </row>
    <row r="163" spans="2:20">
      <c r="B163" s="3"/>
      <c r="C163" s="3"/>
      <c r="D163" s="3"/>
      <c r="E163" s="3" t="s">
        <v>142</v>
      </c>
      <c r="F163" s="3" t="s">
        <v>144</v>
      </c>
      <c r="G163" s="3" t="s">
        <v>142</v>
      </c>
      <c r="H163" s="3" t="s">
        <v>144</v>
      </c>
      <c r="I163" s="3" t="s">
        <v>205</v>
      </c>
      <c r="J163" s="3" t="s">
        <v>142</v>
      </c>
      <c r="K163" s="3" t="s">
        <v>144</v>
      </c>
      <c r="L163" s="3" t="s">
        <v>142</v>
      </c>
      <c r="M163" s="3" t="s">
        <v>144</v>
      </c>
      <c r="N163" s="3" t="s">
        <v>205</v>
      </c>
      <c r="O163" s="3"/>
      <c r="P163" s="3" t="s">
        <v>142</v>
      </c>
      <c r="Q163" s="3" t="s">
        <v>144</v>
      </c>
      <c r="R163" s="3" t="s">
        <v>142</v>
      </c>
      <c r="S163" s="3" t="s">
        <v>144</v>
      </c>
      <c r="T163" s="3"/>
    </row>
    <row r="164" spans="2:20">
      <c r="B164" s="3"/>
      <c r="C164" s="3"/>
      <c r="D164" s="3"/>
      <c r="E164" s="3" t="s">
        <v>188</v>
      </c>
      <c r="F164" s="3" t="s">
        <v>188</v>
      </c>
      <c r="G164" s="3" t="s">
        <v>189</v>
      </c>
      <c r="H164" s="3" t="s">
        <v>189</v>
      </c>
      <c r="I164" s="3" t="s">
        <v>189</v>
      </c>
      <c r="J164" s="3" t="s">
        <v>188</v>
      </c>
      <c r="K164" s="3" t="s">
        <v>188</v>
      </c>
      <c r="L164" s="3" t="s">
        <v>189</v>
      </c>
      <c r="M164" s="3" t="s">
        <v>189</v>
      </c>
      <c r="N164" s="3" t="s">
        <v>189</v>
      </c>
      <c r="O164" s="3"/>
      <c r="P164" s="3" t="s">
        <v>188</v>
      </c>
      <c r="Q164" s="3" t="s">
        <v>189</v>
      </c>
      <c r="R164" s="3" t="s">
        <v>188</v>
      </c>
      <c r="S164" s="3" t="s">
        <v>189</v>
      </c>
      <c r="T164" s="3"/>
    </row>
    <row r="165" spans="2:20">
      <c r="B165" s="3"/>
      <c r="C165" s="3" t="s">
        <v>201</v>
      </c>
      <c r="D165" s="3">
        <v>1995</v>
      </c>
      <c r="E165" s="3">
        <v>1.05</v>
      </c>
      <c r="F165" s="81">
        <v>1.0416666666666667</v>
      </c>
      <c r="G165" s="81">
        <v>0.03</v>
      </c>
      <c r="H165" s="81">
        <v>0.15</v>
      </c>
      <c r="I165" s="81">
        <f>(G165+H165)/2</f>
        <v>0.09</v>
      </c>
      <c r="J165" s="81">
        <v>0.7</v>
      </c>
      <c r="K165" s="81">
        <v>0.64</v>
      </c>
      <c r="L165" s="81">
        <v>0.95499999999999996</v>
      </c>
      <c r="M165" s="81">
        <v>0.86</v>
      </c>
      <c r="N165" s="81">
        <f>(L165+M165)/2</f>
        <v>0.90749999999999997</v>
      </c>
      <c r="O165" s="3"/>
      <c r="P165" s="3">
        <v>0.25</v>
      </c>
      <c r="Q165" s="3">
        <v>0.25</v>
      </c>
      <c r="R165" s="3">
        <v>0.75</v>
      </c>
      <c r="S165" s="3">
        <v>0.75</v>
      </c>
      <c r="T165" s="3"/>
    </row>
    <row r="166" spans="2:20">
      <c r="B166" s="3"/>
      <c r="C166" s="3" t="s">
        <v>82</v>
      </c>
      <c r="D166" s="3">
        <v>1996</v>
      </c>
      <c r="E166" s="3">
        <v>1.05</v>
      </c>
      <c r="F166" s="81">
        <v>1.0416666666666667</v>
      </c>
      <c r="G166" s="81">
        <v>-4.9875000000000003E-2</v>
      </c>
      <c r="H166" s="81">
        <v>7.4999999999999997E-2</v>
      </c>
      <c r="I166" s="81">
        <f t="shared" ref="I166:I183" si="35">(G166+H166)/2</f>
        <v>1.2562499999999997E-2</v>
      </c>
      <c r="J166" s="81">
        <v>0.76100000000000001</v>
      </c>
      <c r="K166" s="81">
        <v>0.69550000000000001</v>
      </c>
      <c r="L166" s="81">
        <v>1.0365</v>
      </c>
      <c r="M166" s="81">
        <v>0.9345</v>
      </c>
      <c r="N166" s="81">
        <f t="shared" ref="N166:N183" si="36">(L166+M166)/2</f>
        <v>0.98550000000000004</v>
      </c>
      <c r="O166" s="3"/>
      <c r="P166" s="3">
        <v>0.25</v>
      </c>
      <c r="Q166" s="3">
        <v>0.25</v>
      </c>
      <c r="R166" s="3">
        <v>0.75</v>
      </c>
      <c r="S166" s="3">
        <v>0.75</v>
      </c>
      <c r="T166" s="3"/>
    </row>
    <row r="167" spans="2:20">
      <c r="B167" s="3"/>
      <c r="C167" s="3" t="s">
        <v>81</v>
      </c>
      <c r="D167" s="3">
        <v>1997</v>
      </c>
      <c r="E167" s="3">
        <v>1.05</v>
      </c>
      <c r="F167" s="81">
        <v>1.0416666666666667</v>
      </c>
      <c r="G167" s="81">
        <v>-0.12975</v>
      </c>
      <c r="H167" s="81">
        <v>0</v>
      </c>
      <c r="I167" s="81">
        <f t="shared" si="35"/>
        <v>-6.4875000000000002E-2</v>
      </c>
      <c r="J167" s="81">
        <v>0.82199999999999995</v>
      </c>
      <c r="K167" s="81">
        <v>0.751</v>
      </c>
      <c r="L167" s="81">
        <v>1.1179999999999999</v>
      </c>
      <c r="M167" s="81">
        <v>1.0089999999999999</v>
      </c>
      <c r="N167" s="81">
        <f t="shared" si="36"/>
        <v>1.0634999999999999</v>
      </c>
      <c r="O167" s="3"/>
      <c r="P167" s="3"/>
      <c r="Q167" s="3"/>
      <c r="R167" s="3"/>
      <c r="S167" s="3"/>
      <c r="T167" s="3"/>
    </row>
    <row r="168" spans="2:20">
      <c r="B168" s="3"/>
      <c r="C168" s="3" t="s">
        <v>80</v>
      </c>
      <c r="D168" s="3">
        <v>1998</v>
      </c>
      <c r="E168" s="3">
        <v>1.05</v>
      </c>
      <c r="F168" s="81">
        <v>1.0416666666666667</v>
      </c>
      <c r="G168" s="81">
        <v>-0.20962500000000001</v>
      </c>
      <c r="H168" s="81">
        <v>-7.4999999999999983E-2</v>
      </c>
      <c r="I168" s="81">
        <f t="shared" si="35"/>
        <v>-0.14231250000000001</v>
      </c>
      <c r="J168" s="81">
        <v>0.88300000000000001</v>
      </c>
      <c r="K168" s="81">
        <v>0.80649999999999999</v>
      </c>
      <c r="L168" s="81">
        <v>1.1995</v>
      </c>
      <c r="M168" s="81">
        <v>1.0834999999999999</v>
      </c>
      <c r="N168" s="81">
        <f t="shared" si="36"/>
        <v>1.1415</v>
      </c>
      <c r="O168" s="3"/>
      <c r="P168" s="3"/>
      <c r="Q168" s="3"/>
      <c r="R168" s="3"/>
      <c r="S168" s="3"/>
      <c r="T168" s="3"/>
    </row>
    <row r="169" spans="2:20">
      <c r="B169" s="3"/>
      <c r="C169" s="3" t="s">
        <v>79</v>
      </c>
      <c r="D169" s="3">
        <v>1999</v>
      </c>
      <c r="E169" s="3">
        <v>1.05</v>
      </c>
      <c r="F169" s="81">
        <v>1.0416666666666667</v>
      </c>
      <c r="G169" s="81">
        <v>-0.28949999999999998</v>
      </c>
      <c r="H169" s="81">
        <v>-0.15</v>
      </c>
      <c r="I169" s="81">
        <f t="shared" si="35"/>
        <v>-0.21975</v>
      </c>
      <c r="J169" s="81">
        <v>0.94399999999999995</v>
      </c>
      <c r="K169" s="81">
        <v>0.86199999999999988</v>
      </c>
      <c r="L169" s="81">
        <v>1.2809999999999999</v>
      </c>
      <c r="M169" s="81">
        <v>1.1579999999999999</v>
      </c>
      <c r="N169" s="81">
        <f t="shared" si="36"/>
        <v>1.2195</v>
      </c>
      <c r="O169" s="3"/>
      <c r="P169" s="3"/>
      <c r="Q169" s="3"/>
      <c r="R169" s="3"/>
      <c r="S169" s="3"/>
      <c r="T169" s="3"/>
    </row>
    <row r="170" spans="2:20">
      <c r="B170" s="3"/>
      <c r="C170" s="3" t="s">
        <v>78</v>
      </c>
      <c r="D170" s="3">
        <v>2000</v>
      </c>
      <c r="E170" s="3">
        <v>1.05</v>
      </c>
      <c r="F170" s="81">
        <v>1.0416666666666667</v>
      </c>
      <c r="G170" s="81">
        <v>-0.36937500000000001</v>
      </c>
      <c r="H170" s="81">
        <v>-0.22500000000000001</v>
      </c>
      <c r="I170" s="81">
        <f t="shared" si="35"/>
        <v>-0.29718749999999999</v>
      </c>
      <c r="J170" s="81">
        <v>1.0049999999999999</v>
      </c>
      <c r="K170" s="81">
        <v>0.91749999999999998</v>
      </c>
      <c r="L170" s="81">
        <v>1.3625</v>
      </c>
      <c r="M170" s="81">
        <v>1.2324999999999999</v>
      </c>
      <c r="N170" s="81">
        <f t="shared" si="36"/>
        <v>1.2974999999999999</v>
      </c>
      <c r="O170" s="3"/>
      <c r="P170" s="3"/>
      <c r="Q170" s="3"/>
      <c r="R170" s="3"/>
      <c r="S170" s="3"/>
      <c r="T170" s="3"/>
    </row>
    <row r="171" spans="2:20">
      <c r="B171" s="3"/>
      <c r="C171" s="3" t="s">
        <v>77</v>
      </c>
      <c r="D171" s="3">
        <v>2001</v>
      </c>
      <c r="E171" s="3">
        <v>1.05</v>
      </c>
      <c r="F171" s="81">
        <v>1.0416666666666667</v>
      </c>
      <c r="G171" s="81">
        <v>-0.44925000000000004</v>
      </c>
      <c r="H171" s="81">
        <v>-0.29999999999999993</v>
      </c>
      <c r="I171" s="81">
        <f t="shared" si="35"/>
        <v>-0.37462499999999999</v>
      </c>
      <c r="J171" s="81">
        <v>1.0660000000000001</v>
      </c>
      <c r="K171" s="81">
        <v>0.97299999999999986</v>
      </c>
      <c r="L171" s="81">
        <v>1.444</v>
      </c>
      <c r="M171" s="81">
        <v>1.3069999999999999</v>
      </c>
      <c r="N171" s="81">
        <f t="shared" si="36"/>
        <v>1.3754999999999999</v>
      </c>
      <c r="O171" s="3"/>
      <c r="P171" s="3"/>
      <c r="Q171" s="3"/>
      <c r="R171" s="3"/>
      <c r="S171" s="3"/>
      <c r="T171" s="3"/>
    </row>
    <row r="172" spans="2:20">
      <c r="B172" s="3"/>
      <c r="C172" s="3" t="s">
        <v>76</v>
      </c>
      <c r="D172" s="3">
        <v>2002</v>
      </c>
      <c r="E172" s="3">
        <v>1.05</v>
      </c>
      <c r="F172" s="81">
        <v>1.0416666666666667</v>
      </c>
      <c r="G172" s="81">
        <v>-0.52912499999999996</v>
      </c>
      <c r="H172" s="81">
        <v>-0.375</v>
      </c>
      <c r="I172" s="81">
        <f t="shared" si="35"/>
        <v>-0.45206249999999998</v>
      </c>
      <c r="J172" s="81">
        <v>1.127</v>
      </c>
      <c r="K172" s="81">
        <v>1.0284999999999997</v>
      </c>
      <c r="L172" s="81">
        <v>1.5255000000000001</v>
      </c>
      <c r="M172" s="81">
        <v>1.3815</v>
      </c>
      <c r="N172" s="81">
        <f t="shared" si="36"/>
        <v>1.4535</v>
      </c>
      <c r="O172" s="3"/>
      <c r="P172" s="3"/>
      <c r="Q172" s="3"/>
      <c r="R172" s="3"/>
      <c r="S172" s="3"/>
      <c r="T172" s="3"/>
    </row>
    <row r="173" spans="2:20">
      <c r="B173" s="3"/>
      <c r="C173" s="3" t="s">
        <v>75</v>
      </c>
      <c r="D173" s="3">
        <v>2003</v>
      </c>
      <c r="E173" s="3">
        <v>1.05</v>
      </c>
      <c r="F173" s="81">
        <v>1.0416666666666667</v>
      </c>
      <c r="G173" s="81">
        <v>-0.60899999999999999</v>
      </c>
      <c r="H173" s="81">
        <v>-0.44999999999999996</v>
      </c>
      <c r="I173" s="81">
        <f t="shared" si="35"/>
        <v>-0.52949999999999997</v>
      </c>
      <c r="J173" s="81">
        <v>1.1880000000000002</v>
      </c>
      <c r="K173" s="81">
        <v>1.0839999999999999</v>
      </c>
      <c r="L173" s="81">
        <v>1.607</v>
      </c>
      <c r="M173" s="81">
        <v>1.456</v>
      </c>
      <c r="N173" s="81">
        <f t="shared" si="36"/>
        <v>1.5314999999999999</v>
      </c>
      <c r="O173" s="3"/>
      <c r="P173" s="3"/>
      <c r="Q173" s="3"/>
      <c r="R173" s="3"/>
      <c r="S173" s="3"/>
      <c r="T173" s="3"/>
    </row>
    <row r="174" spans="2:20">
      <c r="B174" s="3"/>
      <c r="C174" s="3" t="s">
        <v>74</v>
      </c>
      <c r="D174" s="3">
        <v>2004</v>
      </c>
      <c r="E174" s="3">
        <v>1.05</v>
      </c>
      <c r="F174" s="81">
        <v>1.0416666666666667</v>
      </c>
      <c r="G174" s="81">
        <v>-0.68887500000000002</v>
      </c>
      <c r="H174" s="81">
        <v>-0.52499999999999991</v>
      </c>
      <c r="I174" s="81">
        <f t="shared" si="35"/>
        <v>-0.60693749999999991</v>
      </c>
      <c r="J174" s="81">
        <v>1.2490000000000001</v>
      </c>
      <c r="K174" s="81">
        <v>1.1395</v>
      </c>
      <c r="L174" s="81">
        <v>1.6884999999999999</v>
      </c>
      <c r="M174" s="81">
        <v>1.5305</v>
      </c>
      <c r="N174" s="81">
        <f t="shared" si="36"/>
        <v>1.6094999999999999</v>
      </c>
      <c r="O174" s="3"/>
      <c r="P174" s="3"/>
      <c r="Q174" s="3"/>
      <c r="R174" s="3"/>
      <c r="S174" s="3"/>
      <c r="T174" s="3"/>
    </row>
    <row r="175" spans="2:20">
      <c r="B175" s="3"/>
      <c r="C175" s="3" t="s">
        <v>73</v>
      </c>
      <c r="D175" s="3">
        <v>2005</v>
      </c>
      <c r="E175" s="3">
        <v>1.05</v>
      </c>
      <c r="F175" s="81">
        <v>1.0416666666666667</v>
      </c>
      <c r="G175" s="81">
        <v>-0.77</v>
      </c>
      <c r="H175" s="81">
        <v>-0.60499999999999998</v>
      </c>
      <c r="I175" s="81">
        <f t="shared" si="35"/>
        <v>-0.6875</v>
      </c>
      <c r="J175" s="81">
        <v>1.31</v>
      </c>
      <c r="K175" s="81">
        <v>1.1950000000000001</v>
      </c>
      <c r="L175" s="81">
        <v>1.77</v>
      </c>
      <c r="M175" s="81">
        <v>1.605</v>
      </c>
      <c r="N175" s="81">
        <f t="shared" si="36"/>
        <v>1.6875</v>
      </c>
      <c r="O175" s="3"/>
      <c r="P175" s="3"/>
      <c r="Q175" s="3"/>
      <c r="R175" s="3"/>
      <c r="S175" s="3"/>
      <c r="T175" s="3"/>
    </row>
    <row r="176" spans="2:20">
      <c r="B176" s="3"/>
      <c r="C176" s="3" t="s">
        <v>72</v>
      </c>
      <c r="D176" s="3">
        <v>2006</v>
      </c>
      <c r="E176" s="3">
        <v>1.05</v>
      </c>
      <c r="F176" s="81">
        <v>1.0416666666666667</v>
      </c>
      <c r="G176" s="81">
        <v>-0.84087500000000004</v>
      </c>
      <c r="H176" s="81">
        <v>-0.63575000000000004</v>
      </c>
      <c r="I176" s="81">
        <f t="shared" si="35"/>
        <v>-0.73831250000000004</v>
      </c>
      <c r="J176" s="81">
        <v>1.363</v>
      </c>
      <c r="K176" s="81">
        <v>1.218</v>
      </c>
      <c r="L176" s="81">
        <v>1.841</v>
      </c>
      <c r="M176" s="81">
        <v>1.6359999999999999</v>
      </c>
      <c r="N176" s="81">
        <f t="shared" si="36"/>
        <v>1.7384999999999999</v>
      </c>
      <c r="O176" s="3"/>
      <c r="P176" s="3"/>
      <c r="Q176" s="3"/>
      <c r="R176" s="3"/>
      <c r="S176" s="3"/>
      <c r="T176" s="3"/>
    </row>
    <row r="177" spans="2:20">
      <c r="B177" s="3"/>
      <c r="C177" s="3" t="s">
        <v>71</v>
      </c>
      <c r="D177" s="3">
        <v>2007</v>
      </c>
      <c r="E177" s="3">
        <v>1.05</v>
      </c>
      <c r="F177" s="81">
        <v>1.0416666666666667</v>
      </c>
      <c r="G177" s="81">
        <v>-0.91175000000000006</v>
      </c>
      <c r="H177" s="81">
        <v>-0.66649999999999998</v>
      </c>
      <c r="I177" s="81">
        <f t="shared" si="35"/>
        <v>-0.78912500000000008</v>
      </c>
      <c r="J177" s="81">
        <v>1.4159999999999999</v>
      </c>
      <c r="K177" s="81">
        <v>1.2410000000000001</v>
      </c>
      <c r="L177" s="81">
        <v>1.9119999999999999</v>
      </c>
      <c r="M177" s="81">
        <v>1.667</v>
      </c>
      <c r="N177" s="81">
        <f t="shared" si="36"/>
        <v>1.7894999999999999</v>
      </c>
      <c r="O177" s="3"/>
      <c r="P177" s="3"/>
      <c r="Q177" s="3"/>
      <c r="R177" s="3"/>
      <c r="S177" s="3"/>
      <c r="T177" s="3"/>
    </row>
    <row r="178" spans="2:20">
      <c r="B178" s="3"/>
      <c r="C178" s="3" t="s">
        <v>70</v>
      </c>
      <c r="D178" s="3">
        <v>2008</v>
      </c>
      <c r="E178" s="3">
        <v>1.05</v>
      </c>
      <c r="F178" s="82">
        <v>1.0416666666666667</v>
      </c>
      <c r="G178" s="82">
        <v>-0.98262499999999997</v>
      </c>
      <c r="H178" s="82">
        <v>-0.69724999999999993</v>
      </c>
      <c r="I178" s="81">
        <f t="shared" si="35"/>
        <v>-0.8399375</v>
      </c>
      <c r="J178" s="82">
        <v>1.4689999999999999</v>
      </c>
      <c r="K178" s="82">
        <v>1.264</v>
      </c>
      <c r="L178" s="82">
        <v>1.9830000000000001</v>
      </c>
      <c r="M178" s="82">
        <v>1.698</v>
      </c>
      <c r="N178" s="81">
        <f t="shared" si="36"/>
        <v>1.8405</v>
      </c>
      <c r="O178" s="3"/>
      <c r="P178" s="3"/>
      <c r="Q178" s="3"/>
      <c r="R178" s="3"/>
      <c r="S178" s="3"/>
      <c r="T178" s="3"/>
    </row>
    <row r="179" spans="2:20">
      <c r="B179" s="3"/>
      <c r="C179" s="3" t="s">
        <v>69</v>
      </c>
      <c r="D179" s="3">
        <v>2009</v>
      </c>
      <c r="E179" s="3">
        <v>1.05</v>
      </c>
      <c r="F179" s="82">
        <v>1.0416666666666667</v>
      </c>
      <c r="G179" s="82">
        <v>-1.0535000000000001</v>
      </c>
      <c r="H179" s="82">
        <v>-0.72799999999999998</v>
      </c>
      <c r="I179" s="81">
        <f t="shared" si="35"/>
        <v>-0.89075000000000004</v>
      </c>
      <c r="J179" s="82">
        <v>1.522</v>
      </c>
      <c r="K179" s="82">
        <v>1.2870000000000001</v>
      </c>
      <c r="L179" s="82">
        <v>2.0539999999999998</v>
      </c>
      <c r="M179" s="82">
        <v>1.7290000000000001</v>
      </c>
      <c r="N179" s="81">
        <f t="shared" si="36"/>
        <v>1.8915</v>
      </c>
      <c r="O179" s="3"/>
      <c r="P179" s="3"/>
      <c r="Q179" s="3"/>
      <c r="R179" s="3"/>
      <c r="S179" s="3"/>
      <c r="T179" s="3"/>
    </row>
    <row r="180" spans="2:20">
      <c r="B180" s="3"/>
      <c r="C180" s="3" t="s">
        <v>68</v>
      </c>
      <c r="D180" s="3">
        <v>2010</v>
      </c>
      <c r="E180" s="3">
        <v>1.05</v>
      </c>
      <c r="F180" s="82">
        <v>1.0416666666666667</v>
      </c>
      <c r="G180" s="82">
        <v>-1.1243750000000001</v>
      </c>
      <c r="H180" s="82">
        <v>-0.75875000000000004</v>
      </c>
      <c r="I180" s="81">
        <f t="shared" si="35"/>
        <v>-0.94156250000000008</v>
      </c>
      <c r="J180" s="82">
        <v>1.575</v>
      </c>
      <c r="K180" s="82">
        <v>1.31</v>
      </c>
      <c r="L180" s="82">
        <v>2.125</v>
      </c>
      <c r="M180" s="82">
        <v>1.76</v>
      </c>
      <c r="N180" s="81">
        <f t="shared" si="36"/>
        <v>1.9424999999999999</v>
      </c>
      <c r="O180" s="3"/>
      <c r="P180" s="3"/>
      <c r="Q180" s="3"/>
      <c r="R180" s="3"/>
      <c r="S180" s="3"/>
      <c r="T180" s="3"/>
    </row>
    <row r="181" spans="2:20">
      <c r="B181" s="3"/>
      <c r="C181" s="3" t="s">
        <v>67</v>
      </c>
      <c r="D181" s="3">
        <v>2011</v>
      </c>
      <c r="E181" s="3">
        <v>1.05</v>
      </c>
      <c r="F181" s="82">
        <v>1.0416666666666667</v>
      </c>
      <c r="G181" s="82">
        <v>-1.1952499999999999</v>
      </c>
      <c r="H181" s="82">
        <v>-0.78949999999999998</v>
      </c>
      <c r="I181" s="81">
        <f t="shared" si="35"/>
        <v>-0.99237500000000001</v>
      </c>
      <c r="J181" s="82">
        <v>1.6279999999999999</v>
      </c>
      <c r="K181" s="82">
        <v>1.3330000000000002</v>
      </c>
      <c r="L181" s="82">
        <v>2.1959999999999997</v>
      </c>
      <c r="M181" s="82">
        <v>1.7909999999999999</v>
      </c>
      <c r="N181" s="81">
        <f t="shared" si="36"/>
        <v>1.9934999999999998</v>
      </c>
      <c r="O181" s="3"/>
      <c r="P181" s="3"/>
      <c r="Q181" s="3"/>
      <c r="R181" s="3"/>
      <c r="S181" s="3"/>
      <c r="T181" s="3"/>
    </row>
    <row r="182" spans="2:20">
      <c r="B182" s="3"/>
      <c r="C182" s="3" t="s">
        <v>65</v>
      </c>
      <c r="D182" s="3">
        <v>2012</v>
      </c>
      <c r="E182" s="3">
        <v>1.05</v>
      </c>
      <c r="F182" s="82">
        <v>1.0416666666666667</v>
      </c>
      <c r="G182" s="82">
        <v>-1.2661249999999999</v>
      </c>
      <c r="H182" s="82">
        <v>-0.82024999999999992</v>
      </c>
      <c r="I182" s="81">
        <f t="shared" si="35"/>
        <v>-1.0431874999999999</v>
      </c>
      <c r="J182" s="82">
        <v>1.6809999999999998</v>
      </c>
      <c r="K182" s="82">
        <v>1.3560000000000001</v>
      </c>
      <c r="L182" s="82">
        <v>2.2669999999999999</v>
      </c>
      <c r="M182" s="82">
        <v>1.8220000000000001</v>
      </c>
      <c r="N182" s="81">
        <f t="shared" si="36"/>
        <v>2.0445000000000002</v>
      </c>
      <c r="O182" s="3"/>
      <c r="P182" s="3"/>
      <c r="Q182" s="3"/>
      <c r="R182" s="3"/>
      <c r="S182" s="3"/>
      <c r="T182" s="3"/>
    </row>
    <row r="183" spans="2:20">
      <c r="B183" s="3"/>
      <c r="C183" s="3" t="s">
        <v>63</v>
      </c>
      <c r="D183" s="3">
        <v>2013</v>
      </c>
      <c r="E183" s="3">
        <v>1.05</v>
      </c>
      <c r="F183" s="82">
        <v>1.0416666666666667</v>
      </c>
      <c r="G183" s="82">
        <v>-1.337</v>
      </c>
      <c r="H183" s="82">
        <v>-0.85099999999999998</v>
      </c>
      <c r="I183" s="81">
        <f t="shared" si="35"/>
        <v>-1.0939999999999999</v>
      </c>
      <c r="J183" s="82">
        <v>1.734</v>
      </c>
      <c r="K183" s="82">
        <v>1.379</v>
      </c>
      <c r="L183" s="82">
        <v>2.3380000000000001</v>
      </c>
      <c r="M183" s="82">
        <v>1.853</v>
      </c>
      <c r="N183" s="81">
        <f t="shared" si="36"/>
        <v>2.0954999999999999</v>
      </c>
      <c r="O183" s="3"/>
      <c r="P183" s="3"/>
      <c r="Q183" s="3"/>
      <c r="R183" s="3"/>
      <c r="S183" s="3"/>
      <c r="T183" s="3"/>
    </row>
  </sheetData>
  <mergeCells count="20">
    <mergeCell ref="B93:B95"/>
    <mergeCell ref="C94:F94"/>
    <mergeCell ref="G94:J94"/>
    <mergeCell ref="C63:H63"/>
    <mergeCell ref="I63:J63"/>
    <mergeCell ref="K63:P63"/>
    <mergeCell ref="Q63:R63"/>
    <mergeCell ref="C64:D64"/>
    <mergeCell ref="E64:F64"/>
    <mergeCell ref="G64:H64"/>
    <mergeCell ref="K64:L64"/>
    <mergeCell ref="M64:N64"/>
    <mergeCell ref="O64:P64"/>
    <mergeCell ref="F5:F7"/>
    <mergeCell ref="G5:J5"/>
    <mergeCell ref="K5:N5"/>
    <mergeCell ref="G6:H6"/>
    <mergeCell ref="I6:J6"/>
    <mergeCell ref="K6:L6"/>
    <mergeCell ref="M6:N6"/>
  </mergeCells>
  <phoneticPr fontId="18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&amp;L&amp;"-,太字"&amp;12 ６．CO₂排出削減量算定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変更後の事業費内訳</vt:lpstr>
      <vt:lpstr>ボイラ排出量算定（追加)</vt:lpstr>
      <vt:lpstr>Sheet1</vt:lpstr>
      <vt:lpstr>'ボイラ排出量算定（追加)'!Print_Area</vt:lpstr>
      <vt:lpstr>変更後の事業費内訳!Print_Area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鈴木 芳晴（温暖化対策課）</cp:lastModifiedBy>
  <cp:lastPrinted>2023-09-11T02:07:31Z</cp:lastPrinted>
  <dcterms:created xsi:type="dcterms:W3CDTF">2013-01-29T04:15:39Z</dcterms:created>
  <dcterms:modified xsi:type="dcterms:W3CDTF">2026-04-03T05:30:33Z</dcterms:modified>
</cp:coreProperties>
</file>