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116120\Box\【02_課所共有】05_02_温暖化対策課\R08年度\中小担当\21_エコアップ認証制度\21_01_エコアップ認証制度全般\21_01_020_エコアップ　通知・報告\ホームページ\20260518 CO2量算定シート\"/>
    </mc:Choice>
  </mc:AlternateContent>
  <xr:revisionPtr revIDLastSave="0" documentId="13_ncr:1_{E328784F-4E39-4E45-8D1B-82F662F43400}" xr6:coauthVersionLast="47" xr6:coauthVersionMax="47" xr10:uidLastSave="{00000000-0000-0000-0000-000000000000}"/>
  <workbookProtection workbookAlgorithmName="SHA-512" workbookHashValue="6yUUB0d6TJReDkZX4AmHWiHXMdJ8iX2bUlXMcVaP0EtpUcidnEMT4yoDS9B7aIjTDJtdbzltYIDQt3j5HUfpdw==" workbookSaltValue="8NHPm+KzTW5jpd424IUXCg==" workbookSpinCount="100000" lockStructure="1"/>
  <bookViews>
    <workbookView xWindow="28680" yWindow="-120" windowWidth="29040" windowHeight="15720" tabRatio="898" xr2:uid="{00000000-000D-0000-FFFF-FFFF00000000}"/>
  </bookViews>
  <sheets>
    <sheet name="0.事業所概要" sheetId="15" r:id="rId1"/>
    <sheet name="シート一覧" sheetId="57" r:id="rId2"/>
    <sheet name="１．ガス単位換算_～R6建物系" sheetId="48" r:id="rId3"/>
    <sheet name="２．～R6建物系" sheetId="49" r:id="rId4"/>
    <sheet name="３．自動車_～R6" sheetId="50" r:id="rId5"/>
    <sheet name="４．ガス単位換算_～R6工場現場" sheetId="51" r:id="rId6"/>
    <sheet name="５．～R6工場現場" sheetId="52" r:id="rId7"/>
    <sheet name="６．エコアップCO2量一覧" sheetId="53" r:id="rId8"/>
    <sheet name="７'．エコアップCO₂実績表" sheetId="54" r:id="rId9"/>
    <sheet name="８．エコアップCＯ₂削減目標表" sheetId="55" r:id="rId10"/>
    <sheet name="９建物系エネルギー・CO₂量" sheetId="35" r:id="rId11"/>
    <sheet name="10工場現場_エネルギー・CO₂量" sheetId="34" r:id="rId12"/>
    <sheet name="11自動車_エネルギー・CO₂量" sheetId="19" r:id="rId13"/>
    <sheet name="12燃料" sheetId="10" r:id="rId14"/>
    <sheet name="13電気・熱_都市ガス" sheetId="13" r:id="rId15"/>
    <sheet name="14再エネ電気・熱" sheetId="14" r:id="rId16"/>
    <sheet name="15非化石燃料_建物" sheetId="11" r:id="rId17"/>
    <sheet name="16非化石燃料_工場現場" sheetId="33" r:id="rId18"/>
    <sheet name="17非化石燃料_自動車" sheetId="56" r:id="rId19"/>
    <sheet name="18証書_森林吸収量" sheetId="7" r:id="rId20"/>
    <sheet name="19その他ガス" sheetId="8" r:id="rId21"/>
    <sheet name="参考1" sheetId="29" state="hidden" r:id="rId22"/>
    <sheet name="参考2" sheetId="58" state="hidden" r:id="rId23"/>
    <sheet name="参考3" sheetId="59" state="hidden" r:id="rId24"/>
    <sheet name="非_燃料種類_選択リスト" sheetId="23" state="hidden" r:id="rId25"/>
    <sheet name="非_選択リスト" sheetId="20" state="hidden" r:id="rId26"/>
    <sheet name="非_まとめ表行番号" sheetId="28" state="hidden" r:id="rId27"/>
    <sheet name="非_係数" sheetId="24" state="hidden" r:id="rId28"/>
    <sheet name="非_単位" sheetId="25" state="hidden" r:id="rId29"/>
    <sheet name="非_単位補正換算" sheetId="27" state="hidden" r:id="rId30"/>
    <sheet name="非_電気事業者" sheetId="31" state="hidden" r:id="rId31"/>
    <sheet name="非_都市ガス事業者" sheetId="30" state="hidden" r:id="rId32"/>
    <sheet name="非_熱供給事業者" sheetId="32" state="hidden" r:id="rId33"/>
  </sheets>
  <definedNames>
    <definedName name="_xlnm._FilterDatabase" localSheetId="7" hidden="1">'６．エコアップCO2量一覧'!$D$28:$D$34</definedName>
    <definedName name="_xlnm._FilterDatabase" localSheetId="30" hidden="1">非_電気事業者!$B$8:$S$8</definedName>
    <definedName name="A重油_単位">非_単位!$C$9:$D$9</definedName>
    <definedName name="Ｂ・Ｃ重油_単位">非_単位!$C$10:$D$10</definedName>
    <definedName name="FIT非化石証書_単位">非_単位!$C$84:$D$84</definedName>
    <definedName name="H14_LPG使用量">'１．ガス単位換算_～R6建物系'!$G$27:$G$30</definedName>
    <definedName name="H14_その他ガス">'１．ガス単位換算_～R6建物系'!$G$39:$G$48</definedName>
    <definedName name="H14_換算前">'１．ガス単位換算_～R6建物系'!$G$7:$G$20</definedName>
    <definedName name="H14_控除後使用量">'２．～R6建物系'!$BJ$6:$BJ$52</definedName>
    <definedName name="H14_算定外使用量">'２．～R6建物系'!$AM$6:$AM$52</definedName>
    <definedName name="H14_事業所内使用量">'２．～R6建物系'!$L$6:$L$52</definedName>
    <definedName name="H15_LPG使用量">'１．ガス単位換算_～R6建物系'!$H$27:$H$30</definedName>
    <definedName name="H15_その他ガス">'１．ガス単位換算_～R6建物系'!$H$39:$H$48</definedName>
    <definedName name="H15_換算前">'１．ガス単位換算_～R6建物系'!$H$7:$H$20</definedName>
    <definedName name="H15_控除後使用量">'２．～R6建物系'!$BK$6:$BK$52</definedName>
    <definedName name="H15_算定外使用量">'２．～R6建物系'!$AN$6:$AN$52</definedName>
    <definedName name="H15_事業所内使用量">'２．～R6建物系'!$M$6:$M$52</definedName>
    <definedName name="H16_LPG使用量">'１．ガス単位換算_～R6建物系'!$I$27:$I$30</definedName>
    <definedName name="H16_その他ガス">'１．ガス単位換算_～R6建物系'!$I$39:$I$48</definedName>
    <definedName name="H16_換算前">'１．ガス単位換算_～R6建物系'!$I$7:$I$20</definedName>
    <definedName name="H16_控除後使用量">'２．～R6建物系'!$BL$6:$BL$52</definedName>
    <definedName name="H16_算定外使用量">'２．～R6建物系'!$AO$6:$AO$52</definedName>
    <definedName name="H16_事業所内使用量">'２．～R6建物系'!$N$6:$N$52</definedName>
    <definedName name="H17_LPG使用量">'１．ガス単位換算_～R6建物系'!$J$27:$J$30</definedName>
    <definedName name="H17_その他ガス">'１．ガス単位換算_～R6建物系'!$J$39:$J$48</definedName>
    <definedName name="H17_換算前">'１．ガス単位換算_～R6建物系'!$J$7:$J$20</definedName>
    <definedName name="H17_控除後使用量">'２．～R6建物系'!$BM$6:$BM$52</definedName>
    <definedName name="H17_算定外使用量">'２．～R6建物系'!$AP$6:$AP$52</definedName>
    <definedName name="H17_事業所内使用量">'２．～R6建物系'!$O$6:$O$52</definedName>
    <definedName name="H18_LPG使用量">'１．ガス単位換算_～R6建物系'!$K$27:$K$30</definedName>
    <definedName name="H18_その他ガス">'１．ガス単位換算_～R6建物系'!$K$39:$K$48</definedName>
    <definedName name="H18_換算前">'１．ガス単位換算_～R6建物系'!$K$7:$K$20</definedName>
    <definedName name="H18_控除後使用量">'２．～R6建物系'!$BN$6:$BN$52</definedName>
    <definedName name="H18_算定外使用量">'２．～R6建物系'!$AQ$6:$AQ$52</definedName>
    <definedName name="H18_事業所内使用量">'２．～R6建物系'!$P$6:$P$52</definedName>
    <definedName name="H19_LPG使用量">'１．ガス単位換算_～R6建物系'!$L$27:$L$30</definedName>
    <definedName name="H19_その他ガス">'１．ガス単位換算_～R6建物系'!$L$39:$L$48</definedName>
    <definedName name="H19_換算前">'１．ガス単位換算_～R6建物系'!$L$7:$L$20</definedName>
    <definedName name="H19_控除後使用量">'２．～R6建物系'!$BO$6:$BO$52</definedName>
    <definedName name="H19_算定外使用量">'２．～R6建物系'!$AR$6:$AR$52</definedName>
    <definedName name="H19_事業所内使用量">'２．～R6建物系'!$Q$6:$Q$52</definedName>
    <definedName name="H20_LPG使用量">'１．ガス単位換算_～R6建物系'!$M$27:$M$30</definedName>
    <definedName name="H20_その他ガス">'１．ガス単位換算_～R6建物系'!$M$39:$M$48</definedName>
    <definedName name="H20_換算前">'１．ガス単位換算_～R6建物系'!$M$7:$M$20</definedName>
    <definedName name="H20_控除後使用量">'２．～R6建物系'!$BP$6:$BP$52</definedName>
    <definedName name="H20_算定外使用量">'２．～R6建物系'!$AS$6:$AS$52</definedName>
    <definedName name="H20_事業所内使用量">'２．～R6建物系'!$R$6:$R$52</definedName>
    <definedName name="H21_LPG使用量">'１．ガス単位換算_～R6建物系'!$N$27:$N$30</definedName>
    <definedName name="H21_その他ガス">'１．ガス単位換算_～R6建物系'!$N$39:$N$48</definedName>
    <definedName name="H21_換算前">'１．ガス単位換算_～R6建物系'!$N$7:$N$20</definedName>
    <definedName name="H21_控除後使用量">'２．～R6建物系'!$BQ$6:$BQ$52</definedName>
    <definedName name="H21_算定外使用量">'２．～R6建物系'!$AT$6:$AT$52</definedName>
    <definedName name="H21_事業所内使用量">'２．～R6建物系'!$S$6:$S$52</definedName>
    <definedName name="H22_LPG使用量">'１．ガス単位換算_～R6建物系'!$O$27:$O$30</definedName>
    <definedName name="H22_その他ガス">'１．ガス単位換算_～R6建物系'!$O$39:$O$48</definedName>
    <definedName name="H22_換算前">'１．ガス単位換算_～R6建物系'!$O$7:$O$20</definedName>
    <definedName name="H22_控除後使用量">'２．～R6建物系'!$BR$6:$BR$52</definedName>
    <definedName name="H22_算定外使用量">'２．～R6建物系'!$AU$6:$AU$52</definedName>
    <definedName name="H22_事業所内使用量">'２．～R6建物系'!$T$6:$T$52</definedName>
    <definedName name="H23_LPG使用量">'１．ガス単位換算_～R6建物系'!$P$27:$P$30</definedName>
    <definedName name="H23_その他ガス">'１．ガス単位換算_～R6建物系'!$P$39:$P$48</definedName>
    <definedName name="H23_換算前">'１．ガス単位換算_～R6建物系'!$P$7:$P$20</definedName>
    <definedName name="H23_控除後使用量">'２．～R6建物系'!$BS$6:$BS$52</definedName>
    <definedName name="H23_算定外使用量">'２．～R6建物系'!$AV$6:$AV$52</definedName>
    <definedName name="H23_事業所内使用量">'２．～R6建物系'!$U$6:$U$52</definedName>
    <definedName name="H24_LPG使用量">'１．ガス単位換算_～R6建物系'!$Q$27:$Q$30</definedName>
    <definedName name="H24_その他ガス">'１．ガス単位換算_～R6建物系'!$Q$39:$Q$48</definedName>
    <definedName name="H24_換算前">'１．ガス単位換算_～R6建物系'!$Q$7:$Q$20</definedName>
    <definedName name="H24_控除後使用量">'２．～R6建物系'!$BT$6:$BT$52</definedName>
    <definedName name="H24_算定外使用量">'２．～R6建物系'!$AW$6:$AW$52</definedName>
    <definedName name="H24_事業所内使用量">'２．～R6建物系'!$V$6:$V$52</definedName>
    <definedName name="H25_LPG使用量">'１．ガス単位換算_～R6建物系'!$R$27:$R$30</definedName>
    <definedName name="H25_その他ガス">'１．ガス単位換算_～R6建物系'!$R$39:$R$48</definedName>
    <definedName name="H25_換算前">'１．ガス単位換算_～R6建物系'!$R$7:$R$20</definedName>
    <definedName name="H25_控除後使用量">'２．～R6建物系'!$BU$6:$BU$52</definedName>
    <definedName name="H25_算定外使用量">'２．～R6建物系'!$AX$6:$AX$52</definedName>
    <definedName name="H25_事業所内使用量">'２．～R6建物系'!$W$6:$W$52</definedName>
    <definedName name="H26_LPG使用量">'１．ガス単位換算_～R6建物系'!$S$27:$S$30</definedName>
    <definedName name="H26_その他ガス">'１．ガス単位換算_～R6建物系'!$S$39:$S$48</definedName>
    <definedName name="H26_換算前">'１．ガス単位換算_～R6建物系'!$S$7:$S$20</definedName>
    <definedName name="H26_控除後使用量">'２．～R6建物系'!$BV$6:$BV$52</definedName>
    <definedName name="H26_算定外使用量">'２．～R6建物系'!$AY$6:$AY$52</definedName>
    <definedName name="H26_事業所内使用量">'２．～R6建物系'!$X$6:$X$52</definedName>
    <definedName name="H27_LPG使用量">'１．ガス単位換算_～R6建物系'!$T$27:$T$30</definedName>
    <definedName name="H27_その他ガス">'１．ガス単位換算_～R6建物系'!$T$39:$T$48</definedName>
    <definedName name="H27_換算前">'１．ガス単位換算_～R6建物系'!$T$7:$T$20</definedName>
    <definedName name="H27_控除後使用量">'２．～R6建物系'!$BW$6:$BW$52</definedName>
    <definedName name="H27_算定外使用量">'２．～R6建物系'!$AZ$6:$AZ$52</definedName>
    <definedName name="H27_使用量" localSheetId="9">'２．～R6建物系'!#REF!</definedName>
    <definedName name="H27_事業所内使用量">'２．～R6建物系'!$Y$6:$Y$52</definedName>
    <definedName name="H28_LPG使用量">'１．ガス単位換算_～R6建物系'!$U$27:$U$30</definedName>
    <definedName name="H28_その他ガス">'１．ガス単位換算_～R6建物系'!$U$39:$U$48</definedName>
    <definedName name="H28_換算前">'１．ガス単位換算_～R6建物系'!$U$7:$U$20</definedName>
    <definedName name="H28_控除後使用量">'２．～R6建物系'!$BX$6:$BX$52</definedName>
    <definedName name="H28_算定外使用量">'２．～R6建物系'!$BA$6:$BA$52</definedName>
    <definedName name="H28_事業所内使用量">'２．～R6建物系'!$Z$6:$Z$52</definedName>
    <definedName name="H29_LPG使用量">'１．ガス単位換算_～R6建物系'!$V$27:$V$30</definedName>
    <definedName name="H29_その他ガス">'１．ガス単位換算_～R6建物系'!$V$39:$V$48</definedName>
    <definedName name="H29_換算前">'１．ガス単位換算_～R6建物系'!$V$7:$V$20</definedName>
    <definedName name="H29_控除後使用量">'２．～R6建物系'!$BY$6:$BY$52</definedName>
    <definedName name="H29_算定外使用量">'２．～R6建物系'!$BB$6:$BB$52</definedName>
    <definedName name="H29_事業所内使用量">'２．～R6建物系'!$AA$6:$AA$52</definedName>
    <definedName name="H30_LPG使用量">'１．ガス単位換算_～R6建物系'!$W$27:$W$30</definedName>
    <definedName name="H30_その他ガス">'１．ガス単位換算_～R6建物系'!$W$39:$W$48</definedName>
    <definedName name="H30_換算前">'１．ガス単位換算_～R6建物系'!$W$7:$W$20</definedName>
    <definedName name="H30_控除後使用量">'２．～R6建物系'!$BZ$6:$BZ$52</definedName>
    <definedName name="H30_算定外使用量">'２．～R6建物系'!$BC$6:$BC$52</definedName>
    <definedName name="H30_事業所内使用量">'２．～R6建物系'!$AB$6:$AB$52</definedName>
    <definedName name="H31_LPG使用量">'１．ガス単位換算_～R6建物系'!$X$27:$X$30</definedName>
    <definedName name="H31_その他ガス">'１．ガス単位換算_～R6建物系'!$X$39:$X$48</definedName>
    <definedName name="H31_換算前">'１．ガス単位換算_～R6建物系'!$X$7:$X$20</definedName>
    <definedName name="H31_控除後使用量">'２．～R6建物系'!$CA$6:$CA$52</definedName>
    <definedName name="H31_算定外使用量">'２．～R6建物系'!$BD$6:$BD$52</definedName>
    <definedName name="H31_事業所内使用量">'２．～R6建物系'!$AC$6:$AC$52</definedName>
    <definedName name="LPG単位補正">'１．ガス単位換算_～R6建物系'!$AF$27:$AF$30</definedName>
    <definedName name="_xlnm.Print_Area" localSheetId="0">'0.事業所概要'!$A$1:$P$29</definedName>
    <definedName name="_xlnm.Print_Area" localSheetId="2">'１．ガス単位換算_～R6建物系'!$B$2:$AC$57</definedName>
    <definedName name="_xlnm.Print_Area" localSheetId="11">'10工場現場_エネルギー・CO₂量'!$A$1:$K$107</definedName>
    <definedName name="_xlnm.Print_Area" localSheetId="12">'11自動車_エネルギー・CO₂量'!$A$1:$K$107</definedName>
    <definedName name="_xlnm.Print_Area" localSheetId="13">'12燃料'!$A$1:$P$59</definedName>
    <definedName name="_xlnm.Print_Area" localSheetId="14">'13電気・熱_都市ガス'!$B$1:$X$72</definedName>
    <definedName name="_xlnm.Print_Area" localSheetId="15">'14再エネ電気・熱'!$A$1:$U$64</definedName>
    <definedName name="_xlnm.Print_Area" localSheetId="16">'15非化石燃料_建物'!$A$1:$L$32</definedName>
    <definedName name="_xlnm.Print_Area" localSheetId="17">'16非化石燃料_工場現場'!$A$1:$L$32</definedName>
    <definedName name="_xlnm.Print_Area" localSheetId="18">'17非化石燃料_自動車'!$A$1:$L$32</definedName>
    <definedName name="_xlnm.Print_Area" localSheetId="19">'18証書_森林吸収量'!$A$1:$F$59</definedName>
    <definedName name="_xlnm.Print_Area" localSheetId="20">'19その他ガス'!$A$1:$K$99</definedName>
    <definedName name="_xlnm.Print_Area" localSheetId="3">'２．～R6建物系'!$C$1:$FZ$53</definedName>
    <definedName name="_xlnm.Print_Area" localSheetId="4">'３．自動車_～R6'!$A$1:$AX$67</definedName>
    <definedName name="_xlnm.Print_Area" localSheetId="5">'４．ガス単位換算_～R6工場現場'!$B$2:$AC$57</definedName>
    <definedName name="_xlnm.Print_Area" localSheetId="6">'５．～R6工場現場'!$C$1:$FZ$53</definedName>
    <definedName name="_xlnm.Print_Area" localSheetId="7">'６．エコアップCO2量一覧'!$A$1:$AM$49</definedName>
    <definedName name="_xlnm.Print_Area" localSheetId="8">'７''．エコアップCO₂実績表'!$A$1:$J$52</definedName>
    <definedName name="_xlnm.Print_Area" localSheetId="9">'８．エコアップCＯ₂削減目標表'!$A$1:$J$29</definedName>
    <definedName name="_xlnm.Print_Area" localSheetId="10">'９建物系エネルギー・CO₂量'!$A$1:$K$107</definedName>
    <definedName name="_xlnm.Print_Area" localSheetId="1">シート一覧!$A$1:$I$38</definedName>
    <definedName name="_xlnm.Print_Area" localSheetId="21">参考1!$A$1:$I$58</definedName>
    <definedName name="_xlnm.Print_Area" localSheetId="22">参考2!$A$1:$I$58</definedName>
    <definedName name="_xlnm.Print_Area" localSheetId="23">参考3!$A$1:$I$58</definedName>
    <definedName name="_xlnm.Print_Titles" localSheetId="14">'13電気・熱_都市ガス'!$1:$5</definedName>
    <definedName name="グリーン電力証書_単位">非_単位!$C$82:$D$82</definedName>
    <definedName name="グリーン熱証書_単位">非_単位!$C$83:$D$83</definedName>
    <definedName name="コークス炉ガス_単位">非_単位!$C$28:$H$28</definedName>
    <definedName name="コールタール_単位">非_単位!$C$27:$D$27</definedName>
    <definedName name="ジェット燃料油_単位">非_単位!$C$32:$D$32</definedName>
    <definedName name="その他の燃料①_単位">非_単位!$O$33</definedName>
    <definedName name="その他の燃料②_単位">非_単位!$O$34</definedName>
    <definedName name="その他可燃性天然ガス_単位">非_単位!$C$19:$H$19</definedName>
    <definedName name="ナフサ_単位">非_単位!$C$6:$D$6</definedName>
    <definedName name="バイオマス_種類_選択">非_燃料種類_選択リスト!$T$3:$T$9</definedName>
    <definedName name="バイオマス燃料_持続可能性_選択">非_選択リスト!$Y$3:$Y$4</definedName>
    <definedName name="圧力補正">'１．ガス単位換算_～R6建物系'!$AE$7:$AE$20</definedName>
    <definedName name="一般送配電_種類">非_燃料種類_選択リスト!$K$3:$K$4</definedName>
    <definedName name="一般送配電以外_種類">非_燃料種類_選択リスト!$K$7</definedName>
    <definedName name="一般炭_国産一般炭_単位">非_単位!$C$24:$D$24</definedName>
    <definedName name="一般炭_輸入一般炭_単位">非_単位!$C$23:$D$23</definedName>
    <definedName name="液化石油ガス_LPG_その他_単位">非_単位!$C$16:$F$16</definedName>
    <definedName name="液化石油ガス_LPG_ブタン_単位">非_単位!$C$15:$F$15</definedName>
    <definedName name="液化石油ガス_LPG_プロパン_単位">非_単位!$C$14:$F$14</definedName>
    <definedName name="液化石油ガス_LPG_プロパン・ブタン混合_単位">非_単位!$C$13:$F$13</definedName>
    <definedName name="液化天然ガス_ＬＮＧ_単位">非_単位!$C$18:$D$18</definedName>
    <definedName name="外部供給_種類">非_燃料種類_選択リスト!$K$29:$K$30</definedName>
    <definedName name="外部供給以外_種類">非_燃料種類_選択リスト!$K$19:$K$26</definedName>
    <definedName name="換算後単位">'１．ガス単位換算_～R6建物系'!$AD$7:$AD$20</definedName>
    <definedName name="環境価値_バイオマス持続可能性無_選択">非_選択リスト!$AA$10</definedName>
    <definedName name="環境価値_仮想電力購入契約_選択">非_選択リスト!$AA$7</definedName>
    <definedName name="環境価値_選択">非_選択リスト!$AA$3:$AA$4</definedName>
    <definedName name="監視点用燃料種類_選択">非_選択リスト!$I$3:$I$33</definedName>
    <definedName name="揮発油_ガソリン_単位">非_単位!$C$5:$D$5</definedName>
    <definedName name="気化率">'１．ガス単位換算_～R6建物系'!$E$27:$E$30</definedName>
    <definedName name="計量器_検定有無_選択">非_選択リスト!$O$3:$O$4</definedName>
    <definedName name="軽油_単位">非_単位!$C$8:$D$8</definedName>
    <definedName name="原油_コンデンセート_ＮＧＬ_単位">非_単位!$C$4:$D$4</definedName>
    <definedName name="原油_コンデンセートを除く_単位">非_単位!$C$3:$D$3</definedName>
    <definedName name="原料炭_コークス炉用原料炭_単位">非_単位!$C$21:$D$21</definedName>
    <definedName name="原料炭_吹込用原料炭_単位">非_単位!$C$22:$D$22</definedName>
    <definedName name="原料炭_輸入原料炭_単位">非_単位!$C$20:$D$20</definedName>
    <definedName name="高炉ガス_発電用_単位">非_単位!$C$30:$H$30</definedName>
    <definedName name="高炉ガス_発電用以外_単位">非_単位!$C$29:$H$29</definedName>
    <definedName name="再エネ_係数根拠_仮想電力購入契約">非_選択リスト!$AC$9:$AC$11</definedName>
    <definedName name="再エネ_係数根拠_環境価値無">非_選択リスト!$AC$6</definedName>
    <definedName name="再エネ_係数根拠_環境価値有">非_選択リスト!$AC$3</definedName>
    <definedName name="再エネ_係数根拠_持続可能性無">非_選択リスト!$AC$14</definedName>
    <definedName name="再エネ_事業所外_電気_種類">非_燃料種類_選択リスト!$P$14:$P$17</definedName>
    <definedName name="再エネ_事業所外_熱_種類">非_燃料種類_選択リスト!$P$20:$P$23</definedName>
    <definedName name="再エネ_事業所内_電気_種類">非_燃料種類_選択リスト!$P$3:$P$5</definedName>
    <definedName name="再エネ_事業所内_熱_種類">非_燃料種類_選択リスト!$P$8:$P$11</definedName>
    <definedName name="再エネ_自家消費_対象外_種類">非_燃料種類_選択リスト!$P$26:$P$32</definedName>
    <definedName name="再エネ_自家消費以外_対象外_種類">非_燃料種類_選択リスト!$P$35:$P$41</definedName>
    <definedName name="再エネ_種類_選択">非_燃料種類_選択リスト!$R$3:$R$14</definedName>
    <definedName name="再エネ_把握方法_選択_事業所外">非_選択リスト!$AE$9:$AE$11</definedName>
    <definedName name="再エネ_把握方法_選択_事業所内">非_選択リスト!$AE$3:$AE$5</definedName>
    <definedName name="再エネ電気熱_排出活動①">非_燃料種類_選択リスト!$N$3:$N$4</definedName>
    <definedName name="再エネ電気熱_排出活動②">非_燃料種類_選択リスト!$N$8:$N$9</definedName>
    <definedName name="再エネ電気熱_排出活動③">非_燃料種類_選択リスト!$N$12:$N$19</definedName>
    <definedName name="使用量把握方法_選択">非_選択リスト!$Q$3:$Q$5</definedName>
    <definedName name="事業所種別_選択">非_選択リスト!$G$3:$G$6</definedName>
    <definedName name="自己電気熱_係数根拠_選択">非_選択リスト!$U$12</definedName>
    <definedName name="実績検証状況_選択">非_選択リスト!$E$3:$E$4</definedName>
    <definedName name="床面積_把握方法_選択">非_選択リスト!$K$3:$K$5</definedName>
    <definedName name="床面積_変更の有無_選択">非_選択リスト!$M$3:$M$4</definedName>
    <definedName name="証書等_種類">非_燃料種類_選択リスト!$V$3:$V$8</definedName>
    <definedName name="証書等_種類_森林吸収量のみ">非_燃料種類_選択リスト!$V$23:$V$24</definedName>
    <definedName name="証書等_種類_電気なし">非_燃料種類_選択リスト!$V$18:$V$20</definedName>
    <definedName name="証書等_種類_熱なし">非_燃料種類_選択リスト!$V$11:$V$15</definedName>
    <definedName name="乗率_除外する排出量">非_選択リスト!$AG$8:$AG$10</definedName>
    <definedName name="乗率_排出量">非_選択リスト!$AG$3:$AG$5</definedName>
    <definedName name="石炭コークス_単位">非_単位!$C$26:$D$26</definedName>
    <definedName name="石油アスファルト_単位">非_単位!$C$11:$D$11</definedName>
    <definedName name="石油コークス_単位">非_単位!$C$12:$D$12</definedName>
    <definedName name="石油系炭化水素ガス_単位">非_単位!$C$17:$F$17</definedName>
    <definedName name="単位換算">'１．ガス単位換算_～R6建物系'!$AE$27:$AE$30</definedName>
    <definedName name="単位補正２">'２．～R6建物系'!$CG$6:$CG$52</definedName>
    <definedName name="単位補正５">'５．～R6工場現場'!$CG$6:$CG$53</definedName>
    <definedName name="単位補正係数">'１．ガス単位換算_～R6建物系'!$AF$7:$AF$20</definedName>
    <definedName name="転炉ガス_単位">非_単位!$C$31:$H$31</definedName>
    <definedName name="電気_「オンサイト型PPA_自家発電_非燃料由来の非化石電気」以外からの買電_単位">非_単位!$C$45:$D$45</definedName>
    <definedName name="電気_オフサイト型PPA_単位">非_単位!$C$39:$D$39</definedName>
    <definedName name="電気_オンサイト型PPA_単位">非_単位!$C$42:$D$42</definedName>
    <definedName name="電気_メニュー_選択">非_電気事業者!$F$9:$F$36</definedName>
    <definedName name="電気_仮想電力購入契約_単位">非_単位!$C$46:$D$46</definedName>
    <definedName name="電気_供給事業者_選択">非_電気事業者!$D$9:$D$556</definedName>
    <definedName name="電気_自ら生成した電気_単位">非_単位!$C$52:$D$52</definedName>
    <definedName name="電気_自家発電_単位">非_単位!$C$43:$D$43</definedName>
    <definedName name="電気_自己託送_非燃料由来の非化石電気_単位">非_単位!$C$40:$D$40</definedName>
    <definedName name="電気_自己託送_非燃料由来の非化石電気以外_単位">非_単位!$C$41:$D$41</definedName>
    <definedName name="電気_電気事業者からの買電_単位">非_単位!$C$38:$D$38</definedName>
    <definedName name="電気_非燃料由来の非化石電気_単位">非_単位!$C$44:$D$44</definedName>
    <definedName name="電気熱_係数根拠_選択">非_選択リスト!$U$3:$U$5</definedName>
    <definedName name="電気熱ガス_契約メニュー有無_選択">非_選択リスト!$S$3:$S$4</definedName>
    <definedName name="電気熱ガス_排出活動①">非_燃料種類_選択リスト!$I$3:$I$6</definedName>
    <definedName name="電気熱ガス_排出活動②">非_燃料種類_選択リスト!$I$9:$I$13</definedName>
    <definedName name="都市ガス_メーター種_選択">非_選択リスト!$W$3:$W$4</definedName>
    <definedName name="都市ガス_メニュー_選択">非_都市ガス事業者!$F$8:$F$14</definedName>
    <definedName name="都市ガス_供給事業者_選択">非_都市ガス事業者!$D$8:$D$28</definedName>
    <definedName name="都市ガス_係数根拠_選択">非_選択リスト!$U$8:$U$9</definedName>
    <definedName name="都市ガス_種類">非_燃料種類_選択リスト!$K$16</definedName>
    <definedName name="都市ガス_単位">非_単位!$C$53:$H$53</definedName>
    <definedName name="灯油_単位">非_単位!$C$7:$D$7</definedName>
    <definedName name="熱_メニュー_選択">非_熱供給事業者!$G$8:$G$14</definedName>
    <definedName name="熱_温水_単位">非_単位!$C$49:$D$49</definedName>
    <definedName name="熱_供給事業者_選択">非_熱供給事業者!$E$8:$E$40</definedName>
    <definedName name="熱_産業用以外の蒸気_単位">非_単位!$C$48:$D$48</definedName>
    <definedName name="熱_産業用蒸気_単位">非_単位!$C$47:$D$47</definedName>
    <definedName name="熱_自ら生成した熱_単位">非_単位!$C$51:$D$51</definedName>
    <definedName name="熱_種類">非_燃料種類_選択リスト!$K$10:$K$13</definedName>
    <definedName name="熱_冷水_単位">非_単位!$C$50:$D$50</definedName>
    <definedName name="燃料_排出活動①">非_燃料種類_選択リスト!$C$3</definedName>
    <definedName name="燃料_排出活動②">非_燃料種類_選択リスト!$C$6:$C$9</definedName>
    <definedName name="燃料種選択">非_燃料種類_選択リスト!$F$3:$F$34</definedName>
    <definedName name="非FIT非化石証書_再生可能エネルギー指定_単位">非_単位!$C$85:$D$85</definedName>
    <definedName name="無煙炭_輸入無煙炭_単位">非_単位!$C$25:$D$25</definedName>
    <definedName name="和暦年度_選択">非_選択リスト!$C$3:$C$12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54" l="1"/>
  <c r="D53" i="27"/>
  <c r="D52" i="27"/>
  <c r="D59" i="27"/>
  <c r="D58" i="27"/>
  <c r="G8" i="11" l="1"/>
  <c r="G9" i="11"/>
  <c r="G10" i="11"/>
  <c r="G11" i="11"/>
  <c r="G12" i="11"/>
  <c r="G13" i="11"/>
  <c r="G14" i="11"/>
  <c r="G15" i="11"/>
  <c r="G16" i="11"/>
  <c r="G17" i="11"/>
  <c r="H17" i="11"/>
  <c r="J17" i="11"/>
  <c r="L17" i="11"/>
  <c r="G18" i="11"/>
  <c r="H18" i="11"/>
  <c r="J18" i="11"/>
  <c r="L18" i="11"/>
  <c r="G19" i="11"/>
  <c r="G20" i="11"/>
  <c r="G21" i="11"/>
  <c r="G22" i="11"/>
  <c r="G23" i="11"/>
  <c r="G24" i="11"/>
  <c r="G25" i="11"/>
  <c r="G26" i="11"/>
  <c r="H26" i="11"/>
  <c r="J26" i="11"/>
  <c r="G27" i="11"/>
  <c r="H27" i="11"/>
  <c r="J27" i="11"/>
  <c r="G28" i="11"/>
  <c r="G29" i="11"/>
  <c r="G30" i="11"/>
  <c r="H30" i="11"/>
  <c r="J30" i="11"/>
  <c r="G31" i="11"/>
  <c r="H31" i="11"/>
  <c r="J31" i="11"/>
  <c r="P4" i="54" l="1"/>
  <c r="J33" i="54" s="1"/>
  <c r="AK16" i="54"/>
  <c r="AL16" i="54"/>
  <c r="AK15" i="54"/>
  <c r="AL15" i="54"/>
  <c r="AK9" i="54"/>
  <c r="AL9" i="54"/>
  <c r="AM15" i="54"/>
  <c r="AN15" i="54"/>
  <c r="AO15" i="54"/>
  <c r="AP15" i="54"/>
  <c r="AQ15" i="54"/>
  <c r="AR15" i="54"/>
  <c r="AS15" i="54"/>
  <c r="S64" i="53"/>
  <c r="T64" i="53"/>
  <c r="U64" i="53"/>
  <c r="V64" i="53"/>
  <c r="W64" i="53"/>
  <c r="S58" i="53"/>
  <c r="T58" i="53"/>
  <c r="U58" i="53"/>
  <c r="V58" i="53"/>
  <c r="W58" i="53"/>
  <c r="Z11" i="53" l="1"/>
  <c r="AA11" i="53"/>
  <c r="AB11" i="53"/>
  <c r="L1" i="15"/>
  <c r="C23" i="8"/>
  <c r="C22" i="8"/>
  <c r="F22" i="8"/>
  <c r="F23" i="8"/>
  <c r="F21" i="8"/>
  <c r="F20" i="8"/>
  <c r="F19" i="8"/>
  <c r="F18" i="8"/>
  <c r="F17" i="8"/>
  <c r="F16" i="8"/>
  <c r="F15" i="8"/>
  <c r="F6" i="54"/>
  <c r="G6" i="54"/>
  <c r="H6" i="54"/>
  <c r="X64" i="53"/>
  <c r="Y64" i="53"/>
  <c r="Z64" i="53"/>
  <c r="X58" i="53"/>
  <c r="Y58" i="53"/>
  <c r="Z58" i="53"/>
  <c r="AD25" i="53"/>
  <c r="AF64" i="53"/>
  <c r="AG64" i="53"/>
  <c r="AH64" i="53"/>
  <c r="AI64" i="53"/>
  <c r="AJ64" i="53"/>
  <c r="AK64" i="53"/>
  <c r="AL64" i="53"/>
  <c r="AD63" i="53"/>
  <c r="AE63" i="53"/>
  <c r="AD64" i="53"/>
  <c r="AE64" i="53"/>
  <c r="AD57" i="53"/>
  <c r="AE57" i="53"/>
  <c r="AD58" i="53"/>
  <c r="AE58" i="53"/>
  <c r="AF58" i="53"/>
  <c r="AG58" i="53"/>
  <c r="AH58" i="53"/>
  <c r="AI58" i="53"/>
  <c r="AJ58" i="53"/>
  <c r="AK58" i="53"/>
  <c r="AL58" i="53"/>
  <c r="M14" i="53"/>
  <c r="N14" i="53"/>
  <c r="O14" i="53"/>
  <c r="P14" i="53"/>
  <c r="Q14" i="53"/>
  <c r="R14" i="53"/>
  <c r="S14" i="53"/>
  <c r="T14" i="53"/>
  <c r="U14" i="53"/>
  <c r="V14" i="53"/>
  <c r="W14" i="53"/>
  <c r="X14" i="53"/>
  <c r="AB14" i="53"/>
  <c r="AA14" i="53"/>
  <c r="Z14" i="53"/>
  <c r="Y14" i="53"/>
  <c r="G31" i="59" l="1"/>
  <c r="D31" i="59"/>
  <c r="G30" i="59"/>
  <c r="D30" i="59"/>
  <c r="I2" i="59"/>
  <c r="I1" i="59"/>
  <c r="G31" i="58"/>
  <c r="D31" i="58"/>
  <c r="G30" i="58"/>
  <c r="D30" i="58"/>
  <c r="I2" i="58"/>
  <c r="I1" i="58"/>
  <c r="G19" i="15"/>
  <c r="I1" i="29"/>
  <c r="J1" i="8"/>
  <c r="F1" i="7"/>
  <c r="K1" i="56"/>
  <c r="K1" i="33"/>
  <c r="K1" i="11"/>
  <c r="T1" i="14"/>
  <c r="W1" i="13"/>
  <c r="O1" i="10"/>
  <c r="P1" i="10"/>
  <c r="K1" i="19"/>
  <c r="K1" i="35"/>
  <c r="K1" i="34"/>
  <c r="H97" i="19"/>
  <c r="G97" i="19"/>
  <c r="F97" i="19"/>
  <c r="H96" i="19"/>
  <c r="G96" i="19"/>
  <c r="F96" i="19"/>
  <c r="H95" i="19"/>
  <c r="G95" i="19"/>
  <c r="F95" i="19"/>
  <c r="H94" i="19"/>
  <c r="G94" i="19"/>
  <c r="F94" i="19"/>
  <c r="H93" i="19"/>
  <c r="G93" i="19"/>
  <c r="F93" i="19"/>
  <c r="H92" i="19"/>
  <c r="G92" i="19"/>
  <c r="F92" i="19"/>
  <c r="H91" i="19"/>
  <c r="G91" i="19"/>
  <c r="F91" i="19"/>
  <c r="H90" i="19"/>
  <c r="G90" i="19"/>
  <c r="F90" i="19"/>
  <c r="H89" i="19"/>
  <c r="G89" i="19"/>
  <c r="F89" i="19"/>
  <c r="H88" i="19"/>
  <c r="G88" i="19"/>
  <c r="F88" i="19"/>
  <c r="H87" i="19"/>
  <c r="G87" i="19"/>
  <c r="F87" i="19"/>
  <c r="H86" i="19"/>
  <c r="G86" i="19"/>
  <c r="F86" i="19"/>
  <c r="H85" i="19"/>
  <c r="G85" i="19"/>
  <c r="F85" i="19"/>
  <c r="H84" i="19"/>
  <c r="G84" i="19"/>
  <c r="F84" i="19"/>
  <c r="H83" i="19"/>
  <c r="G83" i="19"/>
  <c r="F83" i="19"/>
  <c r="H82" i="19"/>
  <c r="G82" i="19"/>
  <c r="F82" i="19"/>
  <c r="H81" i="19"/>
  <c r="G81" i="19"/>
  <c r="F81" i="19"/>
  <c r="H80" i="19"/>
  <c r="G80" i="19"/>
  <c r="F80" i="19"/>
  <c r="H79" i="19"/>
  <c r="G79" i="19"/>
  <c r="F79" i="19"/>
  <c r="H78" i="19"/>
  <c r="G78" i="19"/>
  <c r="F78" i="19"/>
  <c r="H77" i="19"/>
  <c r="G77" i="19"/>
  <c r="F77" i="19"/>
  <c r="H76" i="19"/>
  <c r="G76" i="19"/>
  <c r="F76" i="19"/>
  <c r="H75" i="19"/>
  <c r="G75" i="19"/>
  <c r="F75" i="19"/>
  <c r="G74" i="19"/>
  <c r="N31" i="56"/>
  <c r="J31" i="56"/>
  <c r="H31" i="56"/>
  <c r="G31" i="56"/>
  <c r="P31" i="56" s="1"/>
  <c r="P30" i="56"/>
  <c r="N30" i="56"/>
  <c r="J30" i="56"/>
  <c r="H30" i="56"/>
  <c r="G30" i="56"/>
  <c r="N29" i="56"/>
  <c r="G29" i="56"/>
  <c r="P29" i="56" s="1"/>
  <c r="N28" i="56"/>
  <c r="G28" i="56"/>
  <c r="P28" i="56" s="1"/>
  <c r="N27" i="56"/>
  <c r="J27" i="56"/>
  <c r="H27" i="56"/>
  <c r="G27" i="56"/>
  <c r="P27" i="56" s="1"/>
  <c r="N26" i="56"/>
  <c r="J26" i="56"/>
  <c r="H26" i="56"/>
  <c r="G26" i="56"/>
  <c r="P26" i="56" s="1"/>
  <c r="N25" i="56"/>
  <c r="G25" i="56"/>
  <c r="P25" i="56" s="1"/>
  <c r="N24" i="56"/>
  <c r="G24" i="56"/>
  <c r="P24" i="56" s="1"/>
  <c r="N23" i="56"/>
  <c r="G23" i="56"/>
  <c r="P23" i="56" s="1"/>
  <c r="N22" i="56"/>
  <c r="G22" i="56"/>
  <c r="P22" i="56" s="1"/>
  <c r="N21" i="56"/>
  <c r="G21" i="56"/>
  <c r="P21" i="56" s="1"/>
  <c r="N20" i="56"/>
  <c r="G20" i="56"/>
  <c r="P20" i="56" s="1"/>
  <c r="N19" i="56"/>
  <c r="G19" i="56"/>
  <c r="P19" i="56" s="1"/>
  <c r="N18" i="56"/>
  <c r="L18" i="56"/>
  <c r="J18" i="56"/>
  <c r="H18" i="56"/>
  <c r="G18" i="56"/>
  <c r="Q18" i="56" s="1"/>
  <c r="N17" i="56"/>
  <c r="L17" i="56"/>
  <c r="J17" i="56"/>
  <c r="H17" i="56"/>
  <c r="G17" i="56"/>
  <c r="Q17" i="56" s="1"/>
  <c r="Q16" i="56"/>
  <c r="P16" i="56"/>
  <c r="N16" i="56"/>
  <c r="G16" i="56"/>
  <c r="Q15" i="56"/>
  <c r="N15" i="56"/>
  <c r="G15" i="56"/>
  <c r="P15" i="56" s="1"/>
  <c r="Q14" i="56"/>
  <c r="P14" i="56"/>
  <c r="N14" i="56"/>
  <c r="G14" i="56"/>
  <c r="N13" i="56"/>
  <c r="G13" i="56"/>
  <c r="Q13" i="56" s="1"/>
  <c r="Q12" i="56"/>
  <c r="P12" i="56"/>
  <c r="N12" i="56"/>
  <c r="G12" i="56"/>
  <c r="N11" i="56"/>
  <c r="G11" i="56"/>
  <c r="Q11" i="56" s="1"/>
  <c r="N10" i="56"/>
  <c r="G10" i="56"/>
  <c r="Q10" i="56" s="1"/>
  <c r="Q9" i="56"/>
  <c r="N9" i="56"/>
  <c r="G9" i="56"/>
  <c r="P9" i="56" s="1"/>
  <c r="N8" i="56"/>
  <c r="G8" i="56"/>
  <c r="Q8" i="56" s="1"/>
  <c r="K2" i="56"/>
  <c r="H97" i="34"/>
  <c r="G97" i="34"/>
  <c r="F97" i="34"/>
  <c r="H96" i="34"/>
  <c r="G96" i="34"/>
  <c r="F96" i="34"/>
  <c r="H95" i="34"/>
  <c r="G95" i="34"/>
  <c r="F95" i="34"/>
  <c r="H94" i="34"/>
  <c r="G94" i="34"/>
  <c r="F94" i="34"/>
  <c r="H93" i="34"/>
  <c r="G93" i="34"/>
  <c r="F93" i="34"/>
  <c r="H92" i="34"/>
  <c r="G92" i="34"/>
  <c r="F92" i="34"/>
  <c r="H91" i="34"/>
  <c r="G91" i="34"/>
  <c r="F91" i="34"/>
  <c r="H90" i="34"/>
  <c r="G90" i="34"/>
  <c r="F90" i="34"/>
  <c r="H89" i="34"/>
  <c r="G89" i="34"/>
  <c r="F89" i="34"/>
  <c r="G88" i="34"/>
  <c r="H87" i="34"/>
  <c r="G87" i="34"/>
  <c r="F87" i="34"/>
  <c r="H86" i="34"/>
  <c r="G86" i="34"/>
  <c r="F86" i="34"/>
  <c r="G85" i="34"/>
  <c r="H84" i="34"/>
  <c r="G84" i="34"/>
  <c r="F84" i="34"/>
  <c r="H83" i="34"/>
  <c r="G83" i="34"/>
  <c r="F83" i="34"/>
  <c r="H82" i="34"/>
  <c r="G82" i="34"/>
  <c r="F82" i="34"/>
  <c r="H81" i="34"/>
  <c r="G81" i="34"/>
  <c r="F81" i="34"/>
  <c r="H80" i="34"/>
  <c r="G80" i="34"/>
  <c r="F80" i="34"/>
  <c r="H79" i="34"/>
  <c r="G79" i="34"/>
  <c r="F79" i="34"/>
  <c r="H78" i="34"/>
  <c r="G78" i="34"/>
  <c r="F78" i="34"/>
  <c r="H77" i="34"/>
  <c r="G77" i="34"/>
  <c r="F77" i="34"/>
  <c r="H76" i="34"/>
  <c r="G76" i="34"/>
  <c r="F76" i="34"/>
  <c r="H75" i="34"/>
  <c r="G75" i="34"/>
  <c r="F75" i="34"/>
  <c r="G74" i="34"/>
  <c r="J7" i="10"/>
  <c r="I25" i="55"/>
  <c r="J25" i="55" s="1"/>
  <c r="F25" i="55"/>
  <c r="G25" i="55" s="1"/>
  <c r="B25" i="55"/>
  <c r="I24" i="55"/>
  <c r="J24" i="55" s="1"/>
  <c r="F24" i="55"/>
  <c r="G24" i="55" s="1"/>
  <c r="R23" i="55"/>
  <c r="B24" i="55" s="1"/>
  <c r="I23" i="55"/>
  <c r="J23" i="55" s="1"/>
  <c r="F23" i="55"/>
  <c r="G23" i="55" s="1"/>
  <c r="B11" i="55"/>
  <c r="B12" i="55" s="1"/>
  <c r="H10" i="55"/>
  <c r="I10" i="55" s="1"/>
  <c r="J10" i="55" s="1"/>
  <c r="J13" i="55" s="1"/>
  <c r="D10" i="55"/>
  <c r="F10" i="55" s="1"/>
  <c r="G10" i="55" s="1"/>
  <c r="G13" i="55" s="1"/>
  <c r="T9" i="55"/>
  <c r="S9" i="55"/>
  <c r="T8" i="55"/>
  <c r="S8" i="55"/>
  <c r="I46" i="54"/>
  <c r="H46" i="54"/>
  <c r="B39" i="54"/>
  <c r="I35" i="54"/>
  <c r="H35" i="54"/>
  <c r="L30" i="54"/>
  <c r="E31" i="54" s="1"/>
  <c r="E30" i="54" s="1"/>
  <c r="L23" i="54"/>
  <c r="E24" i="54" s="1"/>
  <c r="E23" i="54" s="1"/>
  <c r="AS22" i="54"/>
  <c r="AR22" i="54"/>
  <c r="AQ22" i="54"/>
  <c r="AP22" i="54"/>
  <c r="AO22" i="54"/>
  <c r="AN22" i="54"/>
  <c r="AM22" i="54"/>
  <c r="Y22" i="54"/>
  <c r="V22" i="54"/>
  <c r="U22" i="54"/>
  <c r="T22" i="54"/>
  <c r="S22" i="54"/>
  <c r="AS21" i="54"/>
  <c r="AR21" i="54"/>
  <c r="AQ21" i="54"/>
  <c r="AP21" i="54"/>
  <c r="AO21" i="54"/>
  <c r="AN21" i="54"/>
  <c r="AM21" i="54"/>
  <c r="S21" i="54"/>
  <c r="L16" i="54"/>
  <c r="E17" i="54" s="1"/>
  <c r="E16" i="54" s="1"/>
  <c r="AS14" i="54"/>
  <c r="AS8" i="54" s="1"/>
  <c r="AR14" i="54"/>
  <c r="AR8" i="54" s="1"/>
  <c r="AQ14" i="54"/>
  <c r="AQ8" i="54" s="1"/>
  <c r="AP14" i="54"/>
  <c r="AP8" i="54" s="1"/>
  <c r="AO14" i="54"/>
  <c r="AO8" i="54" s="1"/>
  <c r="AN14" i="54"/>
  <c r="AN8" i="54" s="1"/>
  <c r="AM14" i="54"/>
  <c r="AM8" i="54" s="1"/>
  <c r="AL14" i="54"/>
  <c r="AL8" i="54" s="1"/>
  <c r="AK14" i="54"/>
  <c r="AK8" i="54" s="1"/>
  <c r="AJ14" i="54"/>
  <c r="AS13" i="54"/>
  <c r="AS7" i="54" s="1"/>
  <c r="AR13" i="54"/>
  <c r="AR7" i="54" s="1"/>
  <c r="AQ13" i="54"/>
  <c r="AQ7" i="54" s="1"/>
  <c r="AP13" i="54"/>
  <c r="AP7" i="54" s="1"/>
  <c r="AO13" i="54"/>
  <c r="AO7" i="54" s="1"/>
  <c r="AN13" i="54"/>
  <c r="AN7" i="54" s="1"/>
  <c r="AM13" i="54"/>
  <c r="AM7" i="54" s="1"/>
  <c r="AL13" i="54"/>
  <c r="AK13" i="54"/>
  <c r="AJ13" i="54"/>
  <c r="I15" i="54" s="1"/>
  <c r="I13" i="54"/>
  <c r="AS12" i="54"/>
  <c r="AR12" i="54"/>
  <c r="AQ12" i="54"/>
  <c r="AP12" i="54"/>
  <c r="AO12" i="54"/>
  <c r="AN12" i="54"/>
  <c r="AM12" i="54"/>
  <c r="AL12" i="54"/>
  <c r="AK12" i="54"/>
  <c r="AJ12" i="54"/>
  <c r="I8" i="54" s="1"/>
  <c r="L9" i="54"/>
  <c r="E10" i="54" s="1"/>
  <c r="E9" i="54" s="1"/>
  <c r="Z63" i="53"/>
  <c r="Y63" i="53"/>
  <c r="X63" i="53"/>
  <c r="W63" i="53"/>
  <c r="V63" i="53"/>
  <c r="U63" i="53"/>
  <c r="T63" i="53"/>
  <c r="S63" i="53"/>
  <c r="R63" i="53"/>
  <c r="Q63" i="53"/>
  <c r="P63" i="53"/>
  <c r="O63" i="53"/>
  <c r="N63" i="53"/>
  <c r="M63" i="53"/>
  <c r="L63" i="53"/>
  <c r="AL61" i="53"/>
  <c r="AL62" i="53" s="1"/>
  <c r="Z57" i="53"/>
  <c r="Y57" i="53"/>
  <c r="X57" i="53"/>
  <c r="W57" i="53"/>
  <c r="V57" i="53"/>
  <c r="U57" i="53"/>
  <c r="T57" i="53"/>
  <c r="S57" i="53"/>
  <c r="R57" i="53"/>
  <c r="Q57" i="53"/>
  <c r="P57" i="53"/>
  <c r="O57" i="53"/>
  <c r="N57" i="53"/>
  <c r="M57" i="53"/>
  <c r="L57" i="53"/>
  <c r="AL55" i="53"/>
  <c r="AL56" i="53" s="1"/>
  <c r="AK55" i="53"/>
  <c r="AJ55" i="53"/>
  <c r="AJ56" i="53" s="1"/>
  <c r="AI55" i="53"/>
  <c r="AH55" i="53"/>
  <c r="AG55" i="53"/>
  <c r="AF56" i="53" s="1"/>
  <c r="AF55" i="53"/>
  <c r="AE55" i="53"/>
  <c r="AE56" i="53" s="1"/>
  <c r="AD55" i="53"/>
  <c r="AD56" i="53" s="1"/>
  <c r="AC55" i="53"/>
  <c r="AB55" i="53"/>
  <c r="AA55" i="53"/>
  <c r="Z55" i="53"/>
  <c r="Y55" i="53"/>
  <c r="X56" i="53" s="1"/>
  <c r="X55" i="53"/>
  <c r="W55" i="53"/>
  <c r="W56" i="53" s="1"/>
  <c r="V55" i="53"/>
  <c r="V56" i="53" s="1"/>
  <c r="U55" i="53"/>
  <c r="T55" i="53"/>
  <c r="T56" i="53" s="1"/>
  <c r="S55" i="53"/>
  <c r="R55" i="53"/>
  <c r="R56" i="53" s="1"/>
  <c r="Q55" i="53"/>
  <c r="Q56" i="53" s="1"/>
  <c r="P55" i="53"/>
  <c r="O55" i="53"/>
  <c r="O56" i="53" s="1"/>
  <c r="N55" i="53"/>
  <c r="N56" i="53" s="1"/>
  <c r="J54" i="53"/>
  <c r="AE35" i="53" s="1"/>
  <c r="AL25" i="53"/>
  <c r="AK25" i="53"/>
  <c r="AK61" i="53" s="1"/>
  <c r="AJ25" i="53"/>
  <c r="AJ61" i="53" s="1"/>
  <c r="AI25" i="53"/>
  <c r="AI61" i="53" s="1"/>
  <c r="AH25" i="53"/>
  <c r="AH61" i="53" s="1"/>
  <c r="AG25" i="53"/>
  <c r="AG61" i="53" s="1"/>
  <c r="AF25" i="53"/>
  <c r="AF61" i="53" s="1"/>
  <c r="AE25" i="53"/>
  <c r="AE61" i="53" s="1"/>
  <c r="AD61" i="53"/>
  <c r="AC25" i="53"/>
  <c r="AC61" i="53" s="1"/>
  <c r="AB25" i="53"/>
  <c r="AB61" i="53" s="1"/>
  <c r="AA25" i="53"/>
  <c r="AA61" i="53" s="1"/>
  <c r="Z25" i="53"/>
  <c r="Z61" i="53" s="1"/>
  <c r="Y25" i="53"/>
  <c r="Y61" i="53" s="1"/>
  <c r="X25" i="53"/>
  <c r="X61" i="53" s="1"/>
  <c r="W25" i="53"/>
  <c r="W61" i="53" s="1"/>
  <c r="V25" i="53"/>
  <c r="V61" i="53" s="1"/>
  <c r="U25" i="53"/>
  <c r="U61" i="53" s="1"/>
  <c r="U62" i="53" s="1"/>
  <c r="T25" i="53"/>
  <c r="T61" i="53" s="1"/>
  <c r="S25" i="53"/>
  <c r="S61" i="53" s="1"/>
  <c r="R25" i="53"/>
  <c r="Q25" i="53"/>
  <c r="Q61" i="53" s="1"/>
  <c r="P25" i="53"/>
  <c r="P61" i="53" s="1"/>
  <c r="O25" i="53"/>
  <c r="O61" i="53" s="1"/>
  <c r="N25" i="53"/>
  <c r="N61" i="53" s="1"/>
  <c r="M25" i="53"/>
  <c r="L25" i="53"/>
  <c r="K25" i="53"/>
  <c r="J25" i="53"/>
  <c r="AL18" i="53"/>
  <c r="AL27" i="53" s="1"/>
  <c r="AS16" i="54" s="1"/>
  <c r="AK18" i="53"/>
  <c r="AK27" i="53" s="1"/>
  <c r="AR16" i="54" s="1"/>
  <c r="AJ18" i="53"/>
  <c r="AJ27" i="53" s="1"/>
  <c r="AQ16" i="54" s="1"/>
  <c r="AI18" i="53"/>
  <c r="AI27" i="53" s="1"/>
  <c r="AP16" i="54" s="1"/>
  <c r="AH18" i="53"/>
  <c r="AH27" i="53" s="1"/>
  <c r="AO16" i="54" s="1"/>
  <c r="AG18" i="53"/>
  <c r="AG27" i="53" s="1"/>
  <c r="AN16" i="54" s="1"/>
  <c r="AF18" i="53"/>
  <c r="AF27" i="53" s="1"/>
  <c r="AM16" i="54" s="1"/>
  <c r="AE18" i="53"/>
  <c r="AD18" i="53"/>
  <c r="AD27" i="53" s="1"/>
  <c r="AC18" i="53"/>
  <c r="AJ15" i="54" s="1"/>
  <c r="AI22" i="54"/>
  <c r="AH22" i="54"/>
  <c r="AG22" i="54"/>
  <c r="AF22" i="54"/>
  <c r="AE22" i="54"/>
  <c r="AD22" i="54"/>
  <c r="AC22" i="54"/>
  <c r="AB22" i="54"/>
  <c r="AA22" i="54"/>
  <c r="Z22" i="54"/>
  <c r="X22" i="54"/>
  <c r="W22" i="54"/>
  <c r="AB12" i="53"/>
  <c r="AA12" i="53"/>
  <c r="Z12" i="53"/>
  <c r="Y12" i="53"/>
  <c r="X12" i="53"/>
  <c r="W12" i="53"/>
  <c r="V12" i="53"/>
  <c r="U12" i="53"/>
  <c r="T12" i="53"/>
  <c r="S12" i="53"/>
  <c r="R12" i="53"/>
  <c r="Q12" i="53"/>
  <c r="P12" i="53"/>
  <c r="J12" i="53"/>
  <c r="Y11" i="53"/>
  <c r="X11" i="53"/>
  <c r="W11" i="53"/>
  <c r="V11" i="53"/>
  <c r="U11" i="53"/>
  <c r="T11" i="53"/>
  <c r="S11" i="53"/>
  <c r="R11" i="53"/>
  <c r="Q11" i="53"/>
  <c r="P11" i="53"/>
  <c r="J11" i="53"/>
  <c r="K9" i="53"/>
  <c r="K8" i="53"/>
  <c r="BI53" i="52"/>
  <c r="BH53" i="52"/>
  <c r="BG53" i="52"/>
  <c r="BF53" i="52"/>
  <c r="BE53" i="52"/>
  <c r="BD53" i="52"/>
  <c r="BC53" i="52"/>
  <c r="BB53" i="52"/>
  <c r="BA53" i="52"/>
  <c r="AZ53" i="52"/>
  <c r="AY53" i="52"/>
  <c r="AX53" i="52"/>
  <c r="AW53" i="52"/>
  <c r="AV53" i="52"/>
  <c r="AU53" i="52"/>
  <c r="AT53" i="52"/>
  <c r="AS53" i="52"/>
  <c r="AR53" i="52"/>
  <c r="AQ53" i="52"/>
  <c r="AP53" i="52"/>
  <c r="AO53" i="52"/>
  <c r="AN53" i="52"/>
  <c r="AM53" i="52"/>
  <c r="AL53" i="52"/>
  <c r="AK53" i="52"/>
  <c r="AJ53" i="52"/>
  <c r="AI53" i="52"/>
  <c r="AH53" i="52"/>
  <c r="AG53" i="52"/>
  <c r="AF53" i="52"/>
  <c r="AE53" i="52"/>
  <c r="AD53" i="52"/>
  <c r="AC53" i="52"/>
  <c r="AB53" i="52"/>
  <c r="AA53" i="52"/>
  <c r="Z53" i="52"/>
  <c r="Y53" i="52"/>
  <c r="X53" i="52"/>
  <c r="W53" i="52"/>
  <c r="V53" i="52"/>
  <c r="U53" i="52"/>
  <c r="T53" i="52"/>
  <c r="S53" i="52"/>
  <c r="R53" i="52"/>
  <c r="Q53" i="52"/>
  <c r="P53" i="52"/>
  <c r="O53" i="52"/>
  <c r="N53" i="52"/>
  <c r="M53" i="52"/>
  <c r="L53" i="52"/>
  <c r="FV52" i="52"/>
  <c r="FU52" i="52"/>
  <c r="FT52" i="52"/>
  <c r="FS52" i="52"/>
  <c r="FR52" i="52"/>
  <c r="FQ52" i="52"/>
  <c r="FP52" i="52"/>
  <c r="FO52" i="52"/>
  <c r="FN52" i="52"/>
  <c r="FM52" i="52"/>
  <c r="FL52" i="52"/>
  <c r="FK52" i="52"/>
  <c r="FJ52" i="52"/>
  <c r="FI52" i="52"/>
  <c r="FH52" i="52"/>
  <c r="FG52" i="52"/>
  <c r="FF52" i="52"/>
  <c r="FE52" i="52"/>
  <c r="FD52" i="52"/>
  <c r="FC52" i="52"/>
  <c r="FB52" i="52"/>
  <c r="FA52" i="52"/>
  <c r="EZ52" i="52"/>
  <c r="DE52" i="52"/>
  <c r="DD52" i="52"/>
  <c r="DC52" i="52"/>
  <c r="DB52" i="52"/>
  <c r="DA52" i="52"/>
  <c r="CZ52" i="52"/>
  <c r="CY52" i="52"/>
  <c r="CX52" i="52"/>
  <c r="CW52" i="52"/>
  <c r="CV52" i="52"/>
  <c r="CU52" i="52"/>
  <c r="CT52" i="52"/>
  <c r="CS52" i="52"/>
  <c r="CR52" i="52"/>
  <c r="CQ52" i="52"/>
  <c r="CP52" i="52"/>
  <c r="CO52" i="52"/>
  <c r="CN52" i="52"/>
  <c r="CM52" i="52"/>
  <c r="CL52" i="52"/>
  <c r="CK52" i="52"/>
  <c r="CJ52" i="52"/>
  <c r="CI52" i="52"/>
  <c r="FV51" i="52"/>
  <c r="FU51" i="52"/>
  <c r="FT51" i="52"/>
  <c r="FS51" i="52"/>
  <c r="FR51" i="52"/>
  <c r="FQ51" i="52"/>
  <c r="FP51" i="52"/>
  <c r="FO51" i="52"/>
  <c r="FN51" i="52"/>
  <c r="FM51" i="52"/>
  <c r="FL51" i="52"/>
  <c r="FK51" i="52"/>
  <c r="FJ51" i="52"/>
  <c r="FI51" i="52"/>
  <c r="FH51" i="52"/>
  <c r="FG51" i="52"/>
  <c r="FF51" i="52"/>
  <c r="FE51" i="52"/>
  <c r="FD51" i="52"/>
  <c r="FC51" i="52"/>
  <c r="FB51" i="52"/>
  <c r="FA51" i="52"/>
  <c r="EZ51" i="52"/>
  <c r="DE51" i="52"/>
  <c r="DD51" i="52"/>
  <c r="DC51" i="52"/>
  <c r="DB51" i="52"/>
  <c r="DA51" i="52"/>
  <c r="CZ51" i="52"/>
  <c r="CY51" i="52"/>
  <c r="CX51" i="52"/>
  <c r="CW51" i="52"/>
  <c r="CV51" i="52"/>
  <c r="CU51" i="52"/>
  <c r="CT51" i="52"/>
  <c r="CS51" i="52"/>
  <c r="CR51" i="52"/>
  <c r="CQ51" i="52"/>
  <c r="CP51" i="52"/>
  <c r="CO51" i="52"/>
  <c r="CN51" i="52"/>
  <c r="CM51" i="52"/>
  <c r="CL51" i="52"/>
  <c r="CK51" i="52"/>
  <c r="CJ51" i="52"/>
  <c r="CI51" i="52"/>
  <c r="CG49" i="52"/>
  <c r="CG48" i="52"/>
  <c r="DB46" i="52"/>
  <c r="FS46" i="52" s="1"/>
  <c r="CG46" i="52"/>
  <c r="CJ46" i="52" s="1"/>
  <c r="FA46" i="52" s="1"/>
  <c r="CF46" i="52"/>
  <c r="DE46" i="52" s="1"/>
  <c r="FV46" i="52" s="1"/>
  <c r="CE46" i="52"/>
  <c r="CD46" i="52"/>
  <c r="CC46" i="52"/>
  <c r="CB46" i="52"/>
  <c r="DA46" i="52" s="1"/>
  <c r="FR46" i="52" s="1"/>
  <c r="CA46" i="52"/>
  <c r="BZ46" i="52"/>
  <c r="BY46" i="52"/>
  <c r="BX46" i="52"/>
  <c r="CW46" i="52" s="1"/>
  <c r="FN46" i="52" s="1"/>
  <c r="BW46" i="52"/>
  <c r="CV46" i="52" s="1"/>
  <c r="FM46" i="52" s="1"/>
  <c r="BV46" i="52"/>
  <c r="BU46" i="52"/>
  <c r="CT46" i="52" s="1"/>
  <c r="FK46" i="52" s="1"/>
  <c r="BT46" i="52"/>
  <c r="CS46" i="52" s="1"/>
  <c r="FJ46" i="52" s="1"/>
  <c r="BS46" i="52"/>
  <c r="BR46" i="52"/>
  <c r="BQ46" i="52"/>
  <c r="BP46" i="52"/>
  <c r="CO46" i="52" s="1"/>
  <c r="FF46" i="52" s="1"/>
  <c r="BO46" i="52"/>
  <c r="BN46" i="52"/>
  <c r="BM46" i="52"/>
  <c r="BL46" i="52"/>
  <c r="BK46" i="52"/>
  <c r="BJ46" i="52"/>
  <c r="CG45" i="52"/>
  <c r="CM45" i="52" s="1"/>
  <c r="FD45" i="52" s="1"/>
  <c r="CF45" i="52"/>
  <c r="DE45" i="52" s="1"/>
  <c r="FV45" i="52" s="1"/>
  <c r="CE45" i="52"/>
  <c r="CD45" i="52"/>
  <c r="CC45" i="52"/>
  <c r="CB45" i="52"/>
  <c r="CA45" i="52"/>
  <c r="BZ45" i="52"/>
  <c r="CY45" i="52" s="1"/>
  <c r="FP45" i="52" s="1"/>
  <c r="BY45" i="52"/>
  <c r="CX45" i="52" s="1"/>
  <c r="FO45" i="52" s="1"/>
  <c r="BX45" i="52"/>
  <c r="CW45" i="52" s="1"/>
  <c r="FN45" i="52" s="1"/>
  <c r="BW45" i="52"/>
  <c r="BV45" i="52"/>
  <c r="BU45" i="52"/>
  <c r="BT45" i="52"/>
  <c r="CS45" i="52" s="1"/>
  <c r="FJ45" i="52" s="1"/>
  <c r="BS45" i="52"/>
  <c r="BR45" i="52"/>
  <c r="BQ45" i="52"/>
  <c r="CP45" i="52" s="1"/>
  <c r="FG45" i="52" s="1"/>
  <c r="BP45" i="52"/>
  <c r="CO45" i="52" s="1"/>
  <c r="FF45" i="52" s="1"/>
  <c r="BO45" i="52"/>
  <c r="BN45" i="52"/>
  <c r="BM45" i="52"/>
  <c r="BL45" i="52"/>
  <c r="BK45" i="52"/>
  <c r="BJ45" i="52"/>
  <c r="CO44" i="52"/>
  <c r="CG44" i="52"/>
  <c r="CF44" i="52"/>
  <c r="CE44" i="52"/>
  <c r="CD44" i="52"/>
  <c r="CC44" i="52"/>
  <c r="DB44" i="52" s="1"/>
  <c r="CB44" i="52"/>
  <c r="CA44" i="52"/>
  <c r="CZ44" i="52" s="1"/>
  <c r="DW44" i="52" s="1"/>
  <c r="ET44" i="52" s="1"/>
  <c r="BZ44" i="52"/>
  <c r="BY44" i="52"/>
  <c r="CX44" i="52" s="1"/>
  <c r="BX44" i="52"/>
  <c r="BW44" i="52"/>
  <c r="BV44" i="52"/>
  <c r="BU44" i="52"/>
  <c r="BT44" i="52"/>
  <c r="BS44" i="52"/>
  <c r="CR44" i="52" s="1"/>
  <c r="BR44" i="52"/>
  <c r="BQ44" i="52"/>
  <c r="CP44" i="52" s="1"/>
  <c r="BP44" i="52"/>
  <c r="BO44" i="52"/>
  <c r="BN44" i="52"/>
  <c r="BM44" i="52"/>
  <c r="BL44" i="52"/>
  <c r="BK44" i="52"/>
  <c r="CJ44" i="52" s="1"/>
  <c r="DG44" i="52" s="1"/>
  <c r="ED44" i="52" s="1"/>
  <c r="BJ44" i="52"/>
  <c r="CG43" i="52"/>
  <c r="CF43" i="52"/>
  <c r="CE43" i="52"/>
  <c r="CD43" i="52"/>
  <c r="CC43" i="52"/>
  <c r="CB43" i="52"/>
  <c r="CA43" i="52"/>
  <c r="BZ43" i="52"/>
  <c r="BY43" i="52"/>
  <c r="CX43" i="52" s="1"/>
  <c r="BX43" i="52"/>
  <c r="BW43" i="52"/>
  <c r="BV43" i="52"/>
  <c r="BU43" i="52"/>
  <c r="BT43" i="52"/>
  <c r="BS43" i="52"/>
  <c r="BR43" i="52"/>
  <c r="BQ43" i="52"/>
  <c r="CP43" i="52" s="1"/>
  <c r="BP43" i="52"/>
  <c r="BO43" i="52"/>
  <c r="BN43" i="52"/>
  <c r="BM43" i="52"/>
  <c r="BL43" i="52"/>
  <c r="BK43" i="52"/>
  <c r="BJ43" i="52"/>
  <c r="CG42" i="52"/>
  <c r="CF42" i="52"/>
  <c r="DE42" i="52" s="1"/>
  <c r="EB42" i="52" s="1"/>
  <c r="CE42" i="52"/>
  <c r="DD42" i="52" s="1"/>
  <c r="CD42" i="52"/>
  <c r="CC42" i="52"/>
  <c r="CB42" i="52"/>
  <c r="CA42" i="52"/>
  <c r="BZ42" i="52"/>
  <c r="BY42" i="52"/>
  <c r="BX42" i="52"/>
  <c r="CW42" i="52" s="1"/>
  <c r="BW42" i="52"/>
  <c r="CV42" i="52" s="1"/>
  <c r="BV42" i="52"/>
  <c r="BU42" i="52"/>
  <c r="CT42" i="52" s="1"/>
  <c r="BT42" i="52"/>
  <c r="BS42" i="52"/>
  <c r="BR42" i="52"/>
  <c r="BQ42" i="52"/>
  <c r="CP42" i="52" s="1"/>
  <c r="BP42" i="52"/>
  <c r="CO42" i="52" s="1"/>
  <c r="DL42" i="52" s="1"/>
  <c r="BO42" i="52"/>
  <c r="CN42" i="52" s="1"/>
  <c r="BN42" i="52"/>
  <c r="BM42" i="52"/>
  <c r="BL42" i="52"/>
  <c r="BK42" i="52"/>
  <c r="BJ42" i="52"/>
  <c r="CG40" i="52"/>
  <c r="CL40" i="52" s="1"/>
  <c r="DI40" i="52" s="1"/>
  <c r="CF40" i="52"/>
  <c r="DE40" i="52" s="1"/>
  <c r="CE40" i="52"/>
  <c r="DD40" i="52" s="1"/>
  <c r="CD40" i="52"/>
  <c r="CC40" i="52"/>
  <c r="CB40" i="52"/>
  <c r="CA40" i="52"/>
  <c r="BZ40" i="52"/>
  <c r="BY40" i="52"/>
  <c r="CX40" i="52" s="1"/>
  <c r="DU40" i="52" s="1"/>
  <c r="BX40" i="52"/>
  <c r="CW40" i="52" s="1"/>
  <c r="BW40" i="52"/>
  <c r="CV40" i="52" s="1"/>
  <c r="BV40" i="52"/>
  <c r="BU40" i="52"/>
  <c r="BT40" i="52"/>
  <c r="BS40" i="52"/>
  <c r="CR40" i="52" s="1"/>
  <c r="BR40" i="52"/>
  <c r="BQ40" i="52"/>
  <c r="BP40" i="52"/>
  <c r="CO40" i="52" s="1"/>
  <c r="BO40" i="52"/>
  <c r="CN40" i="52" s="1"/>
  <c r="BN40" i="52"/>
  <c r="BM40" i="52"/>
  <c r="BL40" i="52"/>
  <c r="BK40" i="52"/>
  <c r="BJ40" i="52"/>
  <c r="FG39" i="52"/>
  <c r="EJ39" i="52"/>
  <c r="CX39" i="52"/>
  <c r="CU39" i="52"/>
  <c r="CG39" i="52"/>
  <c r="CF39" i="52"/>
  <c r="CE39" i="52"/>
  <c r="CD39" i="52"/>
  <c r="DC39" i="52" s="1"/>
  <c r="DZ39" i="52" s="1"/>
  <c r="EW39" i="52" s="1"/>
  <c r="CC39" i="52"/>
  <c r="DB39" i="52" s="1"/>
  <c r="CB39" i="52"/>
  <c r="CA39" i="52"/>
  <c r="CZ39" i="52" s="1"/>
  <c r="BZ39" i="52"/>
  <c r="BY39" i="52"/>
  <c r="BX39" i="52"/>
  <c r="BW39" i="52"/>
  <c r="BV39" i="52"/>
  <c r="BU39" i="52"/>
  <c r="CT39" i="52" s="1"/>
  <c r="BT39" i="52"/>
  <c r="BS39" i="52"/>
  <c r="CR39" i="52" s="1"/>
  <c r="BR39" i="52"/>
  <c r="BQ39" i="52"/>
  <c r="CP39" i="52" s="1"/>
  <c r="DM39" i="52" s="1"/>
  <c r="BP39" i="52"/>
  <c r="BO39" i="52"/>
  <c r="BN39" i="52"/>
  <c r="BM39" i="52"/>
  <c r="BL39" i="52"/>
  <c r="BK39" i="52"/>
  <c r="CJ39" i="52" s="1"/>
  <c r="BJ39" i="52"/>
  <c r="CG38" i="52"/>
  <c r="CR38" i="52" s="1"/>
  <c r="DO38" i="52" s="1"/>
  <c r="EL38" i="52" s="1"/>
  <c r="CF38" i="52"/>
  <c r="DE38" i="52" s="1"/>
  <c r="CE38" i="52"/>
  <c r="CD38" i="52"/>
  <c r="CC38" i="52"/>
  <c r="CB38" i="52"/>
  <c r="CA38" i="52"/>
  <c r="CZ38" i="52" s="1"/>
  <c r="BZ38" i="52"/>
  <c r="BY38" i="52"/>
  <c r="CX38" i="52" s="1"/>
  <c r="BX38" i="52"/>
  <c r="CW38" i="52" s="1"/>
  <c r="FN38" i="52" s="1"/>
  <c r="BW38" i="52"/>
  <c r="BV38" i="52"/>
  <c r="BU38" i="52"/>
  <c r="BT38" i="52"/>
  <c r="BS38" i="52"/>
  <c r="BR38" i="52"/>
  <c r="CQ38" i="52" s="1"/>
  <c r="FH38" i="52" s="1"/>
  <c r="BQ38" i="52"/>
  <c r="CP38" i="52" s="1"/>
  <c r="BP38" i="52"/>
  <c r="CO38" i="52" s="1"/>
  <c r="BO38" i="52"/>
  <c r="BN38" i="52"/>
  <c r="BM38" i="52"/>
  <c r="BL38" i="52"/>
  <c r="BK38" i="52"/>
  <c r="BJ38" i="52"/>
  <c r="CL37" i="52"/>
  <c r="CJ37" i="52"/>
  <c r="CG37" i="52"/>
  <c r="DD37" i="52" s="1"/>
  <c r="CF37" i="52"/>
  <c r="CE37" i="52"/>
  <c r="CD37" i="52"/>
  <c r="CC37" i="52"/>
  <c r="CB37" i="52"/>
  <c r="DA37" i="52" s="1"/>
  <c r="CA37" i="52"/>
  <c r="BZ37" i="52"/>
  <c r="CY37" i="52" s="1"/>
  <c r="DV37" i="52" s="1"/>
  <c r="ES37" i="52" s="1"/>
  <c r="BY37" i="52"/>
  <c r="CX37" i="52" s="1"/>
  <c r="DU37" i="52" s="1"/>
  <c r="ER37" i="52" s="1"/>
  <c r="BX37" i="52"/>
  <c r="BW37" i="52"/>
  <c r="BV37" i="52"/>
  <c r="BU37" i="52"/>
  <c r="BT37" i="52"/>
  <c r="CS37" i="52" s="1"/>
  <c r="BS37" i="52"/>
  <c r="CR37" i="52" s="1"/>
  <c r="BR37" i="52"/>
  <c r="CQ37" i="52" s="1"/>
  <c r="FH37" i="52" s="1"/>
  <c r="BQ37" i="52"/>
  <c r="CP37" i="52" s="1"/>
  <c r="BP37" i="52"/>
  <c r="BO37" i="52"/>
  <c r="BN37" i="52"/>
  <c r="BM37" i="52"/>
  <c r="BL37" i="52"/>
  <c r="CK37" i="52" s="1"/>
  <c r="BK37" i="52"/>
  <c r="BJ37" i="52"/>
  <c r="CI37" i="52" s="1"/>
  <c r="CG36" i="52"/>
  <c r="DB36" i="52" s="1"/>
  <c r="CF36" i="52"/>
  <c r="DE36" i="52" s="1"/>
  <c r="FV36" i="52" s="1"/>
  <c r="CE36" i="52"/>
  <c r="DD36" i="52" s="1"/>
  <c r="CD36" i="52"/>
  <c r="CC36" i="52"/>
  <c r="CB36" i="52"/>
  <c r="CA36" i="52"/>
  <c r="BZ36" i="52"/>
  <c r="BY36" i="52"/>
  <c r="BX36" i="52"/>
  <c r="CW36" i="52" s="1"/>
  <c r="FN36" i="52" s="1"/>
  <c r="BW36" i="52"/>
  <c r="CV36" i="52" s="1"/>
  <c r="BV36" i="52"/>
  <c r="BU36" i="52"/>
  <c r="BT36" i="52"/>
  <c r="BS36" i="52"/>
  <c r="BR36" i="52"/>
  <c r="BQ36" i="52"/>
  <c r="BP36" i="52"/>
  <c r="CO36" i="52" s="1"/>
  <c r="FF36" i="52" s="1"/>
  <c r="BO36" i="52"/>
  <c r="CN36" i="52" s="1"/>
  <c r="BN36" i="52"/>
  <c r="BM36" i="52"/>
  <c r="CL36" i="52" s="1"/>
  <c r="BL36" i="52"/>
  <c r="BK36" i="52"/>
  <c r="BJ36" i="52"/>
  <c r="GB34" i="52"/>
  <c r="FX34" i="52"/>
  <c r="DE34" i="52"/>
  <c r="EB34" i="52" s="1"/>
  <c r="EY34" i="52" s="1"/>
  <c r="DD34" i="52"/>
  <c r="EA34" i="52" s="1"/>
  <c r="DC34" i="52"/>
  <c r="DZ34" i="52" s="1"/>
  <c r="DB34" i="52"/>
  <c r="DY34" i="52" s="1"/>
  <c r="EV34" i="52" s="1"/>
  <c r="DA34" i="52"/>
  <c r="DX34" i="52" s="1"/>
  <c r="EU34" i="52" s="1"/>
  <c r="CZ34" i="52"/>
  <c r="DW34" i="52" s="1"/>
  <c r="CY34" i="52"/>
  <c r="DV34" i="52" s="1"/>
  <c r="CX34" i="52"/>
  <c r="DU34" i="52" s="1"/>
  <c r="ER34" i="52" s="1"/>
  <c r="CW34" i="52"/>
  <c r="DT34" i="52" s="1"/>
  <c r="CV34" i="52"/>
  <c r="DS34" i="52" s="1"/>
  <c r="CU34" i="52"/>
  <c r="DR34" i="52" s="1"/>
  <c r="CT34" i="52"/>
  <c r="DQ34" i="52" s="1"/>
  <c r="CS34" i="52"/>
  <c r="DP34" i="52" s="1"/>
  <c r="FJ34" i="52" s="1"/>
  <c r="CR34" i="52"/>
  <c r="DO34" i="52" s="1"/>
  <c r="CQ34" i="52"/>
  <c r="DN34" i="52" s="1"/>
  <c r="CP34" i="52"/>
  <c r="DM34" i="52" s="1"/>
  <c r="CO34" i="52"/>
  <c r="DL34" i="52" s="1"/>
  <c r="FF34" i="52" s="1"/>
  <c r="CN34" i="52"/>
  <c r="DK34" i="52" s="1"/>
  <c r="CM34" i="52"/>
  <c r="DJ34" i="52" s="1"/>
  <c r="FD34" i="52" s="1"/>
  <c r="CL34" i="52"/>
  <c r="DI34" i="52" s="1"/>
  <c r="EF34" i="52" s="1"/>
  <c r="CK34" i="52"/>
  <c r="DH34" i="52" s="1"/>
  <c r="EE34" i="52" s="1"/>
  <c r="CJ34" i="52"/>
  <c r="DG34" i="52" s="1"/>
  <c r="CI34" i="52"/>
  <c r="DF34" i="52" s="1"/>
  <c r="CG34" i="52"/>
  <c r="CF34" i="52"/>
  <c r="CE34" i="52"/>
  <c r="CD34" i="52"/>
  <c r="CC34" i="52"/>
  <c r="CB34" i="52"/>
  <c r="CA34" i="52"/>
  <c r="BZ34" i="52"/>
  <c r="BY34" i="52"/>
  <c r="BX34" i="52"/>
  <c r="BW34" i="52"/>
  <c r="BV34" i="52"/>
  <c r="BU34" i="52"/>
  <c r="BT34" i="52"/>
  <c r="BS34" i="52"/>
  <c r="BR34" i="52"/>
  <c r="BQ34" i="52"/>
  <c r="BP34" i="52"/>
  <c r="BO34" i="52"/>
  <c r="BN34" i="52"/>
  <c r="BM34" i="52"/>
  <c r="BL34" i="52"/>
  <c r="BK34" i="52"/>
  <c r="BJ34" i="52"/>
  <c r="GB33" i="52"/>
  <c r="FX33" i="52" s="1"/>
  <c r="DE33" i="52"/>
  <c r="EB33" i="52" s="1"/>
  <c r="DD33" i="52"/>
  <c r="EA33" i="52" s="1"/>
  <c r="EX33" i="52" s="1"/>
  <c r="DC33" i="52"/>
  <c r="DZ33" i="52" s="1"/>
  <c r="DB33" i="52"/>
  <c r="DY33" i="52" s="1"/>
  <c r="DA33" i="52"/>
  <c r="DX33" i="52" s="1"/>
  <c r="CZ33" i="52"/>
  <c r="DW33" i="52" s="1"/>
  <c r="ET33" i="52" s="1"/>
  <c r="CY33" i="52"/>
  <c r="DV33" i="52" s="1"/>
  <c r="ES33" i="52" s="1"/>
  <c r="CX33" i="52"/>
  <c r="DU33" i="52" s="1"/>
  <c r="CW33" i="52"/>
  <c r="DT33" i="52" s="1"/>
  <c r="CV33" i="52"/>
  <c r="DS33" i="52" s="1"/>
  <c r="EP33" i="52" s="1"/>
  <c r="CU33" i="52"/>
  <c r="DR33" i="52" s="1"/>
  <c r="CT33" i="52"/>
  <c r="DQ33" i="52" s="1"/>
  <c r="FK33" i="52" s="1"/>
  <c r="CS33" i="52"/>
  <c r="DP33" i="52" s="1"/>
  <c r="FJ33" i="52" s="1"/>
  <c r="CR33" i="52"/>
  <c r="DO33" i="52" s="1"/>
  <c r="EL33" i="52" s="1"/>
  <c r="CQ33" i="52"/>
  <c r="DN33" i="52" s="1"/>
  <c r="FH33" i="52" s="1"/>
  <c r="CP33" i="52"/>
  <c r="DM33" i="52" s="1"/>
  <c r="CO33" i="52"/>
  <c r="DL33" i="52" s="1"/>
  <c r="CN33" i="52"/>
  <c r="DK33" i="52" s="1"/>
  <c r="CM33" i="52"/>
  <c r="DJ33" i="52" s="1"/>
  <c r="CL33" i="52"/>
  <c r="DI33" i="52" s="1"/>
  <c r="EF33" i="52" s="1"/>
  <c r="CK33" i="52"/>
  <c r="DH33" i="52" s="1"/>
  <c r="CJ33" i="52"/>
  <c r="DG33" i="52" s="1"/>
  <c r="ED33" i="52" s="1"/>
  <c r="CI33" i="52"/>
  <c r="DF33" i="52" s="1"/>
  <c r="EZ33" i="52" s="1"/>
  <c r="CG33" i="52"/>
  <c r="CF33" i="52"/>
  <c r="CE33" i="52"/>
  <c r="CD33" i="52"/>
  <c r="CC33" i="52"/>
  <c r="CB33" i="52"/>
  <c r="CA33" i="52"/>
  <c r="BZ33" i="52"/>
  <c r="BY33" i="52"/>
  <c r="BX33" i="52"/>
  <c r="BW33" i="52"/>
  <c r="BV33" i="52"/>
  <c r="BU33" i="52"/>
  <c r="BT33" i="52"/>
  <c r="BS33" i="52"/>
  <c r="BR33" i="52"/>
  <c r="BQ33" i="52"/>
  <c r="BP33" i="52"/>
  <c r="BO33" i="52"/>
  <c r="BN33" i="52"/>
  <c r="BM33" i="52"/>
  <c r="BL33" i="52"/>
  <c r="BK33" i="52"/>
  <c r="BJ33" i="52"/>
  <c r="CG32" i="52"/>
  <c r="CG31" i="52"/>
  <c r="CG30" i="52"/>
  <c r="CG29" i="52"/>
  <c r="EZ28" i="52"/>
  <c r="CG28" i="52"/>
  <c r="BL28" i="52"/>
  <c r="CK28" i="52" s="1"/>
  <c r="DH28" i="52" s="1"/>
  <c r="BK28" i="52"/>
  <c r="CJ28" i="52" s="1"/>
  <c r="DG28" i="52" s="1"/>
  <c r="BJ28" i="52"/>
  <c r="CI28" i="52" s="1"/>
  <c r="DF28" i="52" s="1"/>
  <c r="EC28" i="52" s="1"/>
  <c r="CG27" i="52"/>
  <c r="CG26" i="52"/>
  <c r="CG25" i="52"/>
  <c r="CG24" i="52"/>
  <c r="CR24" i="52" s="1"/>
  <c r="DO24" i="52" s="1"/>
  <c r="CF24" i="52"/>
  <c r="DE24" i="52" s="1"/>
  <c r="EB24" i="52" s="1"/>
  <c r="EY24" i="52" s="1"/>
  <c r="CE24" i="52"/>
  <c r="CD24" i="52"/>
  <c r="CC24" i="52"/>
  <c r="CB24" i="52"/>
  <c r="CA24" i="52"/>
  <c r="BZ24" i="52"/>
  <c r="BY24" i="52"/>
  <c r="CX24" i="52" s="1"/>
  <c r="DU24" i="52" s="1"/>
  <c r="FO24" i="52" s="1"/>
  <c r="BX24" i="52"/>
  <c r="BW24" i="52"/>
  <c r="CV24" i="52" s="1"/>
  <c r="DS24" i="52" s="1"/>
  <c r="BV24" i="52"/>
  <c r="BU24" i="52"/>
  <c r="BT24" i="52"/>
  <c r="BS24" i="52"/>
  <c r="BR24" i="52"/>
  <c r="BQ24" i="52"/>
  <c r="BP24" i="52"/>
  <c r="BO24" i="52"/>
  <c r="BN24" i="52"/>
  <c r="BM24" i="52"/>
  <c r="BL24" i="52"/>
  <c r="BK24" i="52"/>
  <c r="BJ24" i="52"/>
  <c r="CG23" i="52"/>
  <c r="CR23" i="52" s="1"/>
  <c r="DO23" i="52" s="1"/>
  <c r="CF23" i="52"/>
  <c r="CE23" i="52"/>
  <c r="CD23" i="52"/>
  <c r="CC23" i="52"/>
  <c r="CB23" i="52"/>
  <c r="CA23" i="52"/>
  <c r="BZ23" i="52"/>
  <c r="BY23" i="52"/>
  <c r="CX23" i="52" s="1"/>
  <c r="DU23" i="52" s="1"/>
  <c r="FO23" i="52" s="1"/>
  <c r="BX23" i="52"/>
  <c r="BW23" i="52"/>
  <c r="BV23" i="52"/>
  <c r="BU23" i="52"/>
  <c r="BT23" i="52"/>
  <c r="BS23" i="52"/>
  <c r="BR23" i="52"/>
  <c r="BQ23" i="52"/>
  <c r="CP23" i="52" s="1"/>
  <c r="DM23" i="52" s="1"/>
  <c r="BP23" i="52"/>
  <c r="BO23" i="52"/>
  <c r="BN23" i="52"/>
  <c r="BM23" i="52"/>
  <c r="BL23" i="52"/>
  <c r="BK23" i="52"/>
  <c r="BJ23" i="52"/>
  <c r="CW22" i="52"/>
  <c r="DT22" i="52" s="1"/>
  <c r="CV22" i="52"/>
  <c r="DS22" i="52" s="1"/>
  <c r="CO22" i="52"/>
  <c r="DL22" i="52" s="1"/>
  <c r="CN22" i="52"/>
  <c r="DK22" i="52" s="1"/>
  <c r="CG22" i="52"/>
  <c r="CF22" i="52"/>
  <c r="DE22" i="52" s="1"/>
  <c r="EB22" i="52" s="1"/>
  <c r="CE22" i="52"/>
  <c r="DD22" i="52" s="1"/>
  <c r="EA22" i="52" s="1"/>
  <c r="CD22" i="52"/>
  <c r="CC22" i="52"/>
  <c r="DB22" i="52" s="1"/>
  <c r="DY22" i="52" s="1"/>
  <c r="CB22" i="52"/>
  <c r="DA22" i="52" s="1"/>
  <c r="DX22" i="52" s="1"/>
  <c r="CA22" i="52"/>
  <c r="CZ22" i="52" s="1"/>
  <c r="DW22" i="52" s="1"/>
  <c r="BZ22" i="52"/>
  <c r="CY22" i="52" s="1"/>
  <c r="DV22" i="52" s="1"/>
  <c r="FP22" i="52" s="1"/>
  <c r="BY22" i="52"/>
  <c r="CX22" i="52" s="1"/>
  <c r="DU22" i="52" s="1"/>
  <c r="BX22" i="52"/>
  <c r="BW22" i="52"/>
  <c r="BV22" i="52"/>
  <c r="BU22" i="52"/>
  <c r="CT22" i="52" s="1"/>
  <c r="DQ22" i="52" s="1"/>
  <c r="BT22" i="52"/>
  <c r="CS22" i="52" s="1"/>
  <c r="DP22" i="52" s="1"/>
  <c r="BS22" i="52"/>
  <c r="CR22" i="52" s="1"/>
  <c r="DO22" i="52" s="1"/>
  <c r="BR22" i="52"/>
  <c r="CQ22" i="52" s="1"/>
  <c r="DN22" i="52" s="1"/>
  <c r="EK22" i="52" s="1"/>
  <c r="BQ22" i="52"/>
  <c r="CP22" i="52" s="1"/>
  <c r="DM22" i="52" s="1"/>
  <c r="FG22" i="52" s="1"/>
  <c r="BP22" i="52"/>
  <c r="BO22" i="52"/>
  <c r="BN22" i="52"/>
  <c r="BM22" i="52"/>
  <c r="CL22" i="52" s="1"/>
  <c r="DI22" i="52" s="1"/>
  <c r="BL22" i="52"/>
  <c r="CK22" i="52" s="1"/>
  <c r="DH22" i="52" s="1"/>
  <c r="BK22" i="52"/>
  <c r="CJ22" i="52" s="1"/>
  <c r="DG22" i="52" s="1"/>
  <c r="BJ22" i="52"/>
  <c r="CI22" i="52" s="1"/>
  <c r="DF22" i="52" s="1"/>
  <c r="EZ22" i="52" s="1"/>
  <c r="CZ21" i="52"/>
  <c r="DW21" i="52" s="1"/>
  <c r="CY21" i="52"/>
  <c r="DV21" i="52" s="1"/>
  <c r="CG21" i="52"/>
  <c r="CF21" i="52"/>
  <c r="CE21" i="52"/>
  <c r="DD21" i="52" s="1"/>
  <c r="EA21" i="52" s="1"/>
  <c r="EX21" i="52" s="1"/>
  <c r="CD21" i="52"/>
  <c r="DC21" i="52" s="1"/>
  <c r="DZ21" i="52" s="1"/>
  <c r="FT21" i="52" s="1"/>
  <c r="CC21" i="52"/>
  <c r="DB21" i="52" s="1"/>
  <c r="DY21" i="52" s="1"/>
  <c r="CB21" i="52"/>
  <c r="DA21" i="52" s="1"/>
  <c r="DX21" i="52" s="1"/>
  <c r="FR21" i="52" s="1"/>
  <c r="CA21" i="52"/>
  <c r="BZ21" i="52"/>
  <c r="BY21" i="52"/>
  <c r="CX21" i="52" s="1"/>
  <c r="DU21" i="52" s="1"/>
  <c r="BX21" i="52"/>
  <c r="BW21" i="52"/>
  <c r="CV21" i="52" s="1"/>
  <c r="DS21" i="52" s="1"/>
  <c r="EP21" i="52" s="1"/>
  <c r="BV21" i="52"/>
  <c r="CU21" i="52" s="1"/>
  <c r="DR21" i="52" s="1"/>
  <c r="BU21" i="52"/>
  <c r="CT21" i="52" s="1"/>
  <c r="DQ21" i="52" s="1"/>
  <c r="BT21" i="52"/>
  <c r="CS21" i="52" s="1"/>
  <c r="DP21" i="52" s="1"/>
  <c r="FJ21" i="52" s="1"/>
  <c r="BS21" i="52"/>
  <c r="CR21" i="52" s="1"/>
  <c r="DO21" i="52" s="1"/>
  <c r="BR21" i="52"/>
  <c r="CQ21" i="52" s="1"/>
  <c r="DN21" i="52" s="1"/>
  <c r="BQ21" i="52"/>
  <c r="CP21" i="52" s="1"/>
  <c r="DM21" i="52" s="1"/>
  <c r="BP21" i="52"/>
  <c r="BO21" i="52"/>
  <c r="CN21" i="52" s="1"/>
  <c r="DK21" i="52" s="1"/>
  <c r="EH21" i="52" s="1"/>
  <c r="BN21" i="52"/>
  <c r="CM21" i="52" s="1"/>
  <c r="DJ21" i="52" s="1"/>
  <c r="BM21" i="52"/>
  <c r="CL21" i="52" s="1"/>
  <c r="DI21" i="52" s="1"/>
  <c r="BL21" i="52"/>
  <c r="CK21" i="52" s="1"/>
  <c r="DH21" i="52" s="1"/>
  <c r="BK21" i="52"/>
  <c r="BJ21" i="52"/>
  <c r="DT20" i="52"/>
  <c r="DE20" i="52"/>
  <c r="EB20" i="52" s="1"/>
  <c r="CG20" i="52"/>
  <c r="CY20" i="52" s="1"/>
  <c r="DV20" i="52" s="1"/>
  <c r="FP20" i="52" s="1"/>
  <c r="CF20" i="52"/>
  <c r="CE20" i="52"/>
  <c r="DD20" i="52" s="1"/>
  <c r="EA20" i="52" s="1"/>
  <c r="CD20" i="52"/>
  <c r="DC20" i="52" s="1"/>
  <c r="DZ20" i="52" s="1"/>
  <c r="CC20" i="52"/>
  <c r="CB20" i="52"/>
  <c r="CA20" i="52"/>
  <c r="BZ20" i="52"/>
  <c r="BY20" i="52"/>
  <c r="BX20" i="52"/>
  <c r="CW20" i="52" s="1"/>
  <c r="BW20" i="52"/>
  <c r="CV20" i="52" s="1"/>
  <c r="DS20" i="52" s="1"/>
  <c r="BV20" i="52"/>
  <c r="CU20" i="52" s="1"/>
  <c r="DR20" i="52" s="1"/>
  <c r="BU20" i="52"/>
  <c r="BT20" i="52"/>
  <c r="BS20" i="52"/>
  <c r="BR20" i="52"/>
  <c r="BQ20" i="52"/>
  <c r="BP20" i="52"/>
  <c r="CO20" i="52" s="1"/>
  <c r="DL20" i="52" s="1"/>
  <c r="BO20" i="52"/>
  <c r="CN20" i="52" s="1"/>
  <c r="DK20" i="52" s="1"/>
  <c r="BN20" i="52"/>
  <c r="CM20" i="52" s="1"/>
  <c r="DJ20" i="52" s="1"/>
  <c r="BM20" i="52"/>
  <c r="BL20" i="52"/>
  <c r="BK20" i="52"/>
  <c r="BJ20" i="52"/>
  <c r="CG19" i="52"/>
  <c r="DU18" i="52"/>
  <c r="CV18" i="52"/>
  <c r="DS18" i="52" s="1"/>
  <c r="CU18" i="52"/>
  <c r="DR18" i="52" s="1"/>
  <c r="CG18" i="52"/>
  <c r="CF18" i="52"/>
  <c r="CE18" i="52"/>
  <c r="CD18" i="52"/>
  <c r="CC18" i="52"/>
  <c r="DB18" i="52" s="1"/>
  <c r="DY18" i="52" s="1"/>
  <c r="CB18" i="52"/>
  <c r="CA18" i="52"/>
  <c r="BZ18" i="52"/>
  <c r="BY18" i="52"/>
  <c r="CX18" i="52" s="1"/>
  <c r="BX18" i="52"/>
  <c r="CW18" i="52" s="1"/>
  <c r="DT18" i="52" s="1"/>
  <c r="BW18" i="52"/>
  <c r="BV18" i="52"/>
  <c r="BU18" i="52"/>
  <c r="BT18" i="52"/>
  <c r="BS18" i="52"/>
  <c r="BR18" i="52"/>
  <c r="BQ18" i="52"/>
  <c r="CP18" i="52" s="1"/>
  <c r="DM18" i="52" s="1"/>
  <c r="BP18" i="52"/>
  <c r="BO18" i="52"/>
  <c r="BN18" i="52"/>
  <c r="BM18" i="52"/>
  <c r="BL18" i="52"/>
  <c r="BK18" i="52"/>
  <c r="BJ18" i="52"/>
  <c r="CG17" i="52"/>
  <c r="CZ17" i="52" s="1"/>
  <c r="DW17" i="52" s="1"/>
  <c r="CF17" i="52"/>
  <c r="CE17" i="52"/>
  <c r="CD17" i="52"/>
  <c r="CC17" i="52"/>
  <c r="CB17" i="52"/>
  <c r="CA17" i="52"/>
  <c r="BZ17" i="52"/>
  <c r="BY17" i="52"/>
  <c r="CX17" i="52" s="1"/>
  <c r="DU17" i="52" s="1"/>
  <c r="BX17" i="52"/>
  <c r="BW17" i="52"/>
  <c r="BV17" i="52"/>
  <c r="BU17" i="52"/>
  <c r="CT17" i="52" s="1"/>
  <c r="DQ17" i="52" s="1"/>
  <c r="EN17" i="52" s="1"/>
  <c r="BT17" i="52"/>
  <c r="BS17" i="52"/>
  <c r="CR17" i="52" s="1"/>
  <c r="DO17" i="52" s="1"/>
  <c r="BR17" i="52"/>
  <c r="CQ17" i="52" s="1"/>
  <c r="DN17" i="52" s="1"/>
  <c r="BQ17" i="52"/>
  <c r="CP17" i="52" s="1"/>
  <c r="DM17" i="52" s="1"/>
  <c r="BP17" i="52"/>
  <c r="BO17" i="52"/>
  <c r="BN17" i="52"/>
  <c r="BM17" i="52"/>
  <c r="CL17" i="52" s="1"/>
  <c r="DI17" i="52" s="1"/>
  <c r="BL17" i="52"/>
  <c r="CK17" i="52" s="1"/>
  <c r="DH17" i="52" s="1"/>
  <c r="BK17" i="52"/>
  <c r="BJ17" i="52"/>
  <c r="CI17" i="52" s="1"/>
  <c r="DF17" i="52" s="1"/>
  <c r="CG16" i="52"/>
  <c r="CX15" i="52"/>
  <c r="DU15" i="52" s="1"/>
  <c r="CG15" i="52"/>
  <c r="CU15" i="52" s="1"/>
  <c r="DR15" i="52" s="1"/>
  <c r="CF15" i="52"/>
  <c r="DE15" i="52" s="1"/>
  <c r="EB15" i="52" s="1"/>
  <c r="FV15" i="52" s="1"/>
  <c r="CE15" i="52"/>
  <c r="DD15" i="52" s="1"/>
  <c r="EA15" i="52" s="1"/>
  <c r="EX15" i="52" s="1"/>
  <c r="CD15" i="52"/>
  <c r="CC15" i="52"/>
  <c r="CB15" i="52"/>
  <c r="CA15" i="52"/>
  <c r="BZ15" i="52"/>
  <c r="BY15" i="52"/>
  <c r="BX15" i="52"/>
  <c r="CW15" i="52" s="1"/>
  <c r="DT15" i="52" s="1"/>
  <c r="BW15" i="52"/>
  <c r="CV15" i="52" s="1"/>
  <c r="DS15" i="52" s="1"/>
  <c r="FM15" i="52" s="1"/>
  <c r="BV15" i="52"/>
  <c r="BU15" i="52"/>
  <c r="BT15" i="52"/>
  <c r="CS15" i="52" s="1"/>
  <c r="DP15" i="52" s="1"/>
  <c r="FJ15" i="52" s="1"/>
  <c r="BS15" i="52"/>
  <c r="BR15" i="52"/>
  <c r="BQ15" i="52"/>
  <c r="BP15" i="52"/>
  <c r="CO15" i="52" s="1"/>
  <c r="DL15" i="52" s="1"/>
  <c r="BO15" i="52"/>
  <c r="CN15" i="52" s="1"/>
  <c r="DK15" i="52" s="1"/>
  <c r="BN15" i="52"/>
  <c r="BM15" i="52"/>
  <c r="BL15" i="52"/>
  <c r="BK15" i="52"/>
  <c r="BJ15" i="52"/>
  <c r="CG14" i="52"/>
  <c r="CF14" i="52"/>
  <c r="DE14" i="52" s="1"/>
  <c r="EB14" i="52" s="1"/>
  <c r="CE14" i="52"/>
  <c r="CD14" i="52"/>
  <c r="CC14" i="52"/>
  <c r="CB14" i="52"/>
  <c r="CA14" i="52"/>
  <c r="BZ14" i="52"/>
  <c r="CY14" i="52" s="1"/>
  <c r="DV14" i="52" s="1"/>
  <c r="BY14" i="52"/>
  <c r="CX14" i="52" s="1"/>
  <c r="DU14" i="52" s="1"/>
  <c r="FO14" i="52" s="1"/>
  <c r="BX14" i="52"/>
  <c r="CW14" i="52" s="1"/>
  <c r="DT14" i="52" s="1"/>
  <c r="BW14" i="52"/>
  <c r="BV14" i="52"/>
  <c r="BU14" i="52"/>
  <c r="BT14" i="52"/>
  <c r="BS14" i="52"/>
  <c r="CR14" i="52" s="1"/>
  <c r="DO14" i="52" s="1"/>
  <c r="BR14" i="52"/>
  <c r="CQ14" i="52" s="1"/>
  <c r="DN14" i="52" s="1"/>
  <c r="BQ14" i="52"/>
  <c r="BP14" i="52"/>
  <c r="CO14" i="52" s="1"/>
  <c r="DL14" i="52" s="1"/>
  <c r="BO14" i="52"/>
  <c r="BN14" i="52"/>
  <c r="BM14" i="52"/>
  <c r="BL14" i="52"/>
  <c r="BK14" i="52"/>
  <c r="BJ14" i="52"/>
  <c r="CZ13" i="52"/>
  <c r="DW13" i="52" s="1"/>
  <c r="CG13" i="52"/>
  <c r="CL13" i="52" s="1"/>
  <c r="DI13" i="52" s="1"/>
  <c r="FC13" i="52" s="1"/>
  <c r="CF13" i="52"/>
  <c r="DE13" i="52" s="1"/>
  <c r="EB13" i="52" s="1"/>
  <c r="CE13" i="52"/>
  <c r="CD13" i="52"/>
  <c r="CC13" i="52"/>
  <c r="CB13" i="52"/>
  <c r="CA13" i="52"/>
  <c r="BZ13" i="52"/>
  <c r="BY13" i="52"/>
  <c r="CX13" i="52" s="1"/>
  <c r="DU13" i="52" s="1"/>
  <c r="FO13" i="52" s="1"/>
  <c r="BX13" i="52"/>
  <c r="CW13" i="52" s="1"/>
  <c r="DT13" i="52" s="1"/>
  <c r="EQ13" i="52" s="1"/>
  <c r="BW13" i="52"/>
  <c r="CV13" i="52" s="1"/>
  <c r="DS13" i="52" s="1"/>
  <c r="BV13" i="52"/>
  <c r="CU13" i="52" s="1"/>
  <c r="DR13" i="52" s="1"/>
  <c r="BU13" i="52"/>
  <c r="CT13" i="52" s="1"/>
  <c r="DQ13" i="52" s="1"/>
  <c r="BT13" i="52"/>
  <c r="BS13" i="52"/>
  <c r="BR13" i="52"/>
  <c r="BQ13" i="52"/>
  <c r="CP13" i="52" s="1"/>
  <c r="DM13" i="52" s="1"/>
  <c r="BP13" i="52"/>
  <c r="CO13" i="52" s="1"/>
  <c r="DL13" i="52" s="1"/>
  <c r="BO13" i="52"/>
  <c r="CN13" i="52" s="1"/>
  <c r="DK13" i="52" s="1"/>
  <c r="BN13" i="52"/>
  <c r="BM13" i="52"/>
  <c r="BL13" i="52"/>
  <c r="BK13" i="52"/>
  <c r="BJ13" i="52"/>
  <c r="CG12" i="52"/>
  <c r="CU12" i="52" s="1"/>
  <c r="DR12" i="52" s="1"/>
  <c r="CF12" i="52"/>
  <c r="DE12" i="52" s="1"/>
  <c r="EB12" i="52" s="1"/>
  <c r="CE12" i="52"/>
  <c r="DD12" i="52" s="1"/>
  <c r="EA12" i="52" s="1"/>
  <c r="CD12" i="52"/>
  <c r="CC12" i="52"/>
  <c r="CB12" i="52"/>
  <c r="CA12" i="52"/>
  <c r="BZ12" i="52"/>
  <c r="BY12" i="52"/>
  <c r="CX12" i="52" s="1"/>
  <c r="DU12" i="52" s="1"/>
  <c r="BX12" i="52"/>
  <c r="BW12" i="52"/>
  <c r="CV12" i="52" s="1"/>
  <c r="DS12" i="52" s="1"/>
  <c r="BV12" i="52"/>
  <c r="BU12" i="52"/>
  <c r="BT12" i="52"/>
  <c r="BS12" i="52"/>
  <c r="BR12" i="52"/>
  <c r="BQ12" i="52"/>
  <c r="CP12" i="52" s="1"/>
  <c r="DM12" i="52" s="1"/>
  <c r="BP12" i="52"/>
  <c r="BO12" i="52"/>
  <c r="CN12" i="52" s="1"/>
  <c r="DK12" i="52" s="1"/>
  <c r="BN12" i="52"/>
  <c r="BM12" i="52"/>
  <c r="BL12" i="52"/>
  <c r="BK12" i="52"/>
  <c r="BJ12" i="52"/>
  <c r="EG11" i="52"/>
  <c r="CV11" i="52"/>
  <c r="DS11" i="52" s="1"/>
  <c r="EP11" i="52" s="1"/>
  <c r="CU11" i="52"/>
  <c r="DR11" i="52" s="1"/>
  <c r="FL11" i="52" s="1"/>
  <c r="CG11" i="52"/>
  <c r="DD11" i="52" s="1"/>
  <c r="EA11" i="52" s="1"/>
  <c r="CF11" i="52"/>
  <c r="CE11" i="52"/>
  <c r="CD11" i="52"/>
  <c r="DC11" i="52" s="1"/>
  <c r="DZ11" i="52" s="1"/>
  <c r="CC11" i="52"/>
  <c r="DB11" i="52" s="1"/>
  <c r="DY11" i="52" s="1"/>
  <c r="CB11" i="52"/>
  <c r="DA11" i="52" s="1"/>
  <c r="DX11" i="52" s="1"/>
  <c r="CA11" i="52"/>
  <c r="CZ11" i="52" s="1"/>
  <c r="DW11" i="52" s="1"/>
  <c r="BZ11" i="52"/>
  <c r="BY11" i="52"/>
  <c r="CX11" i="52" s="1"/>
  <c r="DU11" i="52" s="1"/>
  <c r="FO11" i="52" s="1"/>
  <c r="BX11" i="52"/>
  <c r="BW11" i="52"/>
  <c r="BV11" i="52"/>
  <c r="BU11" i="52"/>
  <c r="CT11" i="52" s="1"/>
  <c r="DQ11" i="52" s="1"/>
  <c r="BT11" i="52"/>
  <c r="CS11" i="52" s="1"/>
  <c r="DP11" i="52" s="1"/>
  <c r="BS11" i="52"/>
  <c r="CR11" i="52" s="1"/>
  <c r="DO11" i="52" s="1"/>
  <c r="BR11" i="52"/>
  <c r="CQ11" i="52" s="1"/>
  <c r="DN11" i="52" s="1"/>
  <c r="BQ11" i="52"/>
  <c r="CP11" i="52" s="1"/>
  <c r="DM11" i="52" s="1"/>
  <c r="FG11" i="52" s="1"/>
  <c r="BP11" i="52"/>
  <c r="BO11" i="52"/>
  <c r="BN11" i="52"/>
  <c r="CM11" i="52" s="1"/>
  <c r="DJ11" i="52" s="1"/>
  <c r="FD11" i="52" s="1"/>
  <c r="BM11" i="52"/>
  <c r="CL11" i="52" s="1"/>
  <c r="DI11" i="52" s="1"/>
  <c r="EF11" i="52" s="1"/>
  <c r="BL11" i="52"/>
  <c r="CK11" i="52" s="1"/>
  <c r="DH11" i="52" s="1"/>
  <c r="BK11" i="52"/>
  <c r="CJ11" i="52" s="1"/>
  <c r="DG11" i="52" s="1"/>
  <c r="BJ11" i="52"/>
  <c r="CX10" i="52"/>
  <c r="DU10" i="52" s="1"/>
  <c r="CW10" i="52"/>
  <c r="DT10" i="52" s="1"/>
  <c r="CN10" i="52"/>
  <c r="DK10" i="52" s="1"/>
  <c r="CM10" i="52"/>
  <c r="DJ10" i="52" s="1"/>
  <c r="CG10" i="52"/>
  <c r="DD10" i="52" s="1"/>
  <c r="EA10" i="52" s="1"/>
  <c r="CF10" i="52"/>
  <c r="DE10" i="52" s="1"/>
  <c r="EB10" i="52" s="1"/>
  <c r="FV10" i="52" s="1"/>
  <c r="CE10" i="52"/>
  <c r="CD10" i="52"/>
  <c r="CC10" i="52"/>
  <c r="DB10" i="52" s="1"/>
  <c r="DY10" i="52" s="1"/>
  <c r="EV10" i="52" s="1"/>
  <c r="CB10" i="52"/>
  <c r="DA10" i="52" s="1"/>
  <c r="DX10" i="52" s="1"/>
  <c r="CA10" i="52"/>
  <c r="BZ10" i="52"/>
  <c r="BY10" i="52"/>
  <c r="BX10" i="52"/>
  <c r="BW10" i="52"/>
  <c r="BV10" i="52"/>
  <c r="BU10" i="52"/>
  <c r="CT10" i="52" s="1"/>
  <c r="DQ10" i="52" s="1"/>
  <c r="FK10" i="52" s="1"/>
  <c r="BT10" i="52"/>
  <c r="CS10" i="52" s="1"/>
  <c r="DP10" i="52" s="1"/>
  <c r="FJ10" i="52" s="1"/>
  <c r="BS10" i="52"/>
  <c r="BR10" i="52"/>
  <c r="BQ10" i="52"/>
  <c r="CP10" i="52" s="1"/>
  <c r="DM10" i="52" s="1"/>
  <c r="BP10" i="52"/>
  <c r="CO10" i="52" s="1"/>
  <c r="DL10" i="52" s="1"/>
  <c r="BO10" i="52"/>
  <c r="BN10" i="52"/>
  <c r="BM10" i="52"/>
  <c r="CL10" i="52" s="1"/>
  <c r="DI10" i="52" s="1"/>
  <c r="FC10" i="52" s="1"/>
  <c r="BL10" i="52"/>
  <c r="CK10" i="52" s="1"/>
  <c r="DH10" i="52" s="1"/>
  <c r="BK10" i="52"/>
  <c r="CJ10" i="52" s="1"/>
  <c r="DG10" i="52" s="1"/>
  <c r="BJ10" i="52"/>
  <c r="CI10" i="52" s="1"/>
  <c r="DF10" i="52" s="1"/>
  <c r="EZ10" i="52" s="1"/>
  <c r="DT9" i="52"/>
  <c r="FN9" i="52" s="1"/>
  <c r="CG9" i="52"/>
  <c r="CS9" i="52" s="1"/>
  <c r="DP9" i="52" s="1"/>
  <c r="CF9" i="52"/>
  <c r="DE9" i="52" s="1"/>
  <c r="EB9" i="52" s="1"/>
  <c r="CE9" i="52"/>
  <c r="DD9" i="52" s="1"/>
  <c r="EA9" i="52" s="1"/>
  <c r="CD9" i="52"/>
  <c r="DC9" i="52" s="1"/>
  <c r="DZ9" i="52" s="1"/>
  <c r="CC9" i="52"/>
  <c r="CB9" i="52"/>
  <c r="CA9" i="52"/>
  <c r="BZ9" i="52"/>
  <c r="BY9" i="52"/>
  <c r="BX9" i="52"/>
  <c r="CW9" i="52" s="1"/>
  <c r="BW9" i="52"/>
  <c r="CV9" i="52" s="1"/>
  <c r="DS9" i="52" s="1"/>
  <c r="BV9" i="52"/>
  <c r="BU9" i="52"/>
  <c r="CT9" i="52" s="1"/>
  <c r="DQ9" i="52" s="1"/>
  <c r="BT9" i="52"/>
  <c r="BS9" i="52"/>
  <c r="BR9" i="52"/>
  <c r="BQ9" i="52"/>
  <c r="CP9" i="52" s="1"/>
  <c r="DM9" i="52" s="1"/>
  <c r="FG9" i="52" s="1"/>
  <c r="BP9" i="52"/>
  <c r="CO9" i="52" s="1"/>
  <c r="DL9" i="52" s="1"/>
  <c r="BO9" i="52"/>
  <c r="CN9" i="52" s="1"/>
  <c r="DK9" i="52" s="1"/>
  <c r="EH9" i="52" s="1"/>
  <c r="BN9" i="52"/>
  <c r="BM9" i="52"/>
  <c r="BL9" i="52"/>
  <c r="BK9" i="52"/>
  <c r="BJ9" i="52"/>
  <c r="DU8" i="52"/>
  <c r="CZ8" i="52"/>
  <c r="DW8" i="52" s="1"/>
  <c r="CY8" i="52"/>
  <c r="DV8" i="52" s="1"/>
  <c r="CO8" i="52"/>
  <c r="DL8" i="52" s="1"/>
  <c r="CG8" i="52"/>
  <c r="DE8" i="52" s="1"/>
  <c r="EB8" i="52" s="1"/>
  <c r="CF8" i="52"/>
  <c r="CE8" i="52"/>
  <c r="DD8" i="52" s="1"/>
  <c r="EA8" i="52" s="1"/>
  <c r="CD8" i="52"/>
  <c r="DC8" i="52" s="1"/>
  <c r="DZ8" i="52" s="1"/>
  <c r="CC8" i="52"/>
  <c r="CB8" i="52"/>
  <c r="CA8" i="52"/>
  <c r="BZ8" i="52"/>
  <c r="BY8" i="52"/>
  <c r="CX8" i="52" s="1"/>
  <c r="BX8" i="52"/>
  <c r="BW8" i="52"/>
  <c r="CV8" i="52" s="1"/>
  <c r="DS8" i="52" s="1"/>
  <c r="BV8" i="52"/>
  <c r="CU8" i="52" s="1"/>
  <c r="DR8" i="52" s="1"/>
  <c r="BU8" i="52"/>
  <c r="BT8" i="52"/>
  <c r="BS8" i="52"/>
  <c r="BR8" i="52"/>
  <c r="CQ8" i="52" s="1"/>
  <c r="DN8" i="52" s="1"/>
  <c r="BQ8" i="52"/>
  <c r="CP8" i="52" s="1"/>
  <c r="DM8" i="52" s="1"/>
  <c r="BP8" i="52"/>
  <c r="BO8" i="52"/>
  <c r="CN8" i="52" s="1"/>
  <c r="DK8" i="52" s="1"/>
  <c r="BN8" i="52"/>
  <c r="CM8" i="52" s="1"/>
  <c r="DJ8" i="52" s="1"/>
  <c r="BM8" i="52"/>
  <c r="BL8" i="52"/>
  <c r="BK8" i="52"/>
  <c r="BJ8" i="52"/>
  <c r="CI8" i="52" s="1"/>
  <c r="DF8" i="52" s="1"/>
  <c r="CG7" i="52"/>
  <c r="CF7" i="52"/>
  <c r="DE7" i="52" s="1"/>
  <c r="EB7" i="52" s="1"/>
  <c r="FV7" i="52" s="1"/>
  <c r="CE7" i="52"/>
  <c r="DD7" i="52" s="1"/>
  <c r="EA7" i="52" s="1"/>
  <c r="CD7" i="52"/>
  <c r="DC7" i="52" s="1"/>
  <c r="DZ7" i="52" s="1"/>
  <c r="CC7" i="52"/>
  <c r="CB7" i="52"/>
  <c r="CA7" i="52"/>
  <c r="BZ7" i="52"/>
  <c r="BY7" i="52"/>
  <c r="BX7" i="52"/>
  <c r="CW7" i="52" s="1"/>
  <c r="DT7" i="52" s="1"/>
  <c r="FN7" i="52" s="1"/>
  <c r="BW7" i="52"/>
  <c r="CV7" i="52" s="1"/>
  <c r="DS7" i="52" s="1"/>
  <c r="BV7" i="52"/>
  <c r="CU7" i="52" s="1"/>
  <c r="DR7" i="52" s="1"/>
  <c r="BU7" i="52"/>
  <c r="BT7" i="52"/>
  <c r="BS7" i="52"/>
  <c r="BR7" i="52"/>
  <c r="BQ7" i="52"/>
  <c r="BP7" i="52"/>
  <c r="CO7" i="52" s="1"/>
  <c r="DL7" i="52" s="1"/>
  <c r="FF7" i="52" s="1"/>
  <c r="BO7" i="52"/>
  <c r="CN7" i="52" s="1"/>
  <c r="DK7" i="52" s="1"/>
  <c r="BN7" i="52"/>
  <c r="CM7" i="52" s="1"/>
  <c r="DJ7" i="52" s="1"/>
  <c r="BM7" i="52"/>
  <c r="BL7" i="52"/>
  <c r="BK7" i="52"/>
  <c r="BJ7" i="52"/>
  <c r="CG6" i="52"/>
  <c r="CF6" i="52"/>
  <c r="CE6" i="52"/>
  <c r="CD6" i="52"/>
  <c r="CC6" i="52"/>
  <c r="CB6" i="52"/>
  <c r="CA6" i="52"/>
  <c r="BZ6" i="52"/>
  <c r="BY6" i="52"/>
  <c r="CX6" i="52" s="1"/>
  <c r="DU6" i="52" s="1"/>
  <c r="BX6" i="52"/>
  <c r="BW6" i="52"/>
  <c r="BV6" i="52"/>
  <c r="BU6" i="52"/>
  <c r="BT6" i="52"/>
  <c r="BS6" i="52"/>
  <c r="BR6" i="52"/>
  <c r="CQ6" i="52" s="1"/>
  <c r="DN6" i="52" s="1"/>
  <c r="BQ6" i="52"/>
  <c r="CP6" i="52" s="1"/>
  <c r="DM6" i="52" s="1"/>
  <c r="BP6" i="52"/>
  <c r="BO6" i="52"/>
  <c r="BN6" i="52"/>
  <c r="BM6" i="52"/>
  <c r="BL6" i="52"/>
  <c r="BK6" i="52"/>
  <c r="BJ6" i="52"/>
  <c r="BB72" i="51"/>
  <c r="BB71" i="51"/>
  <c r="AW56" i="51"/>
  <c r="AR56" i="51"/>
  <c r="AX48" i="52" s="1"/>
  <c r="BU48" i="52" s="1"/>
  <c r="CT48" i="52" s="1"/>
  <c r="AF56" i="51"/>
  <c r="AV56" i="51" s="1"/>
  <c r="AF54" i="51"/>
  <c r="AF48" i="51"/>
  <c r="AV48" i="51" s="1"/>
  <c r="AA27" i="52" s="1"/>
  <c r="BY27" i="52" s="1"/>
  <c r="CX27" i="52" s="1"/>
  <c r="DU27" i="52" s="1"/>
  <c r="BC46" i="51"/>
  <c r="BB46" i="51"/>
  <c r="BA46" i="51"/>
  <c r="AZ46" i="51"/>
  <c r="AY46" i="51"/>
  <c r="AX46" i="51"/>
  <c r="AW46" i="51"/>
  <c r="AV46" i="51"/>
  <c r="AU46" i="51"/>
  <c r="AT46" i="51"/>
  <c r="AS46" i="51"/>
  <c r="AR46" i="51"/>
  <c r="AQ46" i="51"/>
  <c r="AP46" i="51"/>
  <c r="AO46" i="51"/>
  <c r="AN46" i="51"/>
  <c r="AN48" i="51" s="1"/>
  <c r="S27" i="52" s="1"/>
  <c r="BQ27" i="52" s="1"/>
  <c r="CP27" i="52" s="1"/>
  <c r="DM27" i="52" s="1"/>
  <c r="AM46" i="51"/>
  <c r="AL46" i="51"/>
  <c r="AK46" i="51"/>
  <c r="AJ46" i="51"/>
  <c r="AI46" i="51"/>
  <c r="AH46" i="51"/>
  <c r="AG46" i="51"/>
  <c r="BC45" i="51"/>
  <c r="AH26" i="52" s="1"/>
  <c r="CF26" i="52" s="1"/>
  <c r="DE26" i="52" s="1"/>
  <c r="EB26" i="52" s="1"/>
  <c r="AF45" i="51"/>
  <c r="BC43" i="51"/>
  <c r="BB43" i="51"/>
  <c r="BA43" i="51"/>
  <c r="AZ43" i="51"/>
  <c r="AY43" i="51"/>
  <c r="AX43" i="51"/>
  <c r="AW43" i="51"/>
  <c r="AV43" i="51"/>
  <c r="AU43" i="51"/>
  <c r="AT43" i="51"/>
  <c r="AS43" i="51"/>
  <c r="BA45" i="51" s="1"/>
  <c r="AF26" i="52" s="1"/>
  <c r="CD26" i="52" s="1"/>
  <c r="DC26" i="52" s="1"/>
  <c r="DZ26" i="52" s="1"/>
  <c r="AR43" i="51"/>
  <c r="AR45" i="51" s="1"/>
  <c r="W26" i="52" s="1"/>
  <c r="BU26" i="52" s="1"/>
  <c r="CT26" i="52" s="1"/>
  <c r="DQ26" i="52" s="1"/>
  <c r="AQ43" i="51"/>
  <c r="AQ45" i="51" s="1"/>
  <c r="V26" i="52" s="1"/>
  <c r="BT26" i="52" s="1"/>
  <c r="CS26" i="52" s="1"/>
  <c r="DP26" i="52" s="1"/>
  <c r="AP43" i="51"/>
  <c r="AP45" i="51" s="1"/>
  <c r="U26" i="52" s="1"/>
  <c r="BS26" i="52" s="1"/>
  <c r="CR26" i="52" s="1"/>
  <c r="DO26" i="52" s="1"/>
  <c r="AO43" i="51"/>
  <c r="AO45" i="51" s="1"/>
  <c r="T26" i="52" s="1"/>
  <c r="BR26" i="52" s="1"/>
  <c r="CQ26" i="52" s="1"/>
  <c r="DN26" i="52" s="1"/>
  <c r="AN43" i="51"/>
  <c r="AN45" i="51" s="1"/>
  <c r="S26" i="52" s="1"/>
  <c r="BQ26" i="52" s="1"/>
  <c r="CP26" i="52" s="1"/>
  <c r="DM26" i="52" s="1"/>
  <c r="AM43" i="51"/>
  <c r="AM45" i="51" s="1"/>
  <c r="R26" i="52" s="1"/>
  <c r="BP26" i="52" s="1"/>
  <c r="CO26" i="52" s="1"/>
  <c r="DL26" i="52" s="1"/>
  <c r="AL43" i="51"/>
  <c r="AL45" i="51" s="1"/>
  <c r="Q26" i="52" s="1"/>
  <c r="BO26" i="52" s="1"/>
  <c r="CN26" i="52" s="1"/>
  <c r="DK26" i="52" s="1"/>
  <c r="AK43" i="51"/>
  <c r="AK45" i="51" s="1"/>
  <c r="P26" i="52" s="1"/>
  <c r="BN26" i="52" s="1"/>
  <c r="CM26" i="52" s="1"/>
  <c r="DJ26" i="52" s="1"/>
  <c r="AJ43" i="51"/>
  <c r="AJ45" i="51" s="1"/>
  <c r="O26" i="52" s="1"/>
  <c r="BM26" i="52" s="1"/>
  <c r="CL26" i="52" s="1"/>
  <c r="DI26" i="52" s="1"/>
  <c r="AI43" i="51"/>
  <c r="AI45" i="51" s="1"/>
  <c r="N26" i="52" s="1"/>
  <c r="BL26" i="52" s="1"/>
  <c r="CK26" i="52" s="1"/>
  <c r="DH26" i="52" s="1"/>
  <c r="AH43" i="51"/>
  <c r="AH45" i="51" s="1"/>
  <c r="M26" i="52" s="1"/>
  <c r="BK26" i="52" s="1"/>
  <c r="CJ26" i="52" s="1"/>
  <c r="DG26" i="52" s="1"/>
  <c r="AG43" i="51"/>
  <c r="AG45" i="51" s="1"/>
  <c r="L26" i="52" s="1"/>
  <c r="BJ26" i="52" s="1"/>
  <c r="CI26" i="52" s="1"/>
  <c r="DF26" i="52" s="1"/>
  <c r="AF42" i="51"/>
  <c r="AU42" i="51" s="1"/>
  <c r="Z25" i="52" s="1"/>
  <c r="BX25" i="52" s="1"/>
  <c r="CW25" i="52" s="1"/>
  <c r="DT25" i="52" s="1"/>
  <c r="BC40" i="51"/>
  <c r="BB40" i="51"/>
  <c r="BA40" i="51"/>
  <c r="AZ40" i="51"/>
  <c r="AY40" i="51"/>
  <c r="AX40" i="51"/>
  <c r="AW40" i="51"/>
  <c r="AV40" i="51"/>
  <c r="AU40" i="51"/>
  <c r="AT40" i="51"/>
  <c r="AS40" i="51"/>
  <c r="BB42" i="51" s="1"/>
  <c r="AG25" i="52" s="1"/>
  <c r="CE25" i="52" s="1"/>
  <c r="DD25" i="52" s="1"/>
  <c r="EA25" i="52" s="1"/>
  <c r="AR40" i="51"/>
  <c r="AQ40" i="51"/>
  <c r="AP40" i="51"/>
  <c r="AO40" i="51"/>
  <c r="AN40" i="51"/>
  <c r="AN42" i="51" s="1"/>
  <c r="S25" i="52" s="1"/>
  <c r="BQ25" i="52" s="1"/>
  <c r="CP25" i="52" s="1"/>
  <c r="DM25" i="52" s="1"/>
  <c r="AM40" i="51"/>
  <c r="AM42" i="51" s="1"/>
  <c r="R25" i="52" s="1"/>
  <c r="BP25" i="52" s="1"/>
  <c r="CO25" i="52" s="1"/>
  <c r="DL25" i="52" s="1"/>
  <c r="AL40" i="51"/>
  <c r="AK40" i="51"/>
  <c r="AJ40" i="51"/>
  <c r="AI40" i="51"/>
  <c r="AH40" i="51"/>
  <c r="AG40" i="51"/>
  <c r="AF39" i="51"/>
  <c r="BC37" i="51"/>
  <c r="BB37" i="51"/>
  <c r="BA37" i="51"/>
  <c r="AZ37" i="51"/>
  <c r="AY37" i="51"/>
  <c r="AX37" i="51"/>
  <c r="AW37" i="51"/>
  <c r="AV37" i="51"/>
  <c r="AU37" i="51"/>
  <c r="AT37" i="51"/>
  <c r="AS37" i="51"/>
  <c r="AR37" i="51"/>
  <c r="AQ37" i="51"/>
  <c r="AP37" i="51"/>
  <c r="AO37" i="51"/>
  <c r="AN37" i="51"/>
  <c r="AM37" i="51"/>
  <c r="AL37" i="51"/>
  <c r="AK37" i="51"/>
  <c r="AJ37" i="51"/>
  <c r="AI37" i="51"/>
  <c r="AH37" i="51"/>
  <c r="AG37" i="51"/>
  <c r="AZ30" i="51"/>
  <c r="AY30" i="51"/>
  <c r="AM30" i="51"/>
  <c r="AL30" i="51"/>
  <c r="AJ30" i="51"/>
  <c r="AI30" i="51"/>
  <c r="AF30" i="51"/>
  <c r="AE30" i="51"/>
  <c r="BB30" i="51" s="1"/>
  <c r="AF29" i="51"/>
  <c r="AE29" i="51"/>
  <c r="BC29" i="51" s="1"/>
  <c r="AT28" i="51"/>
  <c r="AF28" i="51"/>
  <c r="AE28" i="51"/>
  <c r="AG28" i="51" s="1"/>
  <c r="BA27" i="51"/>
  <c r="AX27" i="51"/>
  <c r="AW27" i="51"/>
  <c r="AU27" i="51"/>
  <c r="AL27" i="51"/>
  <c r="AK27" i="51"/>
  <c r="AH27" i="51"/>
  <c r="AG27" i="51"/>
  <c r="AF27" i="51"/>
  <c r="AE27" i="51"/>
  <c r="AT27" i="51" s="1"/>
  <c r="AS20" i="51"/>
  <c r="AF20" i="51"/>
  <c r="AE20" i="51"/>
  <c r="BB20" i="51" s="1"/>
  <c r="AU19" i="51"/>
  <c r="AF19" i="51"/>
  <c r="AE19" i="51"/>
  <c r="BC19" i="51" s="1"/>
  <c r="AF17" i="51"/>
  <c r="AE17" i="51"/>
  <c r="AQ17" i="51" s="1"/>
  <c r="AF16" i="51"/>
  <c r="AQ16" i="51" s="1"/>
  <c r="AE16" i="51"/>
  <c r="AQ14" i="51"/>
  <c r="AM14" i="51"/>
  <c r="AF14" i="51"/>
  <c r="AE14" i="51"/>
  <c r="AJ14" i="51" s="1"/>
  <c r="AW13" i="51"/>
  <c r="AV13" i="51"/>
  <c r="AF13" i="51"/>
  <c r="AE13" i="51"/>
  <c r="AK13" i="51" s="1"/>
  <c r="AF11" i="51"/>
  <c r="AV11" i="51" s="1"/>
  <c r="AE11" i="51"/>
  <c r="AS10" i="51"/>
  <c r="AP10" i="51"/>
  <c r="AO10" i="51"/>
  <c r="AK10" i="51"/>
  <c r="AF10" i="51"/>
  <c r="AE10" i="51"/>
  <c r="BC10" i="51" s="1"/>
  <c r="AX8" i="51"/>
  <c r="AW8" i="51"/>
  <c r="AP8" i="51"/>
  <c r="AO8" i="51"/>
  <c r="AF8" i="51"/>
  <c r="AE8" i="51"/>
  <c r="BC8" i="51" s="1"/>
  <c r="AF7" i="51"/>
  <c r="AE7" i="51"/>
  <c r="AV7" i="51" s="1"/>
  <c r="AF54" i="50"/>
  <c r="AH53" i="50"/>
  <c r="AL53" i="50" s="1"/>
  <c r="AP53" i="50" s="1"/>
  <c r="AT53" i="50" s="1"/>
  <c r="AG53" i="50"/>
  <c r="AK53" i="50" s="1"/>
  <c r="AO53" i="50" s="1"/>
  <c r="AS53" i="50" s="1"/>
  <c r="AF53" i="50"/>
  <c r="AJ53" i="50" s="1"/>
  <c r="AN53" i="50" s="1"/>
  <c r="AR53" i="50" s="1"/>
  <c r="AV53" i="50" s="1"/>
  <c r="AE53" i="50"/>
  <c r="AI53" i="50" s="1"/>
  <c r="AM53" i="50" s="1"/>
  <c r="AQ53" i="50" s="1"/>
  <c r="AU53" i="50" s="1"/>
  <c r="AJ52" i="50"/>
  <c r="AN52" i="50" s="1"/>
  <c r="AR52" i="50" s="1"/>
  <c r="AI52" i="50"/>
  <c r="AH52" i="50"/>
  <c r="AL52" i="50" s="1"/>
  <c r="AG52" i="50"/>
  <c r="AK52" i="50" s="1"/>
  <c r="AF52" i="50"/>
  <c r="AE52" i="50"/>
  <c r="AX50" i="50"/>
  <c r="AV50" i="50"/>
  <c r="AU50" i="50"/>
  <c r="AT50" i="50"/>
  <c r="AS50" i="50"/>
  <c r="AR50" i="50"/>
  <c r="AQ50" i="50"/>
  <c r="AP50" i="50"/>
  <c r="AO50" i="50"/>
  <c r="AN50" i="50"/>
  <c r="AM50" i="50"/>
  <c r="AL50" i="50"/>
  <c r="AK50" i="50"/>
  <c r="AJ50" i="50"/>
  <c r="AI50" i="50"/>
  <c r="AH50" i="50"/>
  <c r="AG50" i="50"/>
  <c r="AF50" i="50"/>
  <c r="AX49" i="50"/>
  <c r="AV49" i="50"/>
  <c r="AU49" i="50"/>
  <c r="AT49" i="50"/>
  <c r="AS49" i="50"/>
  <c r="AR49" i="50"/>
  <c r="AQ49" i="50"/>
  <c r="AP49" i="50"/>
  <c r="AO49" i="50"/>
  <c r="AN49" i="50"/>
  <c r="AM49" i="50"/>
  <c r="AL49" i="50"/>
  <c r="AK49" i="50"/>
  <c r="AJ49" i="50"/>
  <c r="AI49" i="50"/>
  <c r="AH49" i="50"/>
  <c r="AG49" i="50"/>
  <c r="AF49" i="50"/>
  <c r="AR48" i="50"/>
  <c r="AR51" i="50" s="1"/>
  <c r="AQ48" i="50"/>
  <c r="AQ51" i="50" s="1"/>
  <c r="AP48" i="50"/>
  <c r="AP51" i="50" s="1"/>
  <c r="AJ48" i="50"/>
  <c r="AI48" i="50"/>
  <c r="AH48" i="50"/>
  <c r="AB48" i="50"/>
  <c r="AO48" i="50" s="1"/>
  <c r="AO51" i="50" s="1"/>
  <c r="AA48" i="50"/>
  <c r="Z48" i="50"/>
  <c r="X48" i="50"/>
  <c r="AM47" i="50"/>
  <c r="AL47" i="50"/>
  <c r="AK47" i="50"/>
  <c r="AJ47" i="50"/>
  <c r="AI47" i="50"/>
  <c r="AH47" i="50"/>
  <c r="AG47" i="50"/>
  <c r="AF47" i="50"/>
  <c r="AA47" i="50"/>
  <c r="Z47" i="50"/>
  <c r="X47" i="50"/>
  <c r="AM46" i="50"/>
  <c r="AL46" i="50"/>
  <c r="AK46" i="50"/>
  <c r="AJ46" i="50"/>
  <c r="AI46" i="50"/>
  <c r="AH46" i="50"/>
  <c r="AG46" i="50"/>
  <c r="AF46" i="50"/>
  <c r="AA46" i="50"/>
  <c r="Z46" i="50"/>
  <c r="X46" i="50"/>
  <c r="AM45" i="50"/>
  <c r="AL45" i="50"/>
  <c r="AK45" i="50"/>
  <c r="AJ45" i="50"/>
  <c r="AI45" i="50"/>
  <c r="AH45" i="50"/>
  <c r="AG45" i="50"/>
  <c r="AF45" i="50"/>
  <c r="AM44" i="50"/>
  <c r="AL44" i="50"/>
  <c r="AK44" i="50"/>
  <c r="AJ44" i="50"/>
  <c r="AI44" i="50"/>
  <c r="AH44" i="50"/>
  <c r="AG44" i="50"/>
  <c r="AF44" i="50"/>
  <c r="AM43" i="50"/>
  <c r="AL43" i="50"/>
  <c r="AK43" i="50"/>
  <c r="AJ43" i="50"/>
  <c r="AI43" i="50"/>
  <c r="AH43" i="50"/>
  <c r="AG43" i="50"/>
  <c r="AF43" i="50"/>
  <c r="AE43" i="50"/>
  <c r="AA43" i="50"/>
  <c r="Z43" i="50"/>
  <c r="X43" i="50"/>
  <c r="AM42" i="50"/>
  <c r="AL42" i="50"/>
  <c r="AK42" i="50"/>
  <c r="AJ42" i="50"/>
  <c r="AI42" i="50"/>
  <c r="AH42" i="50"/>
  <c r="AG42" i="50"/>
  <c r="AF42" i="50"/>
  <c r="AE42" i="50"/>
  <c r="AA42" i="50"/>
  <c r="Z42" i="50"/>
  <c r="X42" i="50"/>
  <c r="AM41" i="50"/>
  <c r="AL41" i="50"/>
  <c r="AK41" i="50"/>
  <c r="AJ41" i="50"/>
  <c r="AI41" i="50"/>
  <c r="AH41" i="50"/>
  <c r="AG41" i="50"/>
  <c r="AF41" i="50"/>
  <c r="AE41" i="50"/>
  <c r="AA41" i="50"/>
  <c r="Z41" i="50"/>
  <c r="X41" i="50"/>
  <c r="AM40" i="50"/>
  <c r="AL40" i="50"/>
  <c r="AK40" i="50"/>
  <c r="AJ40" i="50"/>
  <c r="AI40" i="50"/>
  <c r="AH40" i="50"/>
  <c r="AG40" i="50"/>
  <c r="AF40" i="50"/>
  <c r="AE40" i="50"/>
  <c r="AA40" i="50"/>
  <c r="Z40" i="50"/>
  <c r="X40" i="50"/>
  <c r="AM39" i="50"/>
  <c r="AL39" i="50"/>
  <c r="AK39" i="50"/>
  <c r="AJ39" i="50"/>
  <c r="AI39" i="50"/>
  <c r="AH39" i="50"/>
  <c r="AG39" i="50"/>
  <c r="AF39" i="50"/>
  <c r="AE39" i="50"/>
  <c r="AA39" i="50"/>
  <c r="Z39" i="50"/>
  <c r="X39" i="50"/>
  <c r="AM38" i="50"/>
  <c r="AL38" i="50"/>
  <c r="AK38" i="50"/>
  <c r="AJ38" i="50"/>
  <c r="AI38" i="50"/>
  <c r="AH38" i="50"/>
  <c r="AG38" i="50"/>
  <c r="AF38" i="50"/>
  <c r="AE38" i="50"/>
  <c r="AA38" i="50"/>
  <c r="Z38" i="50"/>
  <c r="X38" i="50"/>
  <c r="AM37" i="50"/>
  <c r="AL37" i="50"/>
  <c r="AK37" i="50"/>
  <c r="AJ37" i="50"/>
  <c r="AI37" i="50"/>
  <c r="AH37" i="50"/>
  <c r="AG37" i="50"/>
  <c r="AF37" i="50"/>
  <c r="AE37" i="50"/>
  <c r="AA37" i="50"/>
  <c r="Z37" i="50"/>
  <c r="X37" i="50"/>
  <c r="AM36" i="50"/>
  <c r="AL36" i="50"/>
  <c r="AK36" i="50"/>
  <c r="AJ36" i="50"/>
  <c r="AI36" i="50"/>
  <c r="AH36" i="50"/>
  <c r="AG36" i="50"/>
  <c r="AF36" i="50"/>
  <c r="AE36" i="50"/>
  <c r="AA36" i="50"/>
  <c r="Z36" i="50"/>
  <c r="X36" i="50"/>
  <c r="AM35" i="50"/>
  <c r="AL35" i="50"/>
  <c r="AK35" i="50"/>
  <c r="AJ35" i="50"/>
  <c r="AI35" i="50"/>
  <c r="AH35" i="50"/>
  <c r="AG35" i="50"/>
  <c r="AF35" i="50"/>
  <c r="AE35" i="50"/>
  <c r="AA35" i="50"/>
  <c r="Z35" i="50"/>
  <c r="X35" i="50"/>
  <c r="AM34" i="50"/>
  <c r="AL34" i="50"/>
  <c r="AK34" i="50"/>
  <c r="AJ34" i="50"/>
  <c r="AI34" i="50"/>
  <c r="AH34" i="50"/>
  <c r="AG34" i="50"/>
  <c r="AF34" i="50"/>
  <c r="AE34" i="50"/>
  <c r="AA34" i="50"/>
  <c r="Z34" i="50"/>
  <c r="X34" i="50"/>
  <c r="AM33" i="50"/>
  <c r="AL33" i="50"/>
  <c r="AK33" i="50"/>
  <c r="AJ33" i="50"/>
  <c r="AI33" i="50"/>
  <c r="AH33" i="50"/>
  <c r="AG33" i="50"/>
  <c r="AF33" i="50"/>
  <c r="AE33" i="50"/>
  <c r="AA33" i="50"/>
  <c r="Z33" i="50"/>
  <c r="X33" i="50"/>
  <c r="AV32" i="50"/>
  <c r="AU32" i="50"/>
  <c r="AT32" i="50"/>
  <c r="AS32" i="50"/>
  <c r="AR32" i="50"/>
  <c r="AQ32" i="50"/>
  <c r="AP32" i="50"/>
  <c r="AO32" i="50"/>
  <c r="AN32" i="50"/>
  <c r="AM32" i="50"/>
  <c r="AL32" i="50"/>
  <c r="AK32" i="50"/>
  <c r="AJ32" i="50"/>
  <c r="AI32" i="50"/>
  <c r="AH32" i="50"/>
  <c r="AG32" i="50"/>
  <c r="AF32" i="50"/>
  <c r="AE32" i="50"/>
  <c r="AA32" i="50"/>
  <c r="Z32" i="50"/>
  <c r="X32" i="50"/>
  <c r="AV31" i="50"/>
  <c r="AU31" i="50"/>
  <c r="AT31" i="50"/>
  <c r="AS31" i="50"/>
  <c r="AR31" i="50"/>
  <c r="AQ31" i="50"/>
  <c r="AP31" i="50"/>
  <c r="AO31" i="50"/>
  <c r="AN31" i="50"/>
  <c r="AM31" i="50"/>
  <c r="AL31" i="50"/>
  <c r="AK31" i="50"/>
  <c r="AJ31" i="50"/>
  <c r="AI31" i="50"/>
  <c r="AH31" i="50"/>
  <c r="AG31" i="50"/>
  <c r="AF31" i="50"/>
  <c r="AE31" i="50"/>
  <c r="AA31" i="50"/>
  <c r="Z31" i="50"/>
  <c r="X31" i="50"/>
  <c r="AV30" i="50"/>
  <c r="AU30" i="50"/>
  <c r="AT30" i="50"/>
  <c r="AS30" i="50"/>
  <c r="AR30" i="50"/>
  <c r="AQ30" i="50"/>
  <c r="AP30" i="50"/>
  <c r="AO30" i="50"/>
  <c r="AN30" i="50"/>
  <c r="AM30" i="50"/>
  <c r="AL30" i="50"/>
  <c r="AK30" i="50"/>
  <c r="AJ30" i="50"/>
  <c r="AI30" i="50"/>
  <c r="AH30" i="50"/>
  <c r="AG30" i="50"/>
  <c r="AF30" i="50"/>
  <c r="AE30" i="50"/>
  <c r="AA30" i="50"/>
  <c r="Z30" i="50"/>
  <c r="X30" i="50"/>
  <c r="AV29" i="50"/>
  <c r="AU29" i="50"/>
  <c r="AT29" i="50"/>
  <c r="AS29" i="50"/>
  <c r="AR29" i="50"/>
  <c r="AQ29" i="50"/>
  <c r="AP29" i="50"/>
  <c r="AO29" i="50"/>
  <c r="AN29" i="50"/>
  <c r="AM29" i="50"/>
  <c r="AL29" i="50"/>
  <c r="AK29" i="50"/>
  <c r="AJ29" i="50"/>
  <c r="AI29" i="50"/>
  <c r="AH29" i="50"/>
  <c r="AG29" i="50"/>
  <c r="AF29" i="50"/>
  <c r="AE29" i="50"/>
  <c r="AA29" i="50"/>
  <c r="Z29" i="50"/>
  <c r="X29" i="50"/>
  <c r="AV28" i="50"/>
  <c r="AU28" i="50"/>
  <c r="AT28" i="50"/>
  <c r="AS28" i="50"/>
  <c r="AR28" i="50"/>
  <c r="AQ28" i="50"/>
  <c r="AP28" i="50"/>
  <c r="AO28" i="50"/>
  <c r="AN28" i="50"/>
  <c r="AM28" i="50"/>
  <c r="AL28" i="50"/>
  <c r="AK28" i="50"/>
  <c r="AJ28" i="50"/>
  <c r="AI28" i="50"/>
  <c r="AH28" i="50"/>
  <c r="AG28" i="50"/>
  <c r="AF28" i="50"/>
  <c r="AE28" i="50"/>
  <c r="AA28" i="50"/>
  <c r="Z28" i="50"/>
  <c r="X28" i="50"/>
  <c r="AV27" i="50"/>
  <c r="AU27" i="50"/>
  <c r="AT27" i="50"/>
  <c r="AS27" i="50"/>
  <c r="AR27" i="50"/>
  <c r="AQ27" i="50"/>
  <c r="AP27" i="50"/>
  <c r="AO27" i="50"/>
  <c r="AN27" i="50"/>
  <c r="AM27" i="50"/>
  <c r="AL27" i="50"/>
  <c r="AK27" i="50"/>
  <c r="AJ27" i="50"/>
  <c r="AI27" i="50"/>
  <c r="AH27" i="50"/>
  <c r="AG27" i="50"/>
  <c r="AF27" i="50"/>
  <c r="AE27" i="50"/>
  <c r="AA27" i="50"/>
  <c r="Z27" i="50"/>
  <c r="X27" i="50"/>
  <c r="AV26" i="50"/>
  <c r="AU26" i="50"/>
  <c r="AT26" i="50"/>
  <c r="AS26" i="50"/>
  <c r="AR26" i="50"/>
  <c r="AQ26" i="50"/>
  <c r="AP26" i="50"/>
  <c r="AO26" i="50"/>
  <c r="AN26" i="50"/>
  <c r="AM26" i="50"/>
  <c r="AL26" i="50"/>
  <c r="AK26" i="50"/>
  <c r="AJ26" i="50"/>
  <c r="AI26" i="50"/>
  <c r="AH26" i="50"/>
  <c r="AG26" i="50"/>
  <c r="AF26" i="50"/>
  <c r="AE26" i="50"/>
  <c r="AA26" i="50"/>
  <c r="Z26" i="50"/>
  <c r="X26" i="50"/>
  <c r="AV25" i="50"/>
  <c r="AU25" i="50"/>
  <c r="AT25" i="50"/>
  <c r="AS25" i="50"/>
  <c r="AR25" i="50"/>
  <c r="AQ25" i="50"/>
  <c r="AP25" i="50"/>
  <c r="AO25" i="50"/>
  <c r="AN25" i="50"/>
  <c r="AM25" i="50"/>
  <c r="AL25" i="50"/>
  <c r="AK25" i="50"/>
  <c r="AJ25" i="50"/>
  <c r="AI25" i="50"/>
  <c r="AH25" i="50"/>
  <c r="AG25" i="50"/>
  <c r="AF25" i="50"/>
  <c r="AE25" i="50"/>
  <c r="AA25" i="50"/>
  <c r="Z25" i="50"/>
  <c r="X25" i="50"/>
  <c r="AV24" i="50"/>
  <c r="AU24" i="50"/>
  <c r="AT24" i="50"/>
  <c r="AS24" i="50"/>
  <c r="AR24" i="50"/>
  <c r="AQ24" i="50"/>
  <c r="AP24" i="50"/>
  <c r="AO24" i="50"/>
  <c r="AN24" i="50"/>
  <c r="AM24" i="50"/>
  <c r="AL24" i="50"/>
  <c r="AK24" i="50"/>
  <c r="AJ24" i="50"/>
  <c r="AI24" i="50"/>
  <c r="AH24" i="50"/>
  <c r="AG24" i="50"/>
  <c r="AF24" i="50"/>
  <c r="AE24" i="50"/>
  <c r="AA24" i="50"/>
  <c r="Z24" i="50"/>
  <c r="X24" i="50"/>
  <c r="AV23" i="50"/>
  <c r="AU23" i="50"/>
  <c r="AT23" i="50"/>
  <c r="AS23" i="50"/>
  <c r="AR23" i="50"/>
  <c r="AQ23" i="50"/>
  <c r="AP23" i="50"/>
  <c r="AO23" i="50"/>
  <c r="AN23" i="50"/>
  <c r="AM23" i="50"/>
  <c r="AL23" i="50"/>
  <c r="AK23" i="50"/>
  <c r="AJ23" i="50"/>
  <c r="AI23" i="50"/>
  <c r="AH23" i="50"/>
  <c r="AG23" i="50"/>
  <c r="AF23" i="50"/>
  <c r="AE23" i="50"/>
  <c r="AA23" i="50"/>
  <c r="Z23" i="50"/>
  <c r="X23" i="50"/>
  <c r="AV22" i="50"/>
  <c r="AU22" i="50"/>
  <c r="AT22" i="50"/>
  <c r="AS22" i="50"/>
  <c r="AR22" i="50"/>
  <c r="AQ22" i="50"/>
  <c r="AP22" i="50"/>
  <c r="AO22" i="50"/>
  <c r="AN22" i="50"/>
  <c r="AM22" i="50"/>
  <c r="AL22" i="50"/>
  <c r="AK22" i="50"/>
  <c r="AJ22" i="50"/>
  <c r="AI22" i="50"/>
  <c r="AH22" i="50"/>
  <c r="AG22" i="50"/>
  <c r="AF22" i="50"/>
  <c r="AE22" i="50"/>
  <c r="AA22" i="50"/>
  <c r="Z22" i="50"/>
  <c r="X22" i="50"/>
  <c r="AV21" i="50"/>
  <c r="AU21" i="50"/>
  <c r="AT21" i="50"/>
  <c r="AS21" i="50"/>
  <c r="AR21" i="50"/>
  <c r="AQ21" i="50"/>
  <c r="AP21" i="50"/>
  <c r="AO21" i="50"/>
  <c r="AN21" i="50"/>
  <c r="AM21" i="50"/>
  <c r="AL21" i="50"/>
  <c r="AK21" i="50"/>
  <c r="AJ21" i="50"/>
  <c r="AI21" i="50"/>
  <c r="AH21" i="50"/>
  <c r="AG21" i="50"/>
  <c r="AF21" i="50"/>
  <c r="AE21" i="50"/>
  <c r="AA21" i="50"/>
  <c r="Z21" i="50"/>
  <c r="X21" i="50"/>
  <c r="AV20" i="50"/>
  <c r="AU20" i="50"/>
  <c r="AT20" i="50"/>
  <c r="AS20" i="50"/>
  <c r="AR20" i="50"/>
  <c r="AQ20" i="50"/>
  <c r="AP20" i="50"/>
  <c r="AO20" i="50"/>
  <c r="AN20" i="50"/>
  <c r="AM20" i="50"/>
  <c r="AL20" i="50"/>
  <c r="AK20" i="50"/>
  <c r="AJ20" i="50"/>
  <c r="AI20" i="50"/>
  <c r="AH20" i="50"/>
  <c r="AG20" i="50"/>
  <c r="AF20" i="50"/>
  <c r="AE20" i="50"/>
  <c r="AA20" i="50"/>
  <c r="Z20" i="50"/>
  <c r="X20" i="50"/>
  <c r="AV19" i="50"/>
  <c r="AU19" i="50"/>
  <c r="AT19" i="50"/>
  <c r="AS19" i="50"/>
  <c r="AR19" i="50"/>
  <c r="AQ19" i="50"/>
  <c r="AP19" i="50"/>
  <c r="AO19" i="50"/>
  <c r="AN19" i="50"/>
  <c r="AM19" i="50"/>
  <c r="AL19" i="50"/>
  <c r="AK19" i="50"/>
  <c r="AJ19" i="50"/>
  <c r="AI19" i="50"/>
  <c r="AH19" i="50"/>
  <c r="AG19" i="50"/>
  <c r="AF19" i="50"/>
  <c r="AE19" i="50"/>
  <c r="AA19" i="50"/>
  <c r="Z19" i="50"/>
  <c r="X19" i="50"/>
  <c r="AV18" i="50"/>
  <c r="AU18" i="50"/>
  <c r="AT18" i="50"/>
  <c r="AS18" i="50"/>
  <c r="AR18" i="50"/>
  <c r="AQ18" i="50"/>
  <c r="AP18" i="50"/>
  <c r="AO18" i="50"/>
  <c r="AN18" i="50"/>
  <c r="AM18" i="50"/>
  <c r="AL18" i="50"/>
  <c r="AK18" i="50"/>
  <c r="AJ18" i="50"/>
  <c r="AI18" i="50"/>
  <c r="AH18" i="50"/>
  <c r="AG18" i="50"/>
  <c r="AF18" i="50"/>
  <c r="AE18" i="50"/>
  <c r="AA18" i="50"/>
  <c r="Z18" i="50"/>
  <c r="X18" i="50"/>
  <c r="AV17" i="50"/>
  <c r="AU17" i="50"/>
  <c r="AT17" i="50"/>
  <c r="AS17" i="50"/>
  <c r="AR17" i="50"/>
  <c r="AQ17" i="50"/>
  <c r="AP17" i="50"/>
  <c r="AO17" i="50"/>
  <c r="AN17" i="50"/>
  <c r="AM17" i="50"/>
  <c r="AL17" i="50"/>
  <c r="AK17" i="50"/>
  <c r="AJ17" i="50"/>
  <c r="AI17" i="50"/>
  <c r="AH17" i="50"/>
  <c r="AG17" i="50"/>
  <c r="AF17" i="50"/>
  <c r="AE17" i="50"/>
  <c r="AA17" i="50"/>
  <c r="Z17" i="50"/>
  <c r="X17" i="50"/>
  <c r="AV16" i="50"/>
  <c r="AU16" i="50"/>
  <c r="AT16" i="50"/>
  <c r="AS16" i="50"/>
  <c r="AR16" i="50"/>
  <c r="AQ16" i="50"/>
  <c r="AP16" i="50"/>
  <c r="AO16" i="50"/>
  <c r="AN16" i="50"/>
  <c r="AM16" i="50"/>
  <c r="AL16" i="50"/>
  <c r="AK16" i="50"/>
  <c r="AJ16" i="50"/>
  <c r="AI16" i="50"/>
  <c r="AH16" i="50"/>
  <c r="AG16" i="50"/>
  <c r="AF16" i="50"/>
  <c r="AE16" i="50"/>
  <c r="AA16" i="50"/>
  <c r="Z16" i="50"/>
  <c r="X16" i="50"/>
  <c r="AV15" i="50"/>
  <c r="AU15" i="50"/>
  <c r="AT15" i="50"/>
  <c r="AS15" i="50"/>
  <c r="AR15" i="50"/>
  <c r="AQ15" i="50"/>
  <c r="AP15" i="50"/>
  <c r="AO15" i="50"/>
  <c r="AN15" i="50"/>
  <c r="AM15" i="50"/>
  <c r="AL15" i="50"/>
  <c r="AK15" i="50"/>
  <c r="AJ15" i="50"/>
  <c r="AI15" i="50"/>
  <c r="AH15" i="50"/>
  <c r="AG15" i="50"/>
  <c r="AF15" i="50"/>
  <c r="AE15" i="50"/>
  <c r="AA15" i="50"/>
  <c r="Z15" i="50"/>
  <c r="X15" i="50"/>
  <c r="AV14" i="50"/>
  <c r="AU14" i="50"/>
  <c r="AT14" i="50"/>
  <c r="AS14" i="50"/>
  <c r="AR14" i="50"/>
  <c r="AQ14" i="50"/>
  <c r="AP14" i="50"/>
  <c r="AO14" i="50"/>
  <c r="AN14" i="50"/>
  <c r="AM14" i="50"/>
  <c r="AL14" i="50"/>
  <c r="AK14" i="50"/>
  <c r="AJ14" i="50"/>
  <c r="AI14" i="50"/>
  <c r="AH14" i="50"/>
  <c r="AG14" i="50"/>
  <c r="AF14" i="50"/>
  <c r="AE14" i="50"/>
  <c r="AA14" i="50"/>
  <c r="Z14" i="50"/>
  <c r="X14" i="50"/>
  <c r="AV13" i="50"/>
  <c r="AU13" i="50"/>
  <c r="AT13" i="50"/>
  <c r="AS13" i="50"/>
  <c r="AR13" i="50"/>
  <c r="AQ13" i="50"/>
  <c r="AP13" i="50"/>
  <c r="AO13" i="50"/>
  <c r="AN13" i="50"/>
  <c r="AM13" i="50"/>
  <c r="AL13" i="50"/>
  <c r="AK13" i="50"/>
  <c r="AJ13" i="50"/>
  <c r="AI13" i="50"/>
  <c r="AH13" i="50"/>
  <c r="AG13" i="50"/>
  <c r="AF13" i="50"/>
  <c r="AE13" i="50"/>
  <c r="AA13" i="50"/>
  <c r="Z13" i="50"/>
  <c r="X13" i="50"/>
  <c r="AV12" i="50"/>
  <c r="AU12" i="50"/>
  <c r="AT12" i="50"/>
  <c r="AS12" i="50"/>
  <c r="AR12" i="50"/>
  <c r="AQ12" i="50"/>
  <c r="AP12" i="50"/>
  <c r="AO12" i="50"/>
  <c r="AN12" i="50"/>
  <c r="AM12" i="50"/>
  <c r="AL12" i="50"/>
  <c r="AK12" i="50"/>
  <c r="AJ12" i="50"/>
  <c r="AI12" i="50"/>
  <c r="AH12" i="50"/>
  <c r="AG12" i="50"/>
  <c r="AF12" i="50"/>
  <c r="AE12" i="50"/>
  <c r="AA12" i="50"/>
  <c r="Z12" i="50"/>
  <c r="X12" i="50"/>
  <c r="AV11" i="50"/>
  <c r="AU11" i="50"/>
  <c r="AT11" i="50"/>
  <c r="AS11" i="50"/>
  <c r="AR11" i="50"/>
  <c r="AQ11" i="50"/>
  <c r="AP11" i="50"/>
  <c r="AO11" i="50"/>
  <c r="AN11" i="50"/>
  <c r="AM11" i="50"/>
  <c r="AL11" i="50"/>
  <c r="AK11" i="50"/>
  <c r="AJ11" i="50"/>
  <c r="AI11" i="50"/>
  <c r="AH11" i="50"/>
  <c r="AG11" i="50"/>
  <c r="AF11" i="50"/>
  <c r="AE11" i="50"/>
  <c r="AA11" i="50"/>
  <c r="Z11" i="50"/>
  <c r="X11" i="50"/>
  <c r="AV10" i="50"/>
  <c r="AU10" i="50"/>
  <c r="AT10" i="50"/>
  <c r="AS10" i="50"/>
  <c r="AR10" i="50"/>
  <c r="AQ10" i="50"/>
  <c r="AP10" i="50"/>
  <c r="AO10" i="50"/>
  <c r="AN10" i="50"/>
  <c r="AM10" i="50"/>
  <c r="AL10" i="50"/>
  <c r="AK10" i="50"/>
  <c r="AJ10" i="50"/>
  <c r="AI10" i="50"/>
  <c r="AH10" i="50"/>
  <c r="AH56" i="50" s="1"/>
  <c r="N10" i="53" s="1"/>
  <c r="U14" i="54" s="1"/>
  <c r="U8" i="54" s="1"/>
  <c r="AG10" i="50"/>
  <c r="AF10" i="50"/>
  <c r="AE10" i="50"/>
  <c r="AA10" i="50"/>
  <c r="Z10" i="50"/>
  <c r="X10" i="50"/>
  <c r="AJ9" i="50"/>
  <c r="AF9" i="50"/>
  <c r="AE9" i="50"/>
  <c r="AA9" i="50"/>
  <c r="Z9" i="50"/>
  <c r="X9" i="50"/>
  <c r="AF8" i="50"/>
  <c r="AE8" i="50"/>
  <c r="AA8" i="50"/>
  <c r="Z8" i="50"/>
  <c r="AJ8" i="50" s="1"/>
  <c r="X8" i="50"/>
  <c r="BI53" i="49"/>
  <c r="BH53" i="49"/>
  <c r="BG53" i="49"/>
  <c r="BF53" i="49"/>
  <c r="BE53" i="49"/>
  <c r="BD53" i="49"/>
  <c r="BC53" i="49"/>
  <c r="BB53" i="49"/>
  <c r="BA53" i="49"/>
  <c r="AZ53" i="49"/>
  <c r="AY53" i="49"/>
  <c r="AX53" i="49"/>
  <c r="AW53"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X53" i="49"/>
  <c r="W53" i="49"/>
  <c r="V53" i="49"/>
  <c r="U53" i="49"/>
  <c r="T53" i="49"/>
  <c r="S53" i="49"/>
  <c r="R53" i="49"/>
  <c r="Q53" i="49"/>
  <c r="P53" i="49"/>
  <c r="O53" i="49"/>
  <c r="N53" i="49"/>
  <c r="M53" i="49"/>
  <c r="L53" i="49"/>
  <c r="FV52" i="49"/>
  <c r="FU52" i="49"/>
  <c r="FT52" i="49"/>
  <c r="FS52" i="49"/>
  <c r="FR52" i="49"/>
  <c r="FQ52" i="49"/>
  <c r="FP52" i="49"/>
  <c r="FO52" i="49"/>
  <c r="FN52" i="49"/>
  <c r="FM52" i="49"/>
  <c r="FL52" i="49"/>
  <c r="FK52" i="49"/>
  <c r="FJ52" i="49"/>
  <c r="FI52" i="49"/>
  <c r="FH52" i="49"/>
  <c r="FG52" i="49"/>
  <c r="FF52" i="49"/>
  <c r="FE52" i="49"/>
  <c r="FD52" i="49"/>
  <c r="FC52" i="49"/>
  <c r="FB52" i="49"/>
  <c r="FA52" i="49"/>
  <c r="EZ52" i="49"/>
  <c r="DE52" i="49"/>
  <c r="DD52" i="49"/>
  <c r="DC52" i="49"/>
  <c r="DB52" i="49"/>
  <c r="DA52" i="49"/>
  <c r="CZ52" i="49"/>
  <c r="CY52" i="49"/>
  <c r="CX52" i="49"/>
  <c r="CW52" i="49"/>
  <c r="CV52" i="49"/>
  <c r="CU52" i="49"/>
  <c r="CT52" i="49"/>
  <c r="CS52" i="49"/>
  <c r="CR52" i="49"/>
  <c r="CQ52" i="49"/>
  <c r="CP52" i="49"/>
  <c r="CO52" i="49"/>
  <c r="CN52" i="49"/>
  <c r="CM52" i="49"/>
  <c r="CL52" i="49"/>
  <c r="CK52" i="49"/>
  <c r="CJ52" i="49"/>
  <c r="CI52" i="49"/>
  <c r="FV51" i="49"/>
  <c r="FU51" i="49"/>
  <c r="FT51" i="49"/>
  <c r="FS51" i="49"/>
  <c r="FR51" i="49"/>
  <c r="FQ51" i="49"/>
  <c r="FP51" i="49"/>
  <c r="FO51" i="49"/>
  <c r="FN51" i="49"/>
  <c r="FM51" i="49"/>
  <c r="FL51" i="49"/>
  <c r="FK51" i="49"/>
  <c r="FJ51" i="49"/>
  <c r="FI51" i="49"/>
  <c r="FH51" i="49"/>
  <c r="FG51" i="49"/>
  <c r="FF51" i="49"/>
  <c r="FE51" i="49"/>
  <c r="FD51" i="49"/>
  <c r="FC51" i="49"/>
  <c r="FB51" i="49"/>
  <c r="FA51" i="49"/>
  <c r="EZ51" i="49"/>
  <c r="DE51" i="49"/>
  <c r="DD51" i="49"/>
  <c r="DC51" i="49"/>
  <c r="DB51" i="49"/>
  <c r="DA51" i="49"/>
  <c r="CZ51" i="49"/>
  <c r="CY51" i="49"/>
  <c r="CX51" i="49"/>
  <c r="CW51" i="49"/>
  <c r="CV51" i="49"/>
  <c r="CU51" i="49"/>
  <c r="CT51" i="49"/>
  <c r="CS51" i="49"/>
  <c r="CR51" i="49"/>
  <c r="CQ51" i="49"/>
  <c r="CP51" i="49"/>
  <c r="CO51" i="49"/>
  <c r="CN51" i="49"/>
  <c r="CM51" i="49"/>
  <c r="CL51" i="49"/>
  <c r="CK51" i="49"/>
  <c r="CJ51" i="49"/>
  <c r="CI51" i="49"/>
  <c r="CG49" i="49"/>
  <c r="CG48" i="49"/>
  <c r="CG46" i="49"/>
  <c r="CF46" i="49"/>
  <c r="CE46" i="49"/>
  <c r="DD46" i="49" s="1"/>
  <c r="FU46" i="49" s="1"/>
  <c r="CD46" i="49"/>
  <c r="CC46" i="49"/>
  <c r="DB46" i="49" s="1"/>
  <c r="FS46" i="49" s="1"/>
  <c r="CB46" i="49"/>
  <c r="DA46" i="49" s="1"/>
  <c r="FR46" i="49" s="1"/>
  <c r="CA46" i="49"/>
  <c r="BZ46" i="49"/>
  <c r="BY46" i="49"/>
  <c r="CX46" i="49" s="1"/>
  <c r="FO46" i="49" s="1"/>
  <c r="BX46" i="49"/>
  <c r="BW46" i="49"/>
  <c r="CV46" i="49" s="1"/>
  <c r="FM46" i="49" s="1"/>
  <c r="BV46" i="49"/>
  <c r="BU46" i="49"/>
  <c r="CT46" i="49" s="1"/>
  <c r="FK46" i="49" s="1"/>
  <c r="BT46" i="49"/>
  <c r="CS46" i="49" s="1"/>
  <c r="FJ46" i="49" s="1"/>
  <c r="BS46" i="49"/>
  <c r="BR46" i="49"/>
  <c r="BQ46" i="49"/>
  <c r="CP46" i="49" s="1"/>
  <c r="FG46" i="49" s="1"/>
  <c r="M13" i="53" s="1"/>
  <c r="BP46" i="49"/>
  <c r="BO46" i="49"/>
  <c r="CN46" i="49" s="1"/>
  <c r="FE46" i="49" s="1"/>
  <c r="BN46" i="49"/>
  <c r="BM46" i="49"/>
  <c r="CL46" i="49" s="1"/>
  <c r="FC46" i="49" s="1"/>
  <c r="BL46" i="49"/>
  <c r="CK46" i="49" s="1"/>
  <c r="FB46" i="49" s="1"/>
  <c r="BK46" i="49"/>
  <c r="CJ46" i="49" s="1"/>
  <c r="FA46" i="49" s="1"/>
  <c r="BJ46" i="49"/>
  <c r="CG45" i="49"/>
  <c r="CF45" i="49"/>
  <c r="CE45" i="49"/>
  <c r="CD45" i="49"/>
  <c r="DC45" i="49" s="1"/>
  <c r="FT45" i="49" s="1"/>
  <c r="CC45" i="49"/>
  <c r="CB45" i="49"/>
  <c r="CA45" i="49"/>
  <c r="BZ45" i="49"/>
  <c r="CY45" i="49" s="1"/>
  <c r="FP45" i="49" s="1"/>
  <c r="BY45" i="49"/>
  <c r="CX45" i="49" s="1"/>
  <c r="FO45" i="49" s="1"/>
  <c r="BX45" i="49"/>
  <c r="CW45" i="49" s="1"/>
  <c r="FN45" i="49" s="1"/>
  <c r="BW45" i="49"/>
  <c r="BV45" i="49"/>
  <c r="CU45" i="49" s="1"/>
  <c r="FL45" i="49" s="1"/>
  <c r="BU45" i="49"/>
  <c r="BT45" i="49"/>
  <c r="BS45" i="49"/>
  <c r="BR45" i="49"/>
  <c r="CQ45" i="49" s="1"/>
  <c r="FH45" i="49" s="1"/>
  <c r="BQ45" i="49"/>
  <c r="CP45" i="49" s="1"/>
  <c r="FG45" i="49" s="1"/>
  <c r="BP45" i="49"/>
  <c r="BO45" i="49"/>
  <c r="BN45" i="49"/>
  <c r="CM45" i="49" s="1"/>
  <c r="FD45" i="49" s="1"/>
  <c r="BM45" i="49"/>
  <c r="BL45" i="49"/>
  <c r="BK45" i="49"/>
  <c r="BJ45" i="49"/>
  <c r="CI45" i="49" s="1"/>
  <c r="EZ45" i="49" s="1"/>
  <c r="CG44" i="49"/>
  <c r="CT44" i="49" s="1"/>
  <c r="DQ44" i="49" s="1"/>
  <c r="EN44" i="49" s="1"/>
  <c r="CF44" i="49"/>
  <c r="DE44" i="49" s="1"/>
  <c r="EB44" i="49" s="1"/>
  <c r="EY44" i="49" s="1"/>
  <c r="CE44" i="49"/>
  <c r="DD44" i="49" s="1"/>
  <c r="EA44" i="49" s="1"/>
  <c r="EX44" i="49" s="1"/>
  <c r="CD44" i="49"/>
  <c r="DC44" i="49" s="1"/>
  <c r="FT44" i="49" s="1"/>
  <c r="CC44" i="49"/>
  <c r="CB44" i="49"/>
  <c r="CA44" i="49"/>
  <c r="BZ44" i="49"/>
  <c r="BY44" i="49"/>
  <c r="BX44" i="49"/>
  <c r="CW44" i="49" s="1"/>
  <c r="DT44" i="49" s="1"/>
  <c r="EQ44" i="49" s="1"/>
  <c r="BW44" i="49"/>
  <c r="CV44" i="49" s="1"/>
  <c r="DS44" i="49" s="1"/>
  <c r="EP44" i="49" s="1"/>
  <c r="BV44" i="49"/>
  <c r="CU44" i="49" s="1"/>
  <c r="BU44" i="49"/>
  <c r="BT44" i="49"/>
  <c r="BS44" i="49"/>
  <c r="BR44" i="49"/>
  <c r="BQ44" i="49"/>
  <c r="BP44" i="49"/>
  <c r="CO44" i="49" s="1"/>
  <c r="DL44" i="49" s="1"/>
  <c r="EI44" i="49" s="1"/>
  <c r="BO44" i="49"/>
  <c r="CN44" i="49" s="1"/>
  <c r="DK44" i="49" s="1"/>
  <c r="EH44" i="49" s="1"/>
  <c r="BN44" i="49"/>
  <c r="CM44" i="49" s="1"/>
  <c r="FD44" i="49" s="1"/>
  <c r="BM44" i="49"/>
  <c r="BL44" i="49"/>
  <c r="BK44" i="49"/>
  <c r="BJ44" i="49"/>
  <c r="CG43" i="49"/>
  <c r="DC43" i="49" s="1"/>
  <c r="CF43" i="49"/>
  <c r="DE43" i="49" s="1"/>
  <c r="CE43" i="49"/>
  <c r="CD43" i="49"/>
  <c r="CC43" i="49"/>
  <c r="CB43" i="49"/>
  <c r="CA43" i="49"/>
  <c r="BZ43" i="49"/>
  <c r="BY43" i="49"/>
  <c r="BX43" i="49"/>
  <c r="CW43" i="49" s="1"/>
  <c r="BW43" i="49"/>
  <c r="CV43" i="49" s="1"/>
  <c r="FM43" i="49" s="1"/>
  <c r="BV43" i="49"/>
  <c r="BU43" i="49"/>
  <c r="BT43" i="49"/>
  <c r="BS43" i="49"/>
  <c r="BR43" i="49"/>
  <c r="BQ43" i="49"/>
  <c r="BP43" i="49"/>
  <c r="CO43" i="49" s="1"/>
  <c r="BO43" i="49"/>
  <c r="CN43" i="49" s="1"/>
  <c r="FE43" i="49" s="1"/>
  <c r="BN43" i="49"/>
  <c r="BM43" i="49"/>
  <c r="BL43" i="49"/>
  <c r="BK43" i="49"/>
  <c r="BJ43" i="49"/>
  <c r="CG42" i="49"/>
  <c r="CZ42" i="49" s="1"/>
  <c r="FQ42" i="49" s="1"/>
  <c r="CF42" i="49"/>
  <c r="DE42" i="49" s="1"/>
  <c r="EB42" i="49" s="1"/>
  <c r="CE42" i="49"/>
  <c r="CD42" i="49"/>
  <c r="CC42" i="49"/>
  <c r="CB42" i="49"/>
  <c r="CA42" i="49"/>
  <c r="BZ42" i="49"/>
  <c r="BY42" i="49"/>
  <c r="CX42" i="49" s="1"/>
  <c r="DU42" i="49" s="1"/>
  <c r="BX42" i="49"/>
  <c r="CW42" i="49" s="1"/>
  <c r="DT42" i="49" s="1"/>
  <c r="BW42" i="49"/>
  <c r="BV42" i="49"/>
  <c r="BU42" i="49"/>
  <c r="BT42" i="49"/>
  <c r="BS42" i="49"/>
  <c r="BR42" i="49"/>
  <c r="BQ42" i="49"/>
  <c r="CP42" i="49" s="1"/>
  <c r="DM42" i="49" s="1"/>
  <c r="BP42" i="49"/>
  <c r="CO42" i="49" s="1"/>
  <c r="BO42" i="49"/>
  <c r="BN42" i="49"/>
  <c r="BM42" i="49"/>
  <c r="BL42" i="49"/>
  <c r="BK42" i="49"/>
  <c r="BJ42" i="49"/>
  <c r="CG40" i="49"/>
  <c r="CF40" i="49"/>
  <c r="DE40" i="49" s="1"/>
  <c r="CE40" i="49"/>
  <c r="CD40" i="49"/>
  <c r="CC40" i="49"/>
  <c r="CB40" i="49"/>
  <c r="CA40" i="49"/>
  <c r="BZ40" i="49"/>
  <c r="BY40" i="49"/>
  <c r="BX40" i="49"/>
  <c r="CW40" i="49" s="1"/>
  <c r="BW40" i="49"/>
  <c r="BV40" i="49"/>
  <c r="BU40" i="49"/>
  <c r="BT40" i="49"/>
  <c r="BS40" i="49"/>
  <c r="BR40" i="49"/>
  <c r="BQ40" i="49"/>
  <c r="BP40" i="49"/>
  <c r="CO40" i="49" s="1"/>
  <c r="BO40" i="49"/>
  <c r="BN40" i="49"/>
  <c r="BM40" i="49"/>
  <c r="BL40" i="49"/>
  <c r="BK40" i="49"/>
  <c r="BJ40" i="49"/>
  <c r="DC39" i="49"/>
  <c r="DZ39" i="49" s="1"/>
  <c r="EW39" i="49" s="1"/>
  <c r="DA39" i="49"/>
  <c r="FR39" i="49" s="1"/>
  <c r="CG39" i="49"/>
  <c r="CF39" i="49"/>
  <c r="CE39" i="49"/>
  <c r="DD39" i="49" s="1"/>
  <c r="EA39" i="49" s="1"/>
  <c r="EX39" i="49" s="1"/>
  <c r="CD39" i="49"/>
  <c r="CC39" i="49"/>
  <c r="DB39" i="49" s="1"/>
  <c r="DY39" i="49" s="1"/>
  <c r="EV39" i="49" s="1"/>
  <c r="CB39" i="49"/>
  <c r="CA39" i="49"/>
  <c r="CZ39" i="49" s="1"/>
  <c r="FQ39" i="49" s="1"/>
  <c r="BZ39" i="49"/>
  <c r="CY39" i="49" s="1"/>
  <c r="DV39" i="49" s="1"/>
  <c r="ES39" i="49" s="1"/>
  <c r="BY39" i="49"/>
  <c r="CX39" i="49" s="1"/>
  <c r="DU39" i="49" s="1"/>
  <c r="ER39" i="49" s="1"/>
  <c r="BX39" i="49"/>
  <c r="BW39" i="49"/>
  <c r="CV39" i="49" s="1"/>
  <c r="BV39" i="49"/>
  <c r="BU39" i="49"/>
  <c r="CT39" i="49" s="1"/>
  <c r="DQ39" i="49" s="1"/>
  <c r="EN39" i="49" s="1"/>
  <c r="BT39" i="49"/>
  <c r="CS39" i="49" s="1"/>
  <c r="FJ39" i="49" s="1"/>
  <c r="BS39" i="49"/>
  <c r="CR39" i="49" s="1"/>
  <c r="BR39" i="49"/>
  <c r="CQ39" i="49" s="1"/>
  <c r="BQ39" i="49"/>
  <c r="CP39" i="49" s="1"/>
  <c r="DM39" i="49" s="1"/>
  <c r="EJ39" i="49" s="1"/>
  <c r="BP39" i="49"/>
  <c r="BO39" i="49"/>
  <c r="CN39" i="49" s="1"/>
  <c r="BN39" i="49"/>
  <c r="BM39" i="49"/>
  <c r="CL39" i="49" s="1"/>
  <c r="FC39" i="49" s="1"/>
  <c r="BL39" i="49"/>
  <c r="CK39" i="49" s="1"/>
  <c r="BK39" i="49"/>
  <c r="CJ39" i="49" s="1"/>
  <c r="BJ39" i="49"/>
  <c r="CI39" i="49" s="1"/>
  <c r="CG38" i="49"/>
  <c r="CF38" i="49"/>
  <c r="DE38" i="49" s="1"/>
  <c r="CE38" i="49"/>
  <c r="CD38" i="49"/>
  <c r="DC38" i="49" s="1"/>
  <c r="CC38" i="49"/>
  <c r="DB38" i="49" s="1"/>
  <c r="DY38" i="49" s="1"/>
  <c r="EV38" i="49" s="1"/>
  <c r="CB38" i="49"/>
  <c r="DA38" i="49" s="1"/>
  <c r="FR38" i="49" s="1"/>
  <c r="CA38" i="49"/>
  <c r="CZ38" i="49" s="1"/>
  <c r="DW38" i="49" s="1"/>
  <c r="ET38" i="49" s="1"/>
  <c r="BZ38" i="49"/>
  <c r="CY38" i="49" s="1"/>
  <c r="BY38" i="49"/>
  <c r="CX38" i="49" s="1"/>
  <c r="DU38" i="49" s="1"/>
  <c r="ER38" i="49" s="1"/>
  <c r="BX38" i="49"/>
  <c r="CW38" i="49" s="1"/>
  <c r="BW38" i="49"/>
  <c r="BV38" i="49"/>
  <c r="CU38" i="49" s="1"/>
  <c r="BU38" i="49"/>
  <c r="CT38" i="49" s="1"/>
  <c r="DQ38" i="49" s="1"/>
  <c r="EN38" i="49" s="1"/>
  <c r="BT38" i="49"/>
  <c r="CS38" i="49" s="1"/>
  <c r="BS38" i="49"/>
  <c r="CR38" i="49" s="1"/>
  <c r="BR38" i="49"/>
  <c r="CQ38" i="49" s="1"/>
  <c r="BQ38" i="49"/>
  <c r="CP38" i="49" s="1"/>
  <c r="FG38" i="49" s="1"/>
  <c r="BP38" i="49"/>
  <c r="CO38" i="49" s="1"/>
  <c r="BO38" i="49"/>
  <c r="BN38" i="49"/>
  <c r="CM38" i="49" s="1"/>
  <c r="BM38" i="49"/>
  <c r="CL38" i="49" s="1"/>
  <c r="DI38" i="49" s="1"/>
  <c r="EF38" i="49" s="1"/>
  <c r="BL38" i="49"/>
  <c r="CK38" i="49" s="1"/>
  <c r="BK38" i="49"/>
  <c r="CJ38" i="49" s="1"/>
  <c r="BJ38" i="49"/>
  <c r="CI38" i="49" s="1"/>
  <c r="DA37" i="49"/>
  <c r="CG37" i="49"/>
  <c r="CF37" i="49"/>
  <c r="DE37" i="49" s="1"/>
  <c r="FV37" i="49" s="1"/>
  <c r="CE37" i="49"/>
  <c r="DD37" i="49" s="1"/>
  <c r="FU37" i="49" s="1"/>
  <c r="CD37" i="49"/>
  <c r="DC37" i="49" s="1"/>
  <c r="CC37" i="49"/>
  <c r="DB37" i="49" s="1"/>
  <c r="DY37" i="49" s="1"/>
  <c r="EV37" i="49" s="1"/>
  <c r="CB37" i="49"/>
  <c r="CA37" i="49"/>
  <c r="CZ37" i="49" s="1"/>
  <c r="BZ37" i="49"/>
  <c r="CY37" i="49" s="1"/>
  <c r="DV37" i="49" s="1"/>
  <c r="ES37" i="49" s="1"/>
  <c r="BY37" i="49"/>
  <c r="CX37" i="49" s="1"/>
  <c r="DU37" i="49" s="1"/>
  <c r="ER37" i="49" s="1"/>
  <c r="BX37" i="49"/>
  <c r="CW37" i="49" s="1"/>
  <c r="FN37" i="49" s="1"/>
  <c r="BW37" i="49"/>
  <c r="CV37" i="49" s="1"/>
  <c r="DS37" i="49" s="1"/>
  <c r="EP37" i="49" s="1"/>
  <c r="BV37" i="49"/>
  <c r="CU37" i="49" s="1"/>
  <c r="BU37" i="49"/>
  <c r="CT37" i="49" s="1"/>
  <c r="DQ37" i="49" s="1"/>
  <c r="EN37" i="49" s="1"/>
  <c r="BT37" i="49"/>
  <c r="CS37" i="49" s="1"/>
  <c r="BS37" i="49"/>
  <c r="CR37" i="49" s="1"/>
  <c r="BR37" i="49"/>
  <c r="CQ37" i="49" s="1"/>
  <c r="BQ37" i="49"/>
  <c r="CP37" i="49" s="1"/>
  <c r="DM37" i="49" s="1"/>
  <c r="EJ37" i="49" s="1"/>
  <c r="BP37" i="49"/>
  <c r="CO37" i="49" s="1"/>
  <c r="FF37" i="49" s="1"/>
  <c r="BO37" i="49"/>
  <c r="CN37" i="49" s="1"/>
  <c r="BN37" i="49"/>
  <c r="CM37" i="49" s="1"/>
  <c r="BM37" i="49"/>
  <c r="CL37" i="49" s="1"/>
  <c r="DI37" i="49" s="1"/>
  <c r="EF37" i="49" s="1"/>
  <c r="BL37" i="49"/>
  <c r="CK37" i="49" s="1"/>
  <c r="BK37" i="49"/>
  <c r="CJ37" i="49" s="1"/>
  <c r="BJ37" i="49"/>
  <c r="CI37" i="49" s="1"/>
  <c r="DF37" i="49" s="1"/>
  <c r="EC37" i="49" s="1"/>
  <c r="CG36" i="49"/>
  <c r="CZ36" i="49" s="1"/>
  <c r="DW36" i="49" s="1"/>
  <c r="CF36" i="49"/>
  <c r="DE36" i="49" s="1"/>
  <c r="CE36" i="49"/>
  <c r="DD36" i="49" s="1"/>
  <c r="CD36" i="49"/>
  <c r="CC36" i="49"/>
  <c r="CB36" i="49"/>
  <c r="CA36" i="49"/>
  <c r="BZ36" i="49"/>
  <c r="BY36" i="49"/>
  <c r="BX36" i="49"/>
  <c r="CW36" i="49" s="1"/>
  <c r="BW36" i="49"/>
  <c r="CV36" i="49" s="1"/>
  <c r="BV36" i="49"/>
  <c r="BU36" i="49"/>
  <c r="BT36" i="49"/>
  <c r="BS36" i="49"/>
  <c r="BR36" i="49"/>
  <c r="BQ36" i="49"/>
  <c r="CP36" i="49" s="1"/>
  <c r="FG36" i="49" s="1"/>
  <c r="BP36" i="49"/>
  <c r="CO36" i="49" s="1"/>
  <c r="BO36" i="49"/>
  <c r="CN36" i="49" s="1"/>
  <c r="BN36" i="49"/>
  <c r="BM36" i="49"/>
  <c r="BL36" i="49"/>
  <c r="BK36" i="49"/>
  <c r="BJ36" i="49"/>
  <c r="GB34" i="49"/>
  <c r="FX34" i="49"/>
  <c r="DE34" i="49"/>
  <c r="EB34" i="49" s="1"/>
  <c r="EY34" i="49" s="1"/>
  <c r="DD34" i="49"/>
  <c r="EA34" i="49" s="1"/>
  <c r="DC34" i="49"/>
  <c r="DZ34" i="49" s="1"/>
  <c r="DB34" i="49"/>
  <c r="DY34" i="49" s="1"/>
  <c r="EV34" i="49" s="1"/>
  <c r="DA34" i="49"/>
  <c r="DX34" i="49" s="1"/>
  <c r="EU34" i="49" s="1"/>
  <c r="CZ34" i="49"/>
  <c r="DW34" i="49" s="1"/>
  <c r="CY34" i="49"/>
  <c r="DV34" i="49" s="1"/>
  <c r="ES34" i="49" s="1"/>
  <c r="CX34" i="49"/>
  <c r="DU34" i="49" s="1"/>
  <c r="CW34" i="49"/>
  <c r="DT34" i="49" s="1"/>
  <c r="CV34" i="49"/>
  <c r="DS34" i="49" s="1"/>
  <c r="CU34" i="49"/>
  <c r="DR34" i="49" s="1"/>
  <c r="CT34" i="49"/>
  <c r="DQ34" i="49" s="1"/>
  <c r="EN34" i="49" s="1"/>
  <c r="CS34" i="49"/>
  <c r="DP34" i="49" s="1"/>
  <c r="EM34" i="49" s="1"/>
  <c r="CR34" i="49"/>
  <c r="DO34" i="49" s="1"/>
  <c r="FI34" i="49" s="1"/>
  <c r="CQ34" i="49"/>
  <c r="DN34" i="49" s="1"/>
  <c r="CP34" i="49"/>
  <c r="DM34" i="49" s="1"/>
  <c r="CO34" i="49"/>
  <c r="DL34" i="49" s="1"/>
  <c r="EI34" i="49" s="1"/>
  <c r="CN34" i="49"/>
  <c r="DK34" i="49" s="1"/>
  <c r="CM34" i="49"/>
  <c r="DJ34" i="49" s="1"/>
  <c r="CL34" i="49"/>
  <c r="DI34" i="49" s="1"/>
  <c r="EF34" i="49" s="1"/>
  <c r="CK34" i="49"/>
  <c r="DH34" i="49" s="1"/>
  <c r="FB34" i="49" s="1"/>
  <c r="CJ34" i="49"/>
  <c r="DG34" i="49" s="1"/>
  <c r="CI34" i="49"/>
  <c r="DF34" i="49" s="1"/>
  <c r="EC34" i="49" s="1"/>
  <c r="CG34" i="49"/>
  <c r="CF34" i="49"/>
  <c r="CE34" i="49"/>
  <c r="CD34" i="49"/>
  <c r="CC34" i="49"/>
  <c r="CB34" i="49"/>
  <c r="CA34" i="49"/>
  <c r="BZ34" i="49"/>
  <c r="BY34" i="49"/>
  <c r="BX34" i="49"/>
  <c r="BW34" i="49"/>
  <c r="BV34" i="49"/>
  <c r="BU34" i="49"/>
  <c r="BT34" i="49"/>
  <c r="BS34" i="49"/>
  <c r="BR34" i="49"/>
  <c r="BQ34" i="49"/>
  <c r="BP34" i="49"/>
  <c r="BO34" i="49"/>
  <c r="BN34" i="49"/>
  <c r="BM34" i="49"/>
  <c r="BL34" i="49"/>
  <c r="BK34" i="49"/>
  <c r="BJ34" i="49"/>
  <c r="GB33" i="49"/>
  <c r="FX33" i="49" s="1"/>
  <c r="DE33" i="49"/>
  <c r="EB33" i="49" s="1"/>
  <c r="EY33" i="49" s="1"/>
  <c r="DD33" i="49"/>
  <c r="EA33" i="49" s="1"/>
  <c r="DC33" i="49"/>
  <c r="DZ33" i="49" s="1"/>
  <c r="DB33" i="49"/>
  <c r="DY33" i="49" s="1"/>
  <c r="DA33" i="49"/>
  <c r="DX33" i="49" s="1"/>
  <c r="CZ33" i="49"/>
  <c r="DW33" i="49" s="1"/>
  <c r="CY33" i="49"/>
  <c r="DV33" i="49" s="1"/>
  <c r="CX33" i="49"/>
  <c r="DU33" i="49" s="1"/>
  <c r="CW33" i="49"/>
  <c r="DT33" i="49" s="1"/>
  <c r="CV33" i="49"/>
  <c r="DS33" i="49" s="1"/>
  <c r="CU33" i="49"/>
  <c r="DR33" i="49" s="1"/>
  <c r="CT33" i="49"/>
  <c r="DQ33" i="49" s="1"/>
  <c r="CS33" i="49"/>
  <c r="DP33" i="49" s="1"/>
  <c r="CR33" i="49"/>
  <c r="DO33" i="49" s="1"/>
  <c r="CQ33" i="49"/>
  <c r="DN33" i="49" s="1"/>
  <c r="CP33" i="49"/>
  <c r="DM33" i="49" s="1"/>
  <c r="CO33" i="49"/>
  <c r="DL33" i="49" s="1"/>
  <c r="EI33" i="49" s="1"/>
  <c r="CN33" i="49"/>
  <c r="DK33" i="49" s="1"/>
  <c r="CM33" i="49"/>
  <c r="DJ33" i="49" s="1"/>
  <c r="EG33" i="49" s="1"/>
  <c r="CL33" i="49"/>
  <c r="DI33" i="49" s="1"/>
  <c r="CK33" i="49"/>
  <c r="DH33" i="49" s="1"/>
  <c r="CJ33" i="49"/>
  <c r="DG33" i="49" s="1"/>
  <c r="CI33" i="49"/>
  <c r="DF33" i="49" s="1"/>
  <c r="EC33" i="49" s="1"/>
  <c r="CG33" i="49"/>
  <c r="CF33" i="49"/>
  <c r="CE33" i="49"/>
  <c r="CD33" i="49"/>
  <c r="CC33" i="49"/>
  <c r="CB33" i="49"/>
  <c r="CA33" i="49"/>
  <c r="BZ33" i="49"/>
  <c r="BY33" i="49"/>
  <c r="BX33" i="49"/>
  <c r="BW33" i="49"/>
  <c r="BV33" i="49"/>
  <c r="BU33" i="49"/>
  <c r="BT33" i="49"/>
  <c r="BS33" i="49"/>
  <c r="BR33" i="49"/>
  <c r="BQ33" i="49"/>
  <c r="BP33" i="49"/>
  <c r="BO33" i="49"/>
  <c r="BN33" i="49"/>
  <c r="BM33" i="49"/>
  <c r="BL33" i="49"/>
  <c r="BK33" i="49"/>
  <c r="BJ33" i="49"/>
  <c r="CG32" i="49"/>
  <c r="CG31" i="49"/>
  <c r="CG30" i="49"/>
  <c r="CG29" i="49"/>
  <c r="CG28" i="49"/>
  <c r="BL28" i="49"/>
  <c r="CK28" i="49" s="1"/>
  <c r="DH28" i="49" s="1"/>
  <c r="BK28" i="49"/>
  <c r="CJ28" i="49" s="1"/>
  <c r="DG28" i="49" s="1"/>
  <c r="BJ28" i="49"/>
  <c r="CI28" i="49" s="1"/>
  <c r="DF28" i="49" s="1"/>
  <c r="EZ28" i="49" s="1"/>
  <c r="CG27" i="49"/>
  <c r="CG26" i="49"/>
  <c r="CG25" i="49"/>
  <c r="CG24" i="49"/>
  <c r="CF24" i="49"/>
  <c r="CE24" i="49"/>
  <c r="CD24" i="49"/>
  <c r="CC24" i="49"/>
  <c r="CB24" i="49"/>
  <c r="CA24" i="49"/>
  <c r="BZ24" i="49"/>
  <c r="BY24" i="49"/>
  <c r="CX24" i="49" s="1"/>
  <c r="DU24" i="49" s="1"/>
  <c r="ER24" i="49" s="1"/>
  <c r="BX24" i="49"/>
  <c r="BW24" i="49"/>
  <c r="BV24" i="49"/>
  <c r="BU24" i="49"/>
  <c r="BT24" i="49"/>
  <c r="BS24" i="49"/>
  <c r="BR24" i="49"/>
  <c r="BQ24" i="49"/>
  <c r="CP24" i="49" s="1"/>
  <c r="DM24" i="49" s="1"/>
  <c r="BP24" i="49"/>
  <c r="BO24" i="49"/>
  <c r="BN24" i="49"/>
  <c r="BM24" i="49"/>
  <c r="BL24" i="49"/>
  <c r="BK24" i="49"/>
  <c r="BJ24" i="49"/>
  <c r="CG23" i="49"/>
  <c r="DD23" i="49" s="1"/>
  <c r="EA23" i="49" s="1"/>
  <c r="FU23" i="49" s="1"/>
  <c r="CF23" i="49"/>
  <c r="CE23" i="49"/>
  <c r="CD23" i="49"/>
  <c r="CC23" i="49"/>
  <c r="DB23" i="49" s="1"/>
  <c r="DY23" i="49" s="1"/>
  <c r="CB23" i="49"/>
  <c r="DA23" i="49" s="1"/>
  <c r="DX23" i="49" s="1"/>
  <c r="CA23" i="49"/>
  <c r="CZ23" i="49" s="1"/>
  <c r="DW23" i="49" s="1"/>
  <c r="BZ23" i="49"/>
  <c r="BY23" i="49"/>
  <c r="CX23" i="49" s="1"/>
  <c r="DU23" i="49" s="1"/>
  <c r="BX23" i="49"/>
  <c r="BW23" i="49"/>
  <c r="BV23" i="49"/>
  <c r="BU23" i="49"/>
  <c r="CT23" i="49" s="1"/>
  <c r="DQ23" i="49" s="1"/>
  <c r="FK23" i="49" s="1"/>
  <c r="BT23" i="49"/>
  <c r="CS23" i="49" s="1"/>
  <c r="DP23" i="49" s="1"/>
  <c r="EM23" i="49" s="1"/>
  <c r="BS23" i="49"/>
  <c r="BR23" i="49"/>
  <c r="BQ23" i="49"/>
  <c r="CP23" i="49" s="1"/>
  <c r="DM23" i="49" s="1"/>
  <c r="BP23" i="49"/>
  <c r="BO23" i="49"/>
  <c r="BN23" i="49"/>
  <c r="BM23" i="49"/>
  <c r="CL23" i="49" s="1"/>
  <c r="DI23" i="49" s="1"/>
  <c r="BL23" i="49"/>
  <c r="CK23" i="49" s="1"/>
  <c r="DH23" i="49" s="1"/>
  <c r="BK23" i="49"/>
  <c r="CJ23" i="49" s="1"/>
  <c r="DG23" i="49" s="1"/>
  <c r="BJ23" i="49"/>
  <c r="CG22" i="49"/>
  <c r="CF22" i="49"/>
  <c r="CE22" i="49"/>
  <c r="CD22" i="49"/>
  <c r="CC22" i="49"/>
  <c r="CB22" i="49"/>
  <c r="CA22" i="49"/>
  <c r="CZ22" i="49" s="1"/>
  <c r="DW22" i="49" s="1"/>
  <c r="BZ22" i="49"/>
  <c r="BY22" i="49"/>
  <c r="CX22" i="49" s="1"/>
  <c r="DU22" i="49" s="1"/>
  <c r="BX22" i="49"/>
  <c r="BW22" i="49"/>
  <c r="BV22" i="49"/>
  <c r="BU22" i="49"/>
  <c r="CT22" i="49" s="1"/>
  <c r="DQ22" i="49" s="1"/>
  <c r="BT22" i="49"/>
  <c r="BS22" i="49"/>
  <c r="CR22" i="49" s="1"/>
  <c r="DO22" i="49" s="1"/>
  <c r="BR22" i="49"/>
  <c r="BQ22" i="49"/>
  <c r="CP22" i="49" s="1"/>
  <c r="DM22" i="49" s="1"/>
  <c r="BP22" i="49"/>
  <c r="BO22" i="49"/>
  <c r="BN22" i="49"/>
  <c r="BM22" i="49"/>
  <c r="BL22" i="49"/>
  <c r="CK22" i="49" s="1"/>
  <c r="DH22" i="49" s="1"/>
  <c r="BK22" i="49"/>
  <c r="CJ22" i="49" s="1"/>
  <c r="DG22" i="49" s="1"/>
  <c r="BJ22" i="49"/>
  <c r="DE21" i="49"/>
  <c r="EB21" i="49" s="1"/>
  <c r="EY21" i="49" s="1"/>
  <c r="CG21" i="49"/>
  <c r="CF21" i="49"/>
  <c r="CE21" i="49"/>
  <c r="DD21" i="49" s="1"/>
  <c r="EA21" i="49" s="1"/>
  <c r="CD21" i="49"/>
  <c r="DC21" i="49" s="1"/>
  <c r="DZ21" i="49" s="1"/>
  <c r="CC21" i="49"/>
  <c r="DB21" i="49" s="1"/>
  <c r="DY21" i="49" s="1"/>
  <c r="FS21" i="49" s="1"/>
  <c r="CB21" i="49"/>
  <c r="CA21" i="49"/>
  <c r="CZ21" i="49" s="1"/>
  <c r="DW21" i="49" s="1"/>
  <c r="BZ21" i="49"/>
  <c r="BY21" i="49"/>
  <c r="CX21" i="49" s="1"/>
  <c r="DU21" i="49" s="1"/>
  <c r="BX21" i="49"/>
  <c r="BW21" i="49"/>
  <c r="CV21" i="49" s="1"/>
  <c r="DS21" i="49" s="1"/>
  <c r="BV21" i="49"/>
  <c r="CU21" i="49" s="1"/>
  <c r="DR21" i="49" s="1"/>
  <c r="BU21" i="49"/>
  <c r="CT21" i="49" s="1"/>
  <c r="DQ21" i="49" s="1"/>
  <c r="BT21" i="49"/>
  <c r="BS21" i="49"/>
  <c r="CR21" i="49" s="1"/>
  <c r="DO21" i="49" s="1"/>
  <c r="BR21" i="49"/>
  <c r="BQ21" i="49"/>
  <c r="CP21" i="49" s="1"/>
  <c r="DM21" i="49" s="1"/>
  <c r="BP21" i="49"/>
  <c r="BO21" i="49"/>
  <c r="CN21" i="49" s="1"/>
  <c r="DK21" i="49" s="1"/>
  <c r="FE21" i="49" s="1"/>
  <c r="BN21" i="49"/>
  <c r="CM21" i="49" s="1"/>
  <c r="DJ21" i="49" s="1"/>
  <c r="BM21" i="49"/>
  <c r="CL21" i="49" s="1"/>
  <c r="DI21" i="49" s="1"/>
  <c r="FC21" i="49" s="1"/>
  <c r="BL21" i="49"/>
  <c r="BK21" i="49"/>
  <c r="CJ21" i="49" s="1"/>
  <c r="DG21" i="49" s="1"/>
  <c r="BJ21" i="49"/>
  <c r="CI21" i="49" s="1"/>
  <c r="DF21" i="49" s="1"/>
  <c r="CG20" i="49"/>
  <c r="CF20" i="49"/>
  <c r="CE20" i="49"/>
  <c r="CD20" i="49"/>
  <c r="CC20" i="49"/>
  <c r="CB20" i="49"/>
  <c r="CA20" i="49"/>
  <c r="BZ20" i="49"/>
  <c r="BY20" i="49"/>
  <c r="CX20" i="49" s="1"/>
  <c r="DU20" i="49" s="1"/>
  <c r="BX20" i="49"/>
  <c r="BW20" i="49"/>
  <c r="BV20" i="49"/>
  <c r="CU20" i="49" s="1"/>
  <c r="DR20" i="49" s="1"/>
  <c r="BU20" i="49"/>
  <c r="BT20" i="49"/>
  <c r="BS20" i="49"/>
  <c r="CR20" i="49" s="1"/>
  <c r="DO20" i="49" s="1"/>
  <c r="FI20" i="49" s="1"/>
  <c r="BR20" i="49"/>
  <c r="BQ20" i="49"/>
  <c r="CP20" i="49" s="1"/>
  <c r="DM20" i="49" s="1"/>
  <c r="BP20" i="49"/>
  <c r="BO20" i="49"/>
  <c r="BN20" i="49"/>
  <c r="BM20" i="49"/>
  <c r="CL20" i="49" s="1"/>
  <c r="DI20" i="49" s="1"/>
  <c r="BL20" i="49"/>
  <c r="BK20" i="49"/>
  <c r="BJ20" i="49"/>
  <c r="CG19" i="49"/>
  <c r="CG18" i="49"/>
  <c r="CF18" i="49"/>
  <c r="DE18" i="49" s="1"/>
  <c r="EB18" i="49" s="1"/>
  <c r="EY18" i="49" s="1"/>
  <c r="CE18" i="49"/>
  <c r="DD18" i="49" s="1"/>
  <c r="EA18" i="49" s="1"/>
  <c r="EX18" i="49" s="1"/>
  <c r="CD18" i="49"/>
  <c r="CC18" i="49"/>
  <c r="CB18" i="49"/>
  <c r="CA18" i="49"/>
  <c r="BZ18" i="49"/>
  <c r="BY18" i="49"/>
  <c r="CX18" i="49" s="1"/>
  <c r="DU18" i="49" s="1"/>
  <c r="ER18" i="49" s="1"/>
  <c r="BX18" i="49"/>
  <c r="CW18" i="49" s="1"/>
  <c r="DT18" i="49" s="1"/>
  <c r="EQ18" i="49" s="1"/>
  <c r="BW18" i="49"/>
  <c r="CV18" i="49" s="1"/>
  <c r="DS18" i="49" s="1"/>
  <c r="BV18" i="49"/>
  <c r="BU18" i="49"/>
  <c r="BT18" i="49"/>
  <c r="BS18" i="49"/>
  <c r="BR18" i="49"/>
  <c r="BQ18" i="49"/>
  <c r="CP18" i="49" s="1"/>
  <c r="DM18" i="49" s="1"/>
  <c r="BP18" i="49"/>
  <c r="CO18" i="49" s="1"/>
  <c r="DL18" i="49" s="1"/>
  <c r="BO18" i="49"/>
  <c r="CN18" i="49" s="1"/>
  <c r="DK18" i="49" s="1"/>
  <c r="EH18" i="49" s="1"/>
  <c r="BN18" i="49"/>
  <c r="BM18" i="49"/>
  <c r="BL18" i="49"/>
  <c r="BK18" i="49"/>
  <c r="BJ18" i="49"/>
  <c r="CG17" i="49"/>
  <c r="CF17" i="49"/>
  <c r="DE17" i="49" s="1"/>
  <c r="EB17" i="49" s="1"/>
  <c r="CE17" i="49"/>
  <c r="CD17" i="49"/>
  <c r="CC17" i="49"/>
  <c r="CB17" i="49"/>
  <c r="CA17" i="49"/>
  <c r="BZ17" i="49"/>
  <c r="BY17" i="49"/>
  <c r="CX17" i="49" s="1"/>
  <c r="DU17" i="49" s="1"/>
  <c r="FO17" i="49" s="1"/>
  <c r="BX17" i="49"/>
  <c r="CW17" i="49" s="1"/>
  <c r="DT17" i="49" s="1"/>
  <c r="BW17" i="49"/>
  <c r="BV17" i="49"/>
  <c r="BU17" i="49"/>
  <c r="BT17" i="49"/>
  <c r="BS17" i="49"/>
  <c r="BR17" i="49"/>
  <c r="BQ17" i="49"/>
  <c r="CP17" i="49" s="1"/>
  <c r="DM17" i="49" s="1"/>
  <c r="BP17" i="49"/>
  <c r="BO17" i="49"/>
  <c r="BN17" i="49"/>
  <c r="BM17" i="49"/>
  <c r="BL17" i="49"/>
  <c r="BK17" i="49"/>
  <c r="BJ17" i="49"/>
  <c r="CG16" i="49"/>
  <c r="CG15" i="49"/>
  <c r="DD15" i="49" s="1"/>
  <c r="EA15" i="49" s="1"/>
  <c r="CF15" i="49"/>
  <c r="CE15" i="49"/>
  <c r="CD15" i="49"/>
  <c r="CC15" i="49"/>
  <c r="CB15" i="49"/>
  <c r="CA15" i="49"/>
  <c r="BZ15" i="49"/>
  <c r="BY15" i="49"/>
  <c r="BX15" i="49"/>
  <c r="BW15" i="49"/>
  <c r="BV15" i="49"/>
  <c r="BU15" i="49"/>
  <c r="BT15" i="49"/>
  <c r="BS15" i="49"/>
  <c r="BR15" i="49"/>
  <c r="BQ15" i="49"/>
  <c r="BP15" i="49"/>
  <c r="BO15" i="49"/>
  <c r="BN15" i="49"/>
  <c r="BM15" i="49"/>
  <c r="BL15" i="49"/>
  <c r="BK15" i="49"/>
  <c r="BJ15" i="49"/>
  <c r="CG14" i="49"/>
  <c r="CF14" i="49"/>
  <c r="CE14" i="49"/>
  <c r="CD14" i="49"/>
  <c r="CC14" i="49"/>
  <c r="CB14" i="49"/>
  <c r="CA14" i="49"/>
  <c r="BZ14" i="49"/>
  <c r="BY14" i="49"/>
  <c r="BX14" i="49"/>
  <c r="BW14" i="49"/>
  <c r="BV14" i="49"/>
  <c r="BU14" i="49"/>
  <c r="BT14" i="49"/>
  <c r="BS14" i="49"/>
  <c r="BR14" i="49"/>
  <c r="BQ14" i="49"/>
  <c r="CP14" i="49" s="1"/>
  <c r="DM14" i="49" s="1"/>
  <c r="BP14" i="49"/>
  <c r="BO14" i="49"/>
  <c r="BN14" i="49"/>
  <c r="BM14" i="49"/>
  <c r="BL14" i="49"/>
  <c r="BK14" i="49"/>
  <c r="BJ14" i="49"/>
  <c r="CG13" i="49"/>
  <c r="CF13" i="49"/>
  <c r="CE13" i="49"/>
  <c r="CD13" i="49"/>
  <c r="CC13" i="49"/>
  <c r="CB13" i="49"/>
  <c r="CA13" i="49"/>
  <c r="BZ13" i="49"/>
  <c r="BY13" i="49"/>
  <c r="CX13" i="49" s="1"/>
  <c r="DU13" i="49" s="1"/>
  <c r="ER13" i="49" s="1"/>
  <c r="BX13" i="49"/>
  <c r="BW13" i="49"/>
  <c r="BV13" i="49"/>
  <c r="BU13" i="49"/>
  <c r="BT13" i="49"/>
  <c r="BS13" i="49"/>
  <c r="BR13" i="49"/>
  <c r="BQ13" i="49"/>
  <c r="CP13" i="49" s="1"/>
  <c r="DM13" i="49" s="1"/>
  <c r="FG13" i="49" s="1"/>
  <c r="BP13" i="49"/>
  <c r="BO13" i="49"/>
  <c r="BN13" i="49"/>
  <c r="BM13" i="49"/>
  <c r="BL13" i="49"/>
  <c r="BK13" i="49"/>
  <c r="BJ13" i="49"/>
  <c r="CG12" i="49"/>
  <c r="CF12" i="49"/>
  <c r="CE12" i="49"/>
  <c r="CD12" i="49"/>
  <c r="CC12" i="49"/>
  <c r="CB12" i="49"/>
  <c r="CA12" i="49"/>
  <c r="BZ12" i="49"/>
  <c r="BY12" i="49"/>
  <c r="BX12" i="49"/>
  <c r="BW12" i="49"/>
  <c r="BV12" i="49"/>
  <c r="BU12" i="49"/>
  <c r="BT12" i="49"/>
  <c r="BS12" i="49"/>
  <c r="BR12" i="49"/>
  <c r="BQ12" i="49"/>
  <c r="BP12" i="49"/>
  <c r="BO12" i="49"/>
  <c r="BN12" i="49"/>
  <c r="BM12" i="49"/>
  <c r="BL12" i="49"/>
  <c r="BK12" i="49"/>
  <c r="BJ12" i="49"/>
  <c r="DD11" i="49"/>
  <c r="EA11" i="49" s="1"/>
  <c r="CG11" i="49"/>
  <c r="CF11" i="49"/>
  <c r="CE11" i="49"/>
  <c r="CD11" i="49"/>
  <c r="DC11" i="49" s="1"/>
  <c r="DZ11" i="49" s="1"/>
  <c r="CC11" i="49"/>
  <c r="DB11" i="49" s="1"/>
  <c r="DY11" i="49" s="1"/>
  <c r="CB11" i="49"/>
  <c r="DA11" i="49" s="1"/>
  <c r="DX11" i="49" s="1"/>
  <c r="CA11" i="49"/>
  <c r="BZ11" i="49"/>
  <c r="BY11" i="49"/>
  <c r="CX11" i="49" s="1"/>
  <c r="DU11" i="49" s="1"/>
  <c r="FO11" i="49" s="1"/>
  <c r="BX11" i="49"/>
  <c r="BW11" i="49"/>
  <c r="BV11" i="49"/>
  <c r="CU11" i="49" s="1"/>
  <c r="DR11" i="49" s="1"/>
  <c r="BU11" i="49"/>
  <c r="CT11" i="49" s="1"/>
  <c r="DQ11" i="49" s="1"/>
  <c r="BT11" i="49"/>
  <c r="CS11" i="49" s="1"/>
  <c r="DP11" i="49" s="1"/>
  <c r="BS11" i="49"/>
  <c r="BR11" i="49"/>
  <c r="BQ11" i="49"/>
  <c r="CP11" i="49" s="1"/>
  <c r="DM11" i="49" s="1"/>
  <c r="FG11" i="49" s="1"/>
  <c r="BP11" i="49"/>
  <c r="BO11" i="49"/>
  <c r="BN11" i="49"/>
  <c r="CM11" i="49" s="1"/>
  <c r="DJ11" i="49" s="1"/>
  <c r="BM11" i="49"/>
  <c r="CL11" i="49" s="1"/>
  <c r="DI11" i="49" s="1"/>
  <c r="BL11" i="49"/>
  <c r="CK11" i="49" s="1"/>
  <c r="DH11" i="49" s="1"/>
  <c r="BK11" i="49"/>
  <c r="BJ11" i="49"/>
  <c r="CG10" i="49"/>
  <c r="CF10" i="49"/>
  <c r="CE10" i="49"/>
  <c r="CD10" i="49"/>
  <c r="CC10" i="49"/>
  <c r="DB10" i="49" s="1"/>
  <c r="DY10" i="49" s="1"/>
  <c r="FS10" i="49" s="1"/>
  <c r="CB10" i="49"/>
  <c r="DA10" i="49" s="1"/>
  <c r="DX10" i="49" s="1"/>
  <c r="CA10" i="49"/>
  <c r="BZ10" i="49"/>
  <c r="BY10" i="49"/>
  <c r="CX10" i="49" s="1"/>
  <c r="DU10" i="49" s="1"/>
  <c r="BX10" i="49"/>
  <c r="BW10" i="49"/>
  <c r="BV10" i="49"/>
  <c r="BU10" i="49"/>
  <c r="CT10" i="49" s="1"/>
  <c r="DQ10" i="49" s="1"/>
  <c r="FK10" i="49" s="1"/>
  <c r="BT10" i="49"/>
  <c r="CS10" i="49" s="1"/>
  <c r="DP10" i="49" s="1"/>
  <c r="BS10" i="49"/>
  <c r="BR10" i="49"/>
  <c r="BQ10" i="49"/>
  <c r="CP10" i="49" s="1"/>
  <c r="DM10" i="49" s="1"/>
  <c r="BP10" i="49"/>
  <c r="BO10" i="49"/>
  <c r="BN10" i="49"/>
  <c r="BM10" i="49"/>
  <c r="CL10" i="49" s="1"/>
  <c r="DI10" i="49" s="1"/>
  <c r="FC10" i="49" s="1"/>
  <c r="BL10" i="49"/>
  <c r="CK10" i="49" s="1"/>
  <c r="DH10" i="49" s="1"/>
  <c r="BK10" i="49"/>
  <c r="BJ10" i="49"/>
  <c r="CG9" i="49"/>
  <c r="CF9" i="49"/>
  <c r="CE9" i="49"/>
  <c r="CD9" i="49"/>
  <c r="DC9" i="49" s="1"/>
  <c r="DZ9" i="49" s="1"/>
  <c r="CC9" i="49"/>
  <c r="DB9" i="49" s="1"/>
  <c r="DY9" i="49" s="1"/>
  <c r="CB9" i="49"/>
  <c r="DA9" i="49" s="1"/>
  <c r="DX9" i="49" s="1"/>
  <c r="CA9" i="49"/>
  <c r="BZ9" i="49"/>
  <c r="BY9" i="49"/>
  <c r="CX9" i="49" s="1"/>
  <c r="DU9" i="49" s="1"/>
  <c r="FO9" i="49" s="1"/>
  <c r="BX9" i="49"/>
  <c r="BW9" i="49"/>
  <c r="BV9" i="49"/>
  <c r="CU9" i="49" s="1"/>
  <c r="DR9" i="49" s="1"/>
  <c r="BU9" i="49"/>
  <c r="CT9" i="49" s="1"/>
  <c r="DQ9" i="49" s="1"/>
  <c r="BT9" i="49"/>
  <c r="CS9" i="49" s="1"/>
  <c r="DP9" i="49" s="1"/>
  <c r="BS9" i="49"/>
  <c r="BR9" i="49"/>
  <c r="BQ9" i="49"/>
  <c r="CP9" i="49" s="1"/>
  <c r="DM9" i="49" s="1"/>
  <c r="FG9" i="49" s="1"/>
  <c r="BP9" i="49"/>
  <c r="BO9" i="49"/>
  <c r="BN9" i="49"/>
  <c r="CM9" i="49" s="1"/>
  <c r="DJ9" i="49" s="1"/>
  <c r="BM9" i="49"/>
  <c r="CL9" i="49" s="1"/>
  <c r="DI9" i="49" s="1"/>
  <c r="BL9" i="49"/>
  <c r="CK9" i="49" s="1"/>
  <c r="DH9" i="49" s="1"/>
  <c r="BK9" i="49"/>
  <c r="BJ9" i="49"/>
  <c r="CG8" i="49"/>
  <c r="CZ8" i="49" s="1"/>
  <c r="DW8" i="49" s="1"/>
  <c r="CF8" i="49"/>
  <c r="CE8" i="49"/>
  <c r="CD8" i="49"/>
  <c r="CC8" i="49"/>
  <c r="CB8" i="49"/>
  <c r="CA8" i="49"/>
  <c r="BZ8" i="49"/>
  <c r="BY8" i="49"/>
  <c r="BX8" i="49"/>
  <c r="BW8" i="49"/>
  <c r="BV8" i="49"/>
  <c r="BU8" i="49"/>
  <c r="BT8" i="49"/>
  <c r="BS8" i="49"/>
  <c r="BR8" i="49"/>
  <c r="BQ8" i="49"/>
  <c r="BP8" i="49"/>
  <c r="BO8" i="49"/>
  <c r="BN8" i="49"/>
  <c r="BM8" i="49"/>
  <c r="BL8" i="49"/>
  <c r="BK8" i="49"/>
  <c r="BJ8" i="49"/>
  <c r="CG7" i="49"/>
  <c r="CF7" i="49"/>
  <c r="CE7" i="49"/>
  <c r="CD7" i="49"/>
  <c r="DC7" i="49" s="1"/>
  <c r="DZ7" i="49" s="1"/>
  <c r="CC7" i="49"/>
  <c r="DB7" i="49" s="1"/>
  <c r="DY7" i="49" s="1"/>
  <c r="CB7" i="49"/>
  <c r="CA7" i="49"/>
  <c r="BZ7" i="49"/>
  <c r="CY7" i="49" s="1"/>
  <c r="DV7" i="49" s="1"/>
  <c r="BY7" i="49"/>
  <c r="CX7" i="49" s="1"/>
  <c r="DU7" i="49" s="1"/>
  <c r="BX7" i="49"/>
  <c r="BW7" i="49"/>
  <c r="CV7" i="49" s="1"/>
  <c r="DS7" i="49" s="1"/>
  <c r="BV7" i="49"/>
  <c r="CU7" i="49" s="1"/>
  <c r="DR7" i="49" s="1"/>
  <c r="BU7" i="49"/>
  <c r="CT7" i="49" s="1"/>
  <c r="DQ7" i="49" s="1"/>
  <c r="BT7" i="49"/>
  <c r="BS7" i="49"/>
  <c r="BR7" i="49"/>
  <c r="CQ7" i="49" s="1"/>
  <c r="DN7" i="49" s="1"/>
  <c r="BQ7" i="49"/>
  <c r="CP7" i="49" s="1"/>
  <c r="DM7" i="49" s="1"/>
  <c r="BP7" i="49"/>
  <c r="CO7" i="49" s="1"/>
  <c r="DL7" i="49" s="1"/>
  <c r="BO7" i="49"/>
  <c r="BN7" i="49"/>
  <c r="CM7" i="49" s="1"/>
  <c r="DJ7" i="49" s="1"/>
  <c r="BM7" i="49"/>
  <c r="CL7" i="49" s="1"/>
  <c r="DI7" i="49" s="1"/>
  <c r="BL7" i="49"/>
  <c r="BK7" i="49"/>
  <c r="BJ7" i="49"/>
  <c r="CI7" i="49" s="1"/>
  <c r="DF7" i="49" s="1"/>
  <c r="CG6" i="49"/>
  <c r="DC6" i="49" s="1"/>
  <c r="DZ6" i="49" s="1"/>
  <c r="CF6" i="49"/>
  <c r="CE6" i="49"/>
  <c r="DD6" i="49" s="1"/>
  <c r="EA6" i="49" s="1"/>
  <c r="CD6" i="49"/>
  <c r="CC6" i="49"/>
  <c r="CB6" i="49"/>
  <c r="CA6" i="49"/>
  <c r="CZ6" i="49" s="1"/>
  <c r="DW6" i="49" s="1"/>
  <c r="BZ6" i="49"/>
  <c r="BY6" i="49"/>
  <c r="CX6" i="49" s="1"/>
  <c r="DU6" i="49" s="1"/>
  <c r="BX6" i="49"/>
  <c r="BW6" i="49"/>
  <c r="CV6" i="49" s="1"/>
  <c r="DS6" i="49" s="1"/>
  <c r="BV6" i="49"/>
  <c r="BU6" i="49"/>
  <c r="BT6" i="49"/>
  <c r="BS6" i="49"/>
  <c r="BR6" i="49"/>
  <c r="BQ6" i="49"/>
  <c r="CP6" i="49" s="1"/>
  <c r="DM6" i="49" s="1"/>
  <c r="BP6" i="49"/>
  <c r="BO6" i="49"/>
  <c r="CN6" i="49" s="1"/>
  <c r="DK6" i="49" s="1"/>
  <c r="BN6" i="49"/>
  <c r="BM6" i="49"/>
  <c r="BL6" i="49"/>
  <c r="BK6" i="49"/>
  <c r="BJ6" i="49"/>
  <c r="BB72" i="48"/>
  <c r="BB71" i="48"/>
  <c r="AZ56" i="48"/>
  <c r="AF56" i="48"/>
  <c r="AP56" i="48" s="1"/>
  <c r="BC54" i="48"/>
  <c r="AY54" i="48"/>
  <c r="AX54" i="48"/>
  <c r="BD49" i="49" s="1"/>
  <c r="CA49" i="49" s="1"/>
  <c r="CZ49" i="49" s="1"/>
  <c r="FQ49" i="49" s="1"/>
  <c r="AW54" i="48"/>
  <c r="BC49" i="49" s="1"/>
  <c r="BZ49" i="49" s="1"/>
  <c r="CY49" i="49" s="1"/>
  <c r="FP49" i="49" s="1"/>
  <c r="AO54" i="48"/>
  <c r="AU49" i="49" s="1"/>
  <c r="BR49" i="49" s="1"/>
  <c r="CQ49" i="49" s="1"/>
  <c r="FH49" i="49" s="1"/>
  <c r="AN54" i="48"/>
  <c r="AT49" i="49" s="1"/>
  <c r="BQ49" i="49" s="1"/>
  <c r="CP49" i="49" s="1"/>
  <c r="FG49" i="49" s="1"/>
  <c r="AM54" i="48"/>
  <c r="AJ54" i="48"/>
  <c r="AP49" i="49" s="1"/>
  <c r="BM49" i="49" s="1"/>
  <c r="CL49" i="49" s="1"/>
  <c r="FC49" i="49" s="1"/>
  <c r="AF54" i="48"/>
  <c r="AV54" i="48" s="1"/>
  <c r="AF48" i="48"/>
  <c r="BC46" i="48"/>
  <c r="BB46" i="48"/>
  <c r="BA46" i="48"/>
  <c r="AZ46" i="48"/>
  <c r="AY46" i="48"/>
  <c r="AX46" i="48"/>
  <c r="AW46" i="48"/>
  <c r="AV46" i="48"/>
  <c r="AU46" i="48"/>
  <c r="AT46" i="48"/>
  <c r="AS46" i="48"/>
  <c r="BC48" i="48" s="1"/>
  <c r="AH27" i="49" s="1"/>
  <c r="CF27" i="49" s="1"/>
  <c r="DE27" i="49" s="1"/>
  <c r="EB27" i="49" s="1"/>
  <c r="AR46" i="48"/>
  <c r="AR48" i="48" s="1"/>
  <c r="W27" i="49" s="1"/>
  <c r="BU27" i="49" s="1"/>
  <c r="CT27" i="49" s="1"/>
  <c r="DQ27" i="49" s="1"/>
  <c r="AQ46" i="48"/>
  <c r="AQ48" i="48" s="1"/>
  <c r="V27" i="49" s="1"/>
  <c r="BT27" i="49" s="1"/>
  <c r="CS27" i="49" s="1"/>
  <c r="DP27" i="49" s="1"/>
  <c r="AP46" i="48"/>
  <c r="AO46" i="48"/>
  <c r="AN46" i="48"/>
  <c r="AM46" i="48"/>
  <c r="AL46" i="48"/>
  <c r="AK46" i="48"/>
  <c r="AJ46" i="48"/>
  <c r="AJ48" i="48" s="1"/>
  <c r="O27" i="49" s="1"/>
  <c r="BM27" i="49" s="1"/>
  <c r="CL27" i="49" s="1"/>
  <c r="DI27" i="49" s="1"/>
  <c r="AI46" i="48"/>
  <c r="AI48" i="48" s="1"/>
  <c r="N27" i="49" s="1"/>
  <c r="BL27" i="49" s="1"/>
  <c r="CK27" i="49" s="1"/>
  <c r="DH27" i="49" s="1"/>
  <c r="AH46" i="48"/>
  <c r="AG46" i="48"/>
  <c r="AF45" i="48"/>
  <c r="BC43" i="48"/>
  <c r="BB43" i="48"/>
  <c r="BA43" i="48"/>
  <c r="AZ43" i="48"/>
  <c r="AY43" i="48"/>
  <c r="AX43" i="48"/>
  <c r="AW43" i="48"/>
  <c r="AV43" i="48"/>
  <c r="AU43" i="48"/>
  <c r="AT43" i="48"/>
  <c r="AS43" i="48"/>
  <c r="AT45" i="48" s="1"/>
  <c r="Y26" i="49" s="1"/>
  <c r="BW26" i="49" s="1"/>
  <c r="CV26" i="49" s="1"/>
  <c r="DS26" i="49" s="1"/>
  <c r="AR43" i="48"/>
  <c r="AQ43" i="48"/>
  <c r="AP43" i="48"/>
  <c r="AO43" i="48"/>
  <c r="AN43" i="48"/>
  <c r="AM43" i="48"/>
  <c r="AL43" i="48"/>
  <c r="AK43" i="48"/>
  <c r="AJ43" i="48"/>
  <c r="AI43" i="48"/>
  <c r="AH43" i="48"/>
  <c r="AG43" i="48"/>
  <c r="AF42" i="48"/>
  <c r="AV42" i="48" s="1"/>
  <c r="AA25" i="49" s="1"/>
  <c r="BY25" i="49" s="1"/>
  <c r="CX25" i="49" s="1"/>
  <c r="DU25" i="49" s="1"/>
  <c r="BC40" i="48"/>
  <c r="BB40" i="48"/>
  <c r="BA40" i="48"/>
  <c r="AZ40" i="48"/>
  <c r="AY40" i="48"/>
  <c r="AX40" i="48"/>
  <c r="AW40" i="48"/>
  <c r="AV40" i="48"/>
  <c r="AU40" i="48"/>
  <c r="AT40" i="48"/>
  <c r="AS40" i="48"/>
  <c r="AR40" i="48"/>
  <c r="AQ40" i="48"/>
  <c r="AP40" i="48"/>
  <c r="AO40" i="48"/>
  <c r="AN40" i="48"/>
  <c r="AM40" i="48"/>
  <c r="AM42" i="48" s="1"/>
  <c r="R25" i="49" s="1"/>
  <c r="BP25" i="49" s="1"/>
  <c r="CO25" i="49" s="1"/>
  <c r="DL25" i="49" s="1"/>
  <c r="AL40" i="48"/>
  <c r="AK40" i="48"/>
  <c r="AJ40" i="48"/>
  <c r="AI40" i="48"/>
  <c r="AH40" i="48"/>
  <c r="AG40" i="48"/>
  <c r="AF39" i="48"/>
  <c r="BC39" i="48" s="1"/>
  <c r="AH19" i="49" s="1"/>
  <c r="CF19" i="49" s="1"/>
  <c r="DE19" i="49" s="1"/>
  <c r="EB19" i="49" s="1"/>
  <c r="BC37" i="48"/>
  <c r="BB37" i="48"/>
  <c r="BA37" i="48"/>
  <c r="AZ37" i="48"/>
  <c r="AY37" i="48"/>
  <c r="AX37" i="48"/>
  <c r="AW37" i="48"/>
  <c r="AV37" i="48"/>
  <c r="AU37" i="48"/>
  <c r="AT37" i="48"/>
  <c r="AS37" i="48"/>
  <c r="AR37" i="48"/>
  <c r="AQ37" i="48"/>
  <c r="AP37" i="48"/>
  <c r="AO37" i="48"/>
  <c r="AN37" i="48"/>
  <c r="AN39" i="48" s="1"/>
  <c r="S19" i="49" s="1"/>
  <c r="BQ19" i="49" s="1"/>
  <c r="CP19" i="49" s="1"/>
  <c r="DM19" i="49" s="1"/>
  <c r="AM37" i="48"/>
  <c r="AM39" i="48" s="1"/>
  <c r="R19" i="49" s="1"/>
  <c r="BP19" i="49" s="1"/>
  <c r="CO19" i="49" s="1"/>
  <c r="DL19" i="49" s="1"/>
  <c r="AL37" i="48"/>
  <c r="AK37" i="48"/>
  <c r="AJ37" i="48"/>
  <c r="AI37" i="48"/>
  <c r="AH37" i="48"/>
  <c r="AG37" i="48"/>
  <c r="AF30" i="48"/>
  <c r="AE30" i="48"/>
  <c r="AY30" i="48" s="1"/>
  <c r="AF29" i="48"/>
  <c r="AE29" i="48"/>
  <c r="BB29" i="48" s="1"/>
  <c r="AF28" i="48"/>
  <c r="AE28" i="48"/>
  <c r="BC28" i="48" s="1"/>
  <c r="AW27" i="48"/>
  <c r="AO27" i="48"/>
  <c r="AM27" i="48"/>
  <c r="AG27" i="48"/>
  <c r="AF27" i="48"/>
  <c r="AE27" i="48"/>
  <c r="AV27" i="48" s="1"/>
  <c r="AF20" i="48"/>
  <c r="AE20" i="48"/>
  <c r="AV20" i="48" s="1"/>
  <c r="AX19" i="48"/>
  <c r="AF19" i="48"/>
  <c r="AW19" i="48" s="1"/>
  <c r="AE19" i="48"/>
  <c r="AF17" i="48"/>
  <c r="AE17" i="48"/>
  <c r="BC17" i="48" s="1"/>
  <c r="AP16" i="48"/>
  <c r="AO16" i="48"/>
  <c r="AF16" i="48"/>
  <c r="AE16" i="48"/>
  <c r="AV16" i="48" s="1"/>
  <c r="AF14" i="48"/>
  <c r="AE14" i="48"/>
  <c r="AV14" i="48" s="1"/>
  <c r="AR13" i="48"/>
  <c r="AF13" i="48"/>
  <c r="AE13" i="48"/>
  <c r="AW13" i="48" s="1"/>
  <c r="AF11" i="48"/>
  <c r="AP11" i="48" s="1"/>
  <c r="AE11" i="48"/>
  <c r="AR11" i="48" s="1"/>
  <c r="AS10" i="48"/>
  <c r="AR10" i="48"/>
  <c r="AQ10" i="48"/>
  <c r="AK10" i="48"/>
  <c r="AF10" i="48"/>
  <c r="AE10" i="48"/>
  <c r="AX10" i="48" s="1"/>
  <c r="AF8" i="48"/>
  <c r="AE8" i="48"/>
  <c r="AX8" i="48" s="1"/>
  <c r="BB7" i="48"/>
  <c r="AO7" i="48"/>
  <c r="AL7" i="48"/>
  <c r="AF7" i="48"/>
  <c r="AE7" i="48"/>
  <c r="BC7" i="48" s="1"/>
  <c r="AP56" i="50" l="1"/>
  <c r="V10" i="53" s="1"/>
  <c r="AC14" i="54" s="1"/>
  <c r="AC8" i="54" s="1"/>
  <c r="AJ8" i="54"/>
  <c r="I22" i="54"/>
  <c r="FC36" i="52"/>
  <c r="DI36" i="52"/>
  <c r="CP46" i="52"/>
  <c r="FG46" i="52" s="1"/>
  <c r="CX46" i="52"/>
  <c r="FO46" i="52" s="1"/>
  <c r="CP36" i="52"/>
  <c r="FG36" i="52" s="1"/>
  <c r="CX36" i="52"/>
  <c r="FO36" i="52" s="1"/>
  <c r="CY38" i="52"/>
  <c r="FP38" i="52" s="1"/>
  <c r="CX42" i="52"/>
  <c r="FO42" i="52" s="1"/>
  <c r="CQ45" i="52"/>
  <c r="FH45" i="52" s="1"/>
  <c r="CL45" i="52"/>
  <c r="FC45" i="52" s="1"/>
  <c r="CQ46" i="52"/>
  <c r="FH46" i="52" s="1"/>
  <c r="CY46" i="52"/>
  <c r="FP46" i="52" s="1"/>
  <c r="CY36" i="52"/>
  <c r="DV36" i="52" s="1"/>
  <c r="ES36" i="52" s="1"/>
  <c r="CJ38" i="52"/>
  <c r="CP40" i="52"/>
  <c r="DM40" i="52" s="1"/>
  <c r="CZ45" i="52"/>
  <c r="FQ45" i="52" s="1"/>
  <c r="CR46" i="52"/>
  <c r="FI46" i="52" s="1"/>
  <c r="CL46" i="52"/>
  <c r="FC46" i="52" s="1"/>
  <c r="CJ36" i="52"/>
  <c r="CR36" i="52"/>
  <c r="CZ36" i="52"/>
  <c r="DW36" i="52" s="1"/>
  <c r="CK38" i="52"/>
  <c r="CS38" i="52"/>
  <c r="DA38" i="52"/>
  <c r="FR38" i="52" s="1"/>
  <c r="DD39" i="52"/>
  <c r="CI40" i="52"/>
  <c r="EZ40" i="52" s="1"/>
  <c r="CQ40" i="52"/>
  <c r="CY40" i="52"/>
  <c r="CK45" i="52"/>
  <c r="FB45" i="52" s="1"/>
  <c r="DA45" i="52"/>
  <c r="FR45" i="52" s="1"/>
  <c r="CK46" i="52"/>
  <c r="FB46" i="52" s="1"/>
  <c r="CQ36" i="52"/>
  <c r="FH36" i="52" s="1"/>
  <c r="CR45" i="52"/>
  <c r="FI45" i="52" s="1"/>
  <c r="CS36" i="52"/>
  <c r="EB36" i="52"/>
  <c r="CT38" i="52"/>
  <c r="DB38" i="52"/>
  <c r="FI38" i="52"/>
  <c r="CO39" i="52"/>
  <c r="DL39" i="52" s="1"/>
  <c r="EI39" i="52" s="1"/>
  <c r="CW39" i="52"/>
  <c r="FN39" i="52" s="1"/>
  <c r="DE39" i="52"/>
  <c r="CJ40" i="52"/>
  <c r="CZ40" i="52"/>
  <c r="FQ40" i="52" s="1"/>
  <c r="CT45" i="52"/>
  <c r="FK45" i="52" s="1"/>
  <c r="DB45" i="52"/>
  <c r="FS45" i="52" s="1"/>
  <c r="CI36" i="52"/>
  <c r="EZ36" i="52" s="1"/>
  <c r="CJ45" i="52"/>
  <c r="FA45" i="52" s="1"/>
  <c r="CT36" i="52"/>
  <c r="DQ36" i="52" s="1"/>
  <c r="DA36" i="52"/>
  <c r="CK40" i="52"/>
  <c r="CS40" i="52"/>
  <c r="DA40" i="52"/>
  <c r="CL42" i="52"/>
  <c r="FC42" i="52" s="1"/>
  <c r="DB42" i="52"/>
  <c r="DY42" i="52" s="1"/>
  <c r="DE44" i="52"/>
  <c r="EB44" i="52" s="1"/>
  <c r="EY44" i="52" s="1"/>
  <c r="CU45" i="52"/>
  <c r="FL45" i="52" s="1"/>
  <c r="DC45" i="52"/>
  <c r="FT45" i="52" s="1"/>
  <c r="CM46" i="52"/>
  <c r="FD46" i="52" s="1"/>
  <c r="CU46" i="52"/>
  <c r="FL46" i="52" s="1"/>
  <c r="DC46" i="52"/>
  <c r="FT46" i="52" s="1"/>
  <c r="CI38" i="52"/>
  <c r="DF38" i="52" s="1"/>
  <c r="EC38" i="52" s="1"/>
  <c r="CL38" i="52"/>
  <c r="DI38" i="52" s="1"/>
  <c r="EF38" i="52" s="1"/>
  <c r="CI45" i="52"/>
  <c r="EZ45" i="52" s="1"/>
  <c r="CI46" i="52"/>
  <c r="EZ46" i="52" s="1"/>
  <c r="CK36" i="52"/>
  <c r="CZ46" i="52"/>
  <c r="FQ46" i="52" s="1"/>
  <c r="CM36" i="52"/>
  <c r="CU36" i="52"/>
  <c r="DC36" i="52"/>
  <c r="CN38" i="52"/>
  <c r="DK38" i="52" s="1"/>
  <c r="EH38" i="52" s="1"/>
  <c r="CV38" i="52"/>
  <c r="FM38" i="52" s="1"/>
  <c r="DD38" i="52"/>
  <c r="FU38" i="52" s="1"/>
  <c r="CT40" i="52"/>
  <c r="DB40" i="52"/>
  <c r="CM42" i="52"/>
  <c r="FD42" i="52" s="1"/>
  <c r="CU42" i="52"/>
  <c r="DC42" i="52"/>
  <c r="FV42" i="52"/>
  <c r="CL44" i="52"/>
  <c r="DI44" i="52" s="1"/>
  <c r="EF44" i="52" s="1"/>
  <c r="CN45" i="52"/>
  <c r="FE45" i="52" s="1"/>
  <c r="CV45" i="52"/>
  <c r="FM45" i="52" s="1"/>
  <c r="DD45" i="52"/>
  <c r="FU45" i="52" s="1"/>
  <c r="CN46" i="52"/>
  <c r="FE46" i="52" s="1"/>
  <c r="DD46" i="52"/>
  <c r="FU46" i="52" s="1"/>
  <c r="FM24" i="52"/>
  <c r="EP24" i="52"/>
  <c r="FH22" i="52"/>
  <c r="CP24" i="52"/>
  <c r="DM24" i="52" s="1"/>
  <c r="CI23" i="52"/>
  <c r="DF23" i="52" s="1"/>
  <c r="CY23" i="52"/>
  <c r="DV23" i="52" s="1"/>
  <c r="ES23" i="52" s="1"/>
  <c r="CI24" i="52"/>
  <c r="DF24" i="52" s="1"/>
  <c r="EC24" i="52" s="1"/>
  <c r="CM24" i="52"/>
  <c r="DJ24" i="52" s="1"/>
  <c r="FD24" i="52" s="1"/>
  <c r="CJ23" i="52"/>
  <c r="DG23" i="52" s="1"/>
  <c r="DA23" i="52"/>
  <c r="DX23" i="52" s="1"/>
  <c r="CN24" i="52"/>
  <c r="DK24" i="52" s="1"/>
  <c r="FE24" i="52" s="1"/>
  <c r="CK23" i="52"/>
  <c r="DH23" i="52" s="1"/>
  <c r="CS23" i="52"/>
  <c r="DP23" i="52" s="1"/>
  <c r="EM23" i="52" s="1"/>
  <c r="CO24" i="52"/>
  <c r="DL24" i="52" s="1"/>
  <c r="FF24" i="52" s="1"/>
  <c r="CI20" i="52"/>
  <c r="DF20" i="52" s="1"/>
  <c r="CO21" i="52"/>
  <c r="DL21" i="52" s="1"/>
  <c r="EI21" i="52" s="1"/>
  <c r="CW21" i="52"/>
  <c r="DT21" i="52" s="1"/>
  <c r="DE21" i="52"/>
  <c r="EB21" i="52" s="1"/>
  <c r="CM22" i="52"/>
  <c r="DJ22" i="52" s="1"/>
  <c r="CU22" i="52"/>
  <c r="DR22" i="52" s="1"/>
  <c r="DC22" i="52"/>
  <c r="DZ22" i="52" s="1"/>
  <c r="FT22" i="52" s="1"/>
  <c r="CL23" i="52"/>
  <c r="DI23" i="52" s="1"/>
  <c r="CT23" i="52"/>
  <c r="DQ23" i="52" s="1"/>
  <c r="EN23" i="52" s="1"/>
  <c r="DB23" i="52"/>
  <c r="DY23" i="52" s="1"/>
  <c r="EV23" i="52" s="1"/>
  <c r="CL24" i="52"/>
  <c r="DI24" i="52" s="1"/>
  <c r="CT24" i="52"/>
  <c r="DQ24" i="52" s="1"/>
  <c r="DB24" i="52"/>
  <c r="DY24" i="52" s="1"/>
  <c r="CQ20" i="52"/>
  <c r="DN20" i="52" s="1"/>
  <c r="EC22" i="52"/>
  <c r="CM23" i="52"/>
  <c r="DJ23" i="52" s="1"/>
  <c r="CU23" i="52"/>
  <c r="DR23" i="52" s="1"/>
  <c r="EO23" i="52" s="1"/>
  <c r="DC23" i="52"/>
  <c r="DZ23" i="52" s="1"/>
  <c r="CU24" i="52"/>
  <c r="DR24" i="52" s="1"/>
  <c r="DC24" i="52"/>
  <c r="DZ24" i="52" s="1"/>
  <c r="CW24" i="52"/>
  <c r="DT24" i="52" s="1"/>
  <c r="CI21" i="52"/>
  <c r="DF21" i="52" s="1"/>
  <c r="CN23" i="52"/>
  <c r="DK23" i="52" s="1"/>
  <c r="CV23" i="52"/>
  <c r="DS23" i="52" s="1"/>
  <c r="FM23" i="52" s="1"/>
  <c r="DD23" i="52"/>
  <c r="EA23" i="52" s="1"/>
  <c r="EX23" i="52" s="1"/>
  <c r="DD24" i="52"/>
  <c r="EA24" i="52" s="1"/>
  <c r="EX24" i="52" s="1"/>
  <c r="CQ23" i="52"/>
  <c r="DN23" i="52" s="1"/>
  <c r="CZ23" i="52"/>
  <c r="DW23" i="52" s="1"/>
  <c r="CJ24" i="52"/>
  <c r="DG24" i="52" s="1"/>
  <c r="CP20" i="52"/>
  <c r="DM20" i="52" s="1"/>
  <c r="CX20" i="52"/>
  <c r="DU20" i="52" s="1"/>
  <c r="CL20" i="52"/>
  <c r="DI20" i="52" s="1"/>
  <c r="CT20" i="52"/>
  <c r="DQ20" i="52" s="1"/>
  <c r="DB20" i="52"/>
  <c r="DY20" i="52" s="1"/>
  <c r="EV20" i="52" s="1"/>
  <c r="CJ21" i="52"/>
  <c r="DG21" i="52" s="1"/>
  <c r="FE21" i="52"/>
  <c r="CO23" i="52"/>
  <c r="DL23" i="52" s="1"/>
  <c r="CW23" i="52"/>
  <c r="DT23" i="52" s="1"/>
  <c r="FN23" i="52" s="1"/>
  <c r="DE23" i="52"/>
  <c r="EB23" i="52" s="1"/>
  <c r="CT18" i="52"/>
  <c r="DQ18" i="52" s="1"/>
  <c r="EI9" i="52"/>
  <c r="FF9" i="52"/>
  <c r="EO15" i="52"/>
  <c r="FL15" i="52"/>
  <c r="EW11" i="52"/>
  <c r="FT11" i="52"/>
  <c r="EY9" i="52"/>
  <c r="FV9" i="52"/>
  <c r="EI13" i="52"/>
  <c r="FF13" i="52"/>
  <c r="CI6" i="52"/>
  <c r="DF6" i="52" s="1"/>
  <c r="CY6" i="52"/>
  <c r="DV6" i="52" s="1"/>
  <c r="CR6" i="52"/>
  <c r="DO6" i="52" s="1"/>
  <c r="CS6" i="52"/>
  <c r="DP6" i="52" s="1"/>
  <c r="EM6" i="52" s="1"/>
  <c r="CP7" i="52"/>
  <c r="DM7" i="52" s="1"/>
  <c r="FG7" i="52" s="1"/>
  <c r="CI9" i="52"/>
  <c r="DF9" i="52" s="1"/>
  <c r="EC9" i="52" s="1"/>
  <c r="CY12" i="52"/>
  <c r="DV12" i="52" s="1"/>
  <c r="CJ14" i="52"/>
  <c r="DG14" i="52" s="1"/>
  <c r="FA14" i="52" s="1"/>
  <c r="CQ15" i="52"/>
  <c r="DN15" i="52" s="1"/>
  <c r="CL6" i="52"/>
  <c r="DI6" i="52" s="1"/>
  <c r="FC6" i="52" s="1"/>
  <c r="CT6" i="52"/>
  <c r="DQ6" i="52" s="1"/>
  <c r="FK6" i="52" s="1"/>
  <c r="DB6" i="52"/>
  <c r="DY6" i="52" s="1"/>
  <c r="EV6" i="52" s="1"/>
  <c r="CI7" i="52"/>
  <c r="DF7" i="52" s="1"/>
  <c r="EC7" i="52" s="1"/>
  <c r="CQ7" i="52"/>
  <c r="DN7" i="52" s="1"/>
  <c r="EK7" i="52" s="1"/>
  <c r="CY7" i="52"/>
  <c r="DV7" i="52" s="1"/>
  <c r="CW8" i="52"/>
  <c r="DT8" i="52" s="1"/>
  <c r="FN8" i="52" s="1"/>
  <c r="CJ9" i="52"/>
  <c r="DG9" i="52" s="1"/>
  <c r="CR9" i="52"/>
  <c r="DO9" i="52" s="1"/>
  <c r="CZ9" i="52"/>
  <c r="DW9" i="52" s="1"/>
  <c r="ET9" i="52" s="1"/>
  <c r="EJ9" i="52"/>
  <c r="CU10" i="52"/>
  <c r="DR10" i="52" s="1"/>
  <c r="EO10" i="52" s="1"/>
  <c r="EC10" i="52"/>
  <c r="CN11" i="52"/>
  <c r="DK11" i="52" s="1"/>
  <c r="CJ12" i="52"/>
  <c r="DG12" i="52" s="1"/>
  <c r="FA12" i="52" s="1"/>
  <c r="CR12" i="52"/>
  <c r="DO12" i="52" s="1"/>
  <c r="CZ12" i="52"/>
  <c r="DW12" i="52" s="1"/>
  <c r="CK13" i="52"/>
  <c r="DH13" i="52" s="1"/>
  <c r="CS13" i="52"/>
  <c r="DP13" i="52" s="1"/>
  <c r="EM13" i="52" s="1"/>
  <c r="DA13" i="52"/>
  <c r="DX13" i="52" s="1"/>
  <c r="EU13" i="52" s="1"/>
  <c r="CK14" i="52"/>
  <c r="DH14" i="52" s="1"/>
  <c r="FB14" i="52" s="1"/>
  <c r="CS14" i="52"/>
  <c r="DP14" i="52" s="1"/>
  <c r="DA14" i="52"/>
  <c r="DX14" i="52" s="1"/>
  <c r="CJ15" i="52"/>
  <c r="DG15" i="52" s="1"/>
  <c r="CR15" i="52"/>
  <c r="DO15" i="52" s="1"/>
  <c r="CZ15" i="52"/>
  <c r="DW15" i="52" s="1"/>
  <c r="FQ15" i="52" s="1"/>
  <c r="FU15" i="52"/>
  <c r="CZ6" i="52"/>
  <c r="DW6" i="52" s="1"/>
  <c r="FQ6" i="52" s="1"/>
  <c r="CQ9" i="52"/>
  <c r="DN9" i="52" s="1"/>
  <c r="EK9" i="52" s="1"/>
  <c r="CI12" i="52"/>
  <c r="DF12" i="52" s="1"/>
  <c r="CZ14" i="52"/>
  <c r="DW14" i="52" s="1"/>
  <c r="CM15" i="52"/>
  <c r="DJ15" i="52" s="1"/>
  <c r="CM6" i="52"/>
  <c r="DJ6" i="52" s="1"/>
  <c r="CU6" i="52"/>
  <c r="DR6" i="52" s="1"/>
  <c r="FL6" i="52" s="1"/>
  <c r="DC6" i="52"/>
  <c r="DZ6" i="52" s="1"/>
  <c r="EW6" i="52" s="1"/>
  <c r="CJ7" i="52"/>
  <c r="DG7" i="52" s="1"/>
  <c r="ED7" i="52" s="1"/>
  <c r="CR7" i="52"/>
  <c r="DO7" i="52" s="1"/>
  <c r="FI7" i="52" s="1"/>
  <c r="CZ7" i="52"/>
  <c r="DW7" i="52" s="1"/>
  <c r="EQ7" i="52"/>
  <c r="CK9" i="52"/>
  <c r="DH9" i="52" s="1"/>
  <c r="DA9" i="52"/>
  <c r="DX9" i="52" s="1"/>
  <c r="FR9" i="52" s="1"/>
  <c r="CV10" i="52"/>
  <c r="DS10" i="52" s="1"/>
  <c r="EM10" i="52"/>
  <c r="CO11" i="52"/>
  <c r="DL11" i="52" s="1"/>
  <c r="FF11" i="52" s="1"/>
  <c r="CW11" i="52"/>
  <c r="DT11" i="52" s="1"/>
  <c r="FN11" i="52" s="1"/>
  <c r="DE11" i="52"/>
  <c r="EB11" i="52" s="1"/>
  <c r="CK15" i="52"/>
  <c r="DH15" i="52" s="1"/>
  <c r="DA15" i="52"/>
  <c r="DX15" i="52" s="1"/>
  <c r="CN6" i="52"/>
  <c r="DK6" i="52" s="1"/>
  <c r="CV6" i="52"/>
  <c r="DS6" i="52" s="1"/>
  <c r="FM6" i="52" s="1"/>
  <c r="DD6" i="52"/>
  <c r="EA6" i="52" s="1"/>
  <c r="EX6" i="52" s="1"/>
  <c r="CK7" i="52"/>
  <c r="DH7" i="52" s="1"/>
  <c r="FB7" i="52" s="1"/>
  <c r="CS7" i="52"/>
  <c r="DP7" i="52" s="1"/>
  <c r="FJ7" i="52" s="1"/>
  <c r="DA7" i="52"/>
  <c r="DX7" i="52" s="1"/>
  <c r="CL9" i="52"/>
  <c r="DI9" i="52" s="1"/>
  <c r="FC9" i="52" s="1"/>
  <c r="DB9" i="52"/>
  <c r="DY9" i="52" s="1"/>
  <c r="FS10" i="52"/>
  <c r="CL12" i="52"/>
  <c r="DI12" i="52" s="1"/>
  <c r="CT12" i="52"/>
  <c r="DQ12" i="52" s="1"/>
  <c r="EN12" i="52" s="1"/>
  <c r="DB12" i="52"/>
  <c r="DY12" i="52" s="1"/>
  <c r="CM13" i="52"/>
  <c r="DJ13" i="52" s="1"/>
  <c r="FD13" i="52" s="1"/>
  <c r="DC13" i="52"/>
  <c r="DZ13" i="52" s="1"/>
  <c r="EW13" i="52" s="1"/>
  <c r="CM14" i="52"/>
  <c r="DJ14" i="52" s="1"/>
  <c r="CU14" i="52"/>
  <c r="DR14" i="52" s="1"/>
  <c r="DC14" i="52"/>
  <c r="DZ14" i="52" s="1"/>
  <c r="CL15" i="52"/>
  <c r="DI15" i="52" s="1"/>
  <c r="EF15" i="52" s="1"/>
  <c r="CT15" i="52"/>
  <c r="DQ15" i="52" s="1"/>
  <c r="EN15" i="52" s="1"/>
  <c r="DB15" i="52"/>
  <c r="DY15" i="52" s="1"/>
  <c r="FS15" i="52" s="1"/>
  <c r="DB13" i="52"/>
  <c r="DY13" i="52" s="1"/>
  <c r="FS13" i="52" s="1"/>
  <c r="CP14" i="52"/>
  <c r="DM14" i="52" s="1"/>
  <c r="CJ6" i="52"/>
  <c r="DG6" i="52" s="1"/>
  <c r="ED6" i="52" s="1"/>
  <c r="CX9" i="52"/>
  <c r="DU9" i="52" s="1"/>
  <c r="CO12" i="52"/>
  <c r="DL12" i="52" s="1"/>
  <c r="CI13" i="52"/>
  <c r="DF13" i="52" s="1"/>
  <c r="EC13" i="52" s="1"/>
  <c r="CQ13" i="52"/>
  <c r="DN13" i="52" s="1"/>
  <c r="EK13" i="52" s="1"/>
  <c r="CY13" i="52"/>
  <c r="DV13" i="52" s="1"/>
  <c r="ES13" i="52" s="1"/>
  <c r="CJ13" i="52"/>
  <c r="DG13" i="52" s="1"/>
  <c r="ED13" i="52" s="1"/>
  <c r="DD13" i="52"/>
  <c r="EA13" i="52" s="1"/>
  <c r="CI14" i="52"/>
  <c r="DF14" i="52" s="1"/>
  <c r="EC14" i="52" s="1"/>
  <c r="CP15" i="52"/>
  <c r="DM15" i="52" s="1"/>
  <c r="EJ15" i="52" s="1"/>
  <c r="CK6" i="52"/>
  <c r="DH6" i="52" s="1"/>
  <c r="DA6" i="52"/>
  <c r="DX6" i="52" s="1"/>
  <c r="EU6" i="52" s="1"/>
  <c r="CX7" i="52"/>
  <c r="DU7" i="52" s="1"/>
  <c r="ER7" i="52" s="1"/>
  <c r="CY9" i="52"/>
  <c r="DV9" i="52" s="1"/>
  <c r="FP9" i="52" s="1"/>
  <c r="CQ12" i="52"/>
  <c r="DN12" i="52" s="1"/>
  <c r="FH12" i="52" s="1"/>
  <c r="CR13" i="52"/>
  <c r="DO13" i="52" s="1"/>
  <c r="CI15" i="52"/>
  <c r="DF15" i="52" s="1"/>
  <c r="CY15" i="52"/>
  <c r="DV15" i="52" s="1"/>
  <c r="CO6" i="52"/>
  <c r="DL6" i="52" s="1"/>
  <c r="CW6" i="52"/>
  <c r="DT6" i="52" s="1"/>
  <c r="DE6" i="52"/>
  <c r="EB6" i="52" s="1"/>
  <c r="EY6" i="52" s="1"/>
  <c r="CL7" i="52"/>
  <c r="DI7" i="52" s="1"/>
  <c r="EF7" i="52" s="1"/>
  <c r="CT7" i="52"/>
  <c r="DQ7" i="52" s="1"/>
  <c r="FK7" i="52" s="1"/>
  <c r="DB7" i="52"/>
  <c r="DY7" i="52" s="1"/>
  <c r="EV7" i="52" s="1"/>
  <c r="CJ8" i="52"/>
  <c r="DG8" i="52" s="1"/>
  <c r="ED8" i="52" s="1"/>
  <c r="CR8" i="52"/>
  <c r="DO8" i="52" s="1"/>
  <c r="CM9" i="52"/>
  <c r="DJ9" i="52" s="1"/>
  <c r="CU9" i="52"/>
  <c r="DR9" i="52" s="1"/>
  <c r="CI11" i="52"/>
  <c r="DF11" i="52" s="1"/>
  <c r="CY11" i="52"/>
  <c r="DV11" i="52" s="1"/>
  <c r="FP11" i="52" s="1"/>
  <c r="CM12" i="52"/>
  <c r="DJ12" i="52" s="1"/>
  <c r="EG12" i="52" s="1"/>
  <c r="DC12" i="52"/>
  <c r="DZ12" i="52" s="1"/>
  <c r="EW12" i="52" s="1"/>
  <c r="CN14" i="52"/>
  <c r="DK14" i="52" s="1"/>
  <c r="FE14" i="52" s="1"/>
  <c r="CV14" i="52"/>
  <c r="DS14" i="52" s="1"/>
  <c r="DD14" i="52"/>
  <c r="EA14" i="52" s="1"/>
  <c r="DC15" i="52"/>
  <c r="DZ15" i="52" s="1"/>
  <c r="EP15" i="52"/>
  <c r="AX56" i="51"/>
  <c r="AG56" i="51"/>
  <c r="AZ56" i="51"/>
  <c r="BF48" i="52" s="1"/>
  <c r="CC48" i="52" s="1"/>
  <c r="DB48" i="52" s="1"/>
  <c r="AH56" i="51"/>
  <c r="AJ56" i="51"/>
  <c r="AP48" i="52" s="1"/>
  <c r="BM48" i="52" s="1"/>
  <c r="CL48" i="52" s="1"/>
  <c r="AO56" i="51"/>
  <c r="AP56" i="51"/>
  <c r="AN39" i="51"/>
  <c r="S19" i="52" s="1"/>
  <c r="BQ19" i="52" s="1"/>
  <c r="CP19" i="52" s="1"/>
  <c r="DM19" i="52" s="1"/>
  <c r="AO42" i="51"/>
  <c r="T25" i="52" s="1"/>
  <c r="BR25" i="52" s="1"/>
  <c r="CQ25" i="52" s="1"/>
  <c r="DN25" i="52" s="1"/>
  <c r="AT42" i="51"/>
  <c r="Y25" i="52" s="1"/>
  <c r="BW25" i="52" s="1"/>
  <c r="CV25" i="52" s="1"/>
  <c r="DS25" i="52" s="1"/>
  <c r="AH42" i="51"/>
  <c r="M25" i="52" s="1"/>
  <c r="BK25" i="52" s="1"/>
  <c r="CJ25" i="52" s="1"/>
  <c r="DG25" i="52" s="1"/>
  <c r="AI42" i="51"/>
  <c r="N25" i="52" s="1"/>
  <c r="BL25" i="52" s="1"/>
  <c r="CK25" i="52" s="1"/>
  <c r="DH25" i="52" s="1"/>
  <c r="FB25" i="52" s="1"/>
  <c r="AQ42" i="51"/>
  <c r="V25" i="52" s="1"/>
  <c r="BT25" i="52" s="1"/>
  <c r="CS25" i="52" s="1"/>
  <c r="DP25" i="52" s="1"/>
  <c r="FJ25" i="52" s="1"/>
  <c r="AW42" i="51"/>
  <c r="AB25" i="52" s="1"/>
  <c r="BZ25" i="52" s="1"/>
  <c r="CY25" i="52" s="1"/>
  <c r="DV25" i="52" s="1"/>
  <c r="FP25" i="52" s="1"/>
  <c r="AG48" i="51"/>
  <c r="L27" i="52" s="1"/>
  <c r="BJ27" i="52" s="1"/>
  <c r="CI27" i="52" s="1"/>
  <c r="DF27" i="52" s="1"/>
  <c r="EC27" i="52" s="1"/>
  <c r="AJ39" i="51"/>
  <c r="O19" i="52" s="1"/>
  <c r="BM19" i="52" s="1"/>
  <c r="CL19" i="52" s="1"/>
  <c r="DI19" i="52" s="1"/>
  <c r="AR39" i="51"/>
  <c r="W19" i="52" s="1"/>
  <c r="BU19" i="52" s="1"/>
  <c r="CT19" i="52" s="1"/>
  <c r="DQ19" i="52" s="1"/>
  <c r="AJ42" i="51"/>
  <c r="O25" i="52" s="1"/>
  <c r="BM25" i="52" s="1"/>
  <c r="CL25" i="52" s="1"/>
  <c r="DI25" i="52" s="1"/>
  <c r="AR42" i="51"/>
  <c r="W25" i="52" s="1"/>
  <c r="BU25" i="52" s="1"/>
  <c r="CT25" i="52" s="1"/>
  <c r="DQ25" i="52" s="1"/>
  <c r="AK39" i="51"/>
  <c r="P19" i="52" s="1"/>
  <c r="BN19" i="52" s="1"/>
  <c r="CM19" i="52" s="1"/>
  <c r="DJ19" i="52" s="1"/>
  <c r="EG19" i="52" s="1"/>
  <c r="AK42" i="51"/>
  <c r="P25" i="52" s="1"/>
  <c r="BN25" i="52" s="1"/>
  <c r="CM25" i="52" s="1"/>
  <c r="DJ25" i="52" s="1"/>
  <c r="FD25" i="52" s="1"/>
  <c r="BA42" i="51"/>
  <c r="AF25" i="52" s="1"/>
  <c r="CD25" i="52" s="1"/>
  <c r="DC25" i="52" s="1"/>
  <c r="DZ25" i="52" s="1"/>
  <c r="BC42" i="51"/>
  <c r="AH25" i="52" s="1"/>
  <c r="CF25" i="52" s="1"/>
  <c r="DE25" i="52" s="1"/>
  <c r="EB25" i="52" s="1"/>
  <c r="EY25" i="52" s="1"/>
  <c r="BB45" i="51"/>
  <c r="AG26" i="52" s="1"/>
  <c r="CE26" i="52" s="1"/>
  <c r="DD26" i="52" s="1"/>
  <c r="EA26" i="52" s="1"/>
  <c r="AO48" i="51"/>
  <c r="T27" i="52" s="1"/>
  <c r="BR27" i="52" s="1"/>
  <c r="CQ27" i="52" s="1"/>
  <c r="DN27" i="52" s="1"/>
  <c r="AG42" i="51"/>
  <c r="L25" i="52" s="1"/>
  <c r="BJ25" i="52" s="1"/>
  <c r="CI25" i="52" s="1"/>
  <c r="DF25" i="52" s="1"/>
  <c r="AP42" i="51"/>
  <c r="U25" i="52" s="1"/>
  <c r="BS25" i="52" s="1"/>
  <c r="CR25" i="52" s="1"/>
  <c r="DO25" i="52" s="1"/>
  <c r="AL39" i="51"/>
  <c r="Q19" i="52" s="1"/>
  <c r="BO19" i="52" s="1"/>
  <c r="CN19" i="52" s="1"/>
  <c r="DK19" i="52" s="1"/>
  <c r="FE19" i="52" s="1"/>
  <c r="AL42" i="51"/>
  <c r="Q25" i="52" s="1"/>
  <c r="BO25" i="52" s="1"/>
  <c r="CN25" i="52" s="1"/>
  <c r="DK25" i="52" s="1"/>
  <c r="AU45" i="51"/>
  <c r="Z26" i="52" s="1"/>
  <c r="BX26" i="52" s="1"/>
  <c r="CW26" i="52" s="1"/>
  <c r="DT26" i="52" s="1"/>
  <c r="EQ26" i="52" s="1"/>
  <c r="AS29" i="51"/>
  <c r="AM27" i="51"/>
  <c r="BB27" i="51"/>
  <c r="AU29" i="51"/>
  <c r="AR30" i="51"/>
  <c r="AO27" i="51"/>
  <c r="AT30" i="51"/>
  <c r="AS27" i="51"/>
  <c r="AS28" i="51"/>
  <c r="AU30" i="51"/>
  <c r="AI29" i="51"/>
  <c r="AH30" i="51"/>
  <c r="AX30" i="51"/>
  <c r="AO7" i="51"/>
  <c r="AO9" i="51" s="1"/>
  <c r="T28" i="52" s="1"/>
  <c r="BR28" i="52" s="1"/>
  <c r="CQ28" i="52" s="1"/>
  <c r="DN28" i="52" s="1"/>
  <c r="FH28" i="52" s="1"/>
  <c r="AY7" i="51"/>
  <c r="AU21" i="51"/>
  <c r="Z32" i="52" s="1"/>
  <c r="BX32" i="52" s="1"/>
  <c r="CW32" i="52" s="1"/>
  <c r="DT32" i="52" s="1"/>
  <c r="AP7" i="51"/>
  <c r="AP9" i="51" s="1"/>
  <c r="U28" i="52" s="1"/>
  <c r="BS28" i="52" s="1"/>
  <c r="CR28" i="52" s="1"/>
  <c r="DO28" i="52" s="1"/>
  <c r="EL28" i="52" s="1"/>
  <c r="AZ7" i="51"/>
  <c r="AO12" i="51"/>
  <c r="T29" i="52" s="1"/>
  <c r="BR29" i="52" s="1"/>
  <c r="CQ29" i="52" s="1"/>
  <c r="DN29" i="52" s="1"/>
  <c r="EK29" i="52" s="1"/>
  <c r="AG11" i="51"/>
  <c r="AW15" i="51"/>
  <c r="AB30" i="52" s="1"/>
  <c r="BZ30" i="52" s="1"/>
  <c r="CY30" i="52" s="1"/>
  <c r="DV30" i="52" s="1"/>
  <c r="FP30" i="52" s="1"/>
  <c r="AT20" i="51"/>
  <c r="AG7" i="51"/>
  <c r="AQ7" i="51"/>
  <c r="BA7" i="51"/>
  <c r="BA9" i="51" s="1"/>
  <c r="AF28" i="52" s="1"/>
  <c r="CD28" i="52" s="1"/>
  <c r="DC28" i="52" s="1"/>
  <c r="DZ28" i="52" s="1"/>
  <c r="AO11" i="51"/>
  <c r="AR14" i="51"/>
  <c r="AU20" i="51"/>
  <c r="AH7" i="51"/>
  <c r="AR7" i="51"/>
  <c r="BB7" i="51"/>
  <c r="AW11" i="51"/>
  <c r="AZ14" i="51"/>
  <c r="AU14" i="51"/>
  <c r="AG20" i="51"/>
  <c r="AW20" i="51"/>
  <c r="AI7" i="51"/>
  <c r="AS7" i="51"/>
  <c r="AS9" i="51" s="1"/>
  <c r="X28" i="52" s="1"/>
  <c r="BV28" i="52" s="1"/>
  <c r="CU28" i="52" s="1"/>
  <c r="DR28" i="52" s="1"/>
  <c r="BC12" i="51"/>
  <c r="AH29" i="52" s="1"/>
  <c r="CF29" i="52" s="1"/>
  <c r="DE29" i="52" s="1"/>
  <c r="EB29" i="52" s="1"/>
  <c r="AW10" i="51"/>
  <c r="AW12" i="51" s="1"/>
  <c r="AB29" i="52" s="1"/>
  <c r="BZ29" i="52" s="1"/>
  <c r="CY29" i="52" s="1"/>
  <c r="DV29" i="52" s="1"/>
  <c r="AG14" i="51"/>
  <c r="AV14" i="51"/>
  <c r="AV15" i="51" s="1"/>
  <c r="AA30" i="52" s="1"/>
  <c r="BY30" i="52" s="1"/>
  <c r="CX30" i="52" s="1"/>
  <c r="DU30" i="52" s="1"/>
  <c r="AH20" i="51"/>
  <c r="AX20" i="51"/>
  <c r="AJ7" i="51"/>
  <c r="AT7" i="51"/>
  <c r="AV8" i="51"/>
  <c r="AV9" i="51" s="1"/>
  <c r="AA28" i="52" s="1"/>
  <c r="BY28" i="52" s="1"/>
  <c r="CX28" i="52" s="1"/>
  <c r="DU28" i="52" s="1"/>
  <c r="AV10" i="51"/>
  <c r="AV12" i="51" s="1"/>
  <c r="AA29" i="52" s="1"/>
  <c r="BY29" i="52" s="1"/>
  <c r="CX29" i="52" s="1"/>
  <c r="DU29" i="52" s="1"/>
  <c r="AX10" i="51"/>
  <c r="AS13" i="51"/>
  <c r="AH14" i="51"/>
  <c r="AW14" i="51"/>
  <c r="AK20" i="51"/>
  <c r="BA20" i="51"/>
  <c r="AK7" i="51"/>
  <c r="AW7" i="51"/>
  <c r="AW9" i="51" s="1"/>
  <c r="AB28" i="52" s="1"/>
  <c r="BZ28" i="52" s="1"/>
  <c r="CY28" i="52" s="1"/>
  <c r="DV28" i="52" s="1"/>
  <c r="ES28" i="52" s="1"/>
  <c r="AG8" i="51"/>
  <c r="AG10" i="51"/>
  <c r="AG12" i="51" s="1"/>
  <c r="L29" i="52" s="1"/>
  <c r="BJ29" i="52" s="1"/>
  <c r="CI29" i="52" s="1"/>
  <c r="DF29" i="52" s="1"/>
  <c r="BA10" i="51"/>
  <c r="AJ13" i="51"/>
  <c r="AJ15" i="51" s="1"/>
  <c r="O30" i="52" s="1"/>
  <c r="BM30" i="52" s="1"/>
  <c r="CL30" i="52" s="1"/>
  <c r="DI30" i="52" s="1"/>
  <c r="AI14" i="51"/>
  <c r="BC14" i="51"/>
  <c r="AT19" i="51"/>
  <c r="AT21" i="51" s="1"/>
  <c r="Y32" i="52" s="1"/>
  <c r="BW32" i="52" s="1"/>
  <c r="CV32" i="52" s="1"/>
  <c r="DS32" i="52" s="1"/>
  <c r="AL20" i="51"/>
  <c r="AL7" i="51"/>
  <c r="AX7" i="51"/>
  <c r="AX9" i="51" s="1"/>
  <c r="AC28" i="52" s="1"/>
  <c r="CA28" i="52" s="1"/>
  <c r="CZ28" i="52" s="1"/>
  <c r="DW28" i="52" s="1"/>
  <c r="AH8" i="51"/>
  <c r="AH10" i="51"/>
  <c r="BC11" i="51"/>
  <c r="AH19" i="51"/>
  <c r="AM20" i="51"/>
  <c r="X44" i="50"/>
  <c r="AJ51" i="50"/>
  <c r="AH51" i="50"/>
  <c r="AI51" i="50"/>
  <c r="X51" i="50"/>
  <c r="AA51" i="50" s="1"/>
  <c r="CP40" i="49"/>
  <c r="CX36" i="49"/>
  <c r="FO36" i="49" s="1"/>
  <c r="CI40" i="49"/>
  <c r="CI42" i="49"/>
  <c r="CY42" i="49"/>
  <c r="DV42" i="49" s="1"/>
  <c r="CX43" i="49"/>
  <c r="DU43" i="49" s="1"/>
  <c r="ER43" i="49" s="1"/>
  <c r="CQ36" i="49"/>
  <c r="CJ40" i="49"/>
  <c r="FA40" i="49" s="1"/>
  <c r="CR40" i="49"/>
  <c r="CZ40" i="49"/>
  <c r="CJ42" i="49"/>
  <c r="CR42" i="49"/>
  <c r="CI43" i="49"/>
  <c r="EZ43" i="49" s="1"/>
  <c r="CQ43" i="49"/>
  <c r="DN43" i="49" s="1"/>
  <c r="EK43" i="49" s="1"/>
  <c r="CP44" i="49"/>
  <c r="DM44" i="49" s="1"/>
  <c r="EJ44" i="49" s="1"/>
  <c r="CX44" i="49"/>
  <c r="FO44" i="49" s="1"/>
  <c r="CJ36" i="49"/>
  <c r="CR36" i="49"/>
  <c r="CN38" i="49"/>
  <c r="CV38" i="49"/>
  <c r="FM38" i="49" s="1"/>
  <c r="DD38" i="49"/>
  <c r="EA38" i="49" s="1"/>
  <c r="EX38" i="49" s="1"/>
  <c r="CM39" i="49"/>
  <c r="DJ39" i="49" s="1"/>
  <c r="EG39" i="49" s="1"/>
  <c r="CU39" i="49"/>
  <c r="DR39" i="49" s="1"/>
  <c r="EO39" i="49" s="1"/>
  <c r="CK40" i="49"/>
  <c r="FB40" i="49" s="1"/>
  <c r="CS40" i="49"/>
  <c r="DP40" i="49" s="1"/>
  <c r="DA40" i="49"/>
  <c r="DX40" i="49" s="1"/>
  <c r="CK42" i="49"/>
  <c r="CS42" i="49"/>
  <c r="FJ42" i="49" s="1"/>
  <c r="DA42" i="49"/>
  <c r="FR42" i="49" s="1"/>
  <c r="CI44" i="49"/>
  <c r="CQ44" i="49"/>
  <c r="DN44" i="49" s="1"/>
  <c r="EK44" i="49" s="1"/>
  <c r="CY44" i="49"/>
  <c r="DV44" i="49" s="1"/>
  <c r="ES44" i="49" s="1"/>
  <c r="CO46" i="49"/>
  <c r="FF46" i="49" s="1"/>
  <c r="CW46" i="49"/>
  <c r="FN46" i="49" s="1"/>
  <c r="DE46" i="49"/>
  <c r="FV46" i="49" s="1"/>
  <c r="AB13" i="53" s="1"/>
  <c r="CX40" i="49"/>
  <c r="CQ42" i="49"/>
  <c r="DN42" i="49" s="1"/>
  <c r="DB42" i="49"/>
  <c r="CI36" i="49"/>
  <c r="EZ36" i="49" s="1"/>
  <c r="CK36" i="49"/>
  <c r="FB36" i="49" s="1"/>
  <c r="CS36" i="49"/>
  <c r="FJ36" i="49" s="1"/>
  <c r="DA36" i="49"/>
  <c r="FR36" i="49" s="1"/>
  <c r="CL40" i="49"/>
  <c r="DI40" i="49" s="1"/>
  <c r="CT40" i="49"/>
  <c r="DQ40" i="49" s="1"/>
  <c r="DB40" i="49"/>
  <c r="DY40" i="49" s="1"/>
  <c r="CL42" i="49"/>
  <c r="FC42" i="49" s="1"/>
  <c r="CT42" i="49"/>
  <c r="DQ42" i="49" s="1"/>
  <c r="EN42" i="49" s="1"/>
  <c r="CK43" i="49"/>
  <c r="DH43" i="49" s="1"/>
  <c r="EE43" i="49" s="1"/>
  <c r="CS43" i="49"/>
  <c r="DA43" i="49"/>
  <c r="CJ44" i="49"/>
  <c r="FA44" i="49" s="1"/>
  <c r="CR44" i="49"/>
  <c r="FI44" i="49" s="1"/>
  <c r="CZ44" i="49"/>
  <c r="FQ44" i="49" s="1"/>
  <c r="CQ40" i="49"/>
  <c r="DN40" i="49" s="1"/>
  <c r="CL36" i="49"/>
  <c r="DI36" i="49" s="1"/>
  <c r="CT36" i="49"/>
  <c r="DQ36" i="49" s="1"/>
  <c r="EN36" i="49" s="1"/>
  <c r="EN41" i="49" s="1"/>
  <c r="DB36" i="49"/>
  <c r="DY36" i="49" s="1"/>
  <c r="CO39" i="49"/>
  <c r="FF39" i="49" s="1"/>
  <c r="CW39" i="49"/>
  <c r="FN39" i="49" s="1"/>
  <c r="DE39" i="49"/>
  <c r="FV39" i="49" s="1"/>
  <c r="CM40" i="49"/>
  <c r="DJ40" i="49" s="1"/>
  <c r="CU40" i="49"/>
  <c r="DR40" i="49" s="1"/>
  <c r="DC40" i="49"/>
  <c r="CM42" i="49"/>
  <c r="FD42" i="49" s="1"/>
  <c r="CU42" i="49"/>
  <c r="CL43" i="49"/>
  <c r="CT43" i="49"/>
  <c r="DB43" i="49"/>
  <c r="CK44" i="49"/>
  <c r="FB44" i="49" s="1"/>
  <c r="CS44" i="49"/>
  <c r="DA44" i="49"/>
  <c r="DX44" i="49" s="1"/>
  <c r="EU44" i="49" s="1"/>
  <c r="CI46" i="49"/>
  <c r="EZ46" i="49" s="1"/>
  <c r="CY46" i="49"/>
  <c r="FP46" i="49" s="1"/>
  <c r="CY40" i="49"/>
  <c r="DV40" i="49" s="1"/>
  <c r="CP43" i="49"/>
  <c r="DM43" i="49" s="1"/>
  <c r="EJ43" i="49" s="1"/>
  <c r="CY36" i="49"/>
  <c r="DV36" i="49" s="1"/>
  <c r="CM36" i="49"/>
  <c r="DJ36" i="49" s="1"/>
  <c r="CU36" i="49"/>
  <c r="DR36" i="49" s="1"/>
  <c r="EO36" i="49" s="1"/>
  <c r="DC36" i="49"/>
  <c r="DZ36" i="49" s="1"/>
  <c r="CN40" i="49"/>
  <c r="FE40" i="49" s="1"/>
  <c r="CV40" i="49"/>
  <c r="DD40" i="49"/>
  <c r="CM43" i="49"/>
  <c r="CU43" i="49"/>
  <c r="CL44" i="49"/>
  <c r="DI44" i="49" s="1"/>
  <c r="EF44" i="49" s="1"/>
  <c r="DB44" i="49"/>
  <c r="DY44" i="49" s="1"/>
  <c r="EV44" i="49" s="1"/>
  <c r="CR46" i="49"/>
  <c r="FI46" i="49" s="1"/>
  <c r="O13" i="53" s="1"/>
  <c r="V21" i="54" s="1"/>
  <c r="CZ46" i="49"/>
  <c r="FQ46" i="49" s="1"/>
  <c r="W13" i="53" s="1"/>
  <c r="CO20" i="49"/>
  <c r="DL20" i="49" s="1"/>
  <c r="CW20" i="49"/>
  <c r="DT20" i="49" s="1"/>
  <c r="EQ20" i="49" s="1"/>
  <c r="DE20" i="49"/>
  <c r="EB20" i="49" s="1"/>
  <c r="FV20" i="49" s="1"/>
  <c r="CO21" i="49"/>
  <c r="DL21" i="49" s="1"/>
  <c r="CW21" i="49"/>
  <c r="DT21" i="49" s="1"/>
  <c r="EQ21" i="49" s="1"/>
  <c r="CM22" i="49"/>
  <c r="DJ22" i="49" s="1"/>
  <c r="FD22" i="49" s="1"/>
  <c r="DC22" i="49"/>
  <c r="DZ22" i="49" s="1"/>
  <c r="FT22" i="49" s="1"/>
  <c r="CM23" i="49"/>
  <c r="DJ23" i="49" s="1"/>
  <c r="EG23" i="49" s="1"/>
  <c r="CU23" i="49"/>
  <c r="DR23" i="49" s="1"/>
  <c r="DC23" i="49"/>
  <c r="DZ23" i="49" s="1"/>
  <c r="CN23" i="49"/>
  <c r="DK23" i="49" s="1"/>
  <c r="CV23" i="49"/>
  <c r="DS23" i="49" s="1"/>
  <c r="FM23" i="49" s="1"/>
  <c r="CQ21" i="49"/>
  <c r="DN21" i="49" s="1"/>
  <c r="EK21" i="49" s="1"/>
  <c r="CY21" i="49"/>
  <c r="DV21" i="49" s="1"/>
  <c r="FP21" i="49" s="1"/>
  <c r="CO23" i="49"/>
  <c r="DL23" i="49" s="1"/>
  <c r="EI23" i="49" s="1"/>
  <c r="CW23" i="49"/>
  <c r="DT23" i="49" s="1"/>
  <c r="FN23" i="49" s="1"/>
  <c r="DE23" i="49"/>
  <c r="EB23" i="49" s="1"/>
  <c r="EY23" i="49" s="1"/>
  <c r="DA22" i="49"/>
  <c r="DX22" i="49" s="1"/>
  <c r="CK20" i="49"/>
  <c r="DH20" i="49" s="1"/>
  <c r="CS20" i="49"/>
  <c r="DP20" i="49" s="1"/>
  <c r="DA20" i="49"/>
  <c r="DX20" i="49" s="1"/>
  <c r="CK21" i="49"/>
  <c r="DH21" i="49" s="1"/>
  <c r="FB21" i="49" s="1"/>
  <c r="CS21" i="49"/>
  <c r="DP21" i="49" s="1"/>
  <c r="FJ21" i="49" s="1"/>
  <c r="DA21" i="49"/>
  <c r="DX21" i="49" s="1"/>
  <c r="FR21" i="49" s="1"/>
  <c r="CI23" i="49"/>
  <c r="DF23" i="49" s="1"/>
  <c r="EC23" i="49" s="1"/>
  <c r="CQ23" i="49"/>
  <c r="DN23" i="49" s="1"/>
  <c r="CY23" i="49"/>
  <c r="DV23" i="49" s="1"/>
  <c r="CI17" i="49"/>
  <c r="DF17" i="49" s="1"/>
  <c r="EC17" i="49" s="1"/>
  <c r="CQ17" i="49"/>
  <c r="DN17" i="49" s="1"/>
  <c r="FH17" i="49" s="1"/>
  <c r="CY17" i="49"/>
  <c r="DV17" i="49" s="1"/>
  <c r="ES17" i="49" s="1"/>
  <c r="CJ17" i="49"/>
  <c r="DG17" i="49" s="1"/>
  <c r="ED17" i="49" s="1"/>
  <c r="CR17" i="49"/>
  <c r="DO17" i="49" s="1"/>
  <c r="EL17" i="49" s="1"/>
  <c r="CI18" i="49"/>
  <c r="DF18" i="49" s="1"/>
  <c r="EC18" i="49" s="1"/>
  <c r="CQ18" i="49"/>
  <c r="DN18" i="49" s="1"/>
  <c r="FH18" i="49" s="1"/>
  <c r="CY18" i="49"/>
  <c r="DV18" i="49" s="1"/>
  <c r="FP18" i="49" s="1"/>
  <c r="CS17" i="49"/>
  <c r="DP17" i="49" s="1"/>
  <c r="CJ18" i="49"/>
  <c r="DG18" i="49" s="1"/>
  <c r="FA18" i="49" s="1"/>
  <c r="CR18" i="49"/>
  <c r="DO18" i="49" s="1"/>
  <c r="EL18" i="49" s="1"/>
  <c r="CZ18" i="49"/>
  <c r="DW18" i="49" s="1"/>
  <c r="ET18" i="49" s="1"/>
  <c r="CS18" i="49"/>
  <c r="DP18" i="49" s="1"/>
  <c r="FJ18" i="49" s="1"/>
  <c r="DA18" i="49"/>
  <c r="DX18" i="49" s="1"/>
  <c r="FR18" i="49" s="1"/>
  <c r="CM17" i="49"/>
  <c r="DJ17" i="49" s="1"/>
  <c r="FD17" i="49" s="1"/>
  <c r="CU17" i="49"/>
  <c r="DR17" i="49" s="1"/>
  <c r="FL17" i="49" s="1"/>
  <c r="DC17" i="49"/>
  <c r="DZ17" i="49" s="1"/>
  <c r="CL18" i="49"/>
  <c r="DI18" i="49" s="1"/>
  <c r="CT18" i="49"/>
  <c r="DQ18" i="49" s="1"/>
  <c r="EN18" i="49" s="1"/>
  <c r="DB18" i="49"/>
  <c r="DY18" i="49" s="1"/>
  <c r="CZ17" i="49"/>
  <c r="DW17" i="49" s="1"/>
  <c r="ET17" i="49" s="1"/>
  <c r="CK17" i="49"/>
  <c r="DH17" i="49" s="1"/>
  <c r="EE17" i="49" s="1"/>
  <c r="CK18" i="49"/>
  <c r="DH18" i="49" s="1"/>
  <c r="FB18" i="49" s="1"/>
  <c r="CN17" i="49"/>
  <c r="DK17" i="49" s="1"/>
  <c r="EH17" i="49" s="1"/>
  <c r="CV17" i="49"/>
  <c r="DS17" i="49" s="1"/>
  <c r="EP17" i="49" s="1"/>
  <c r="DD17" i="49"/>
  <c r="EA17" i="49" s="1"/>
  <c r="FU17" i="49" s="1"/>
  <c r="CM18" i="49"/>
  <c r="DJ18" i="49" s="1"/>
  <c r="EG18" i="49" s="1"/>
  <c r="CU18" i="49"/>
  <c r="DR18" i="49" s="1"/>
  <c r="FL18" i="49" s="1"/>
  <c r="DC18" i="49"/>
  <c r="DZ18" i="49" s="1"/>
  <c r="CQ13" i="49"/>
  <c r="DN13" i="49" s="1"/>
  <c r="EK13" i="49" s="1"/>
  <c r="CJ13" i="49"/>
  <c r="DG13" i="49" s="1"/>
  <c r="CI6" i="49"/>
  <c r="DF6" i="49" s="1"/>
  <c r="CQ6" i="49"/>
  <c r="DN6" i="49" s="1"/>
  <c r="EK6" i="49" s="1"/>
  <c r="CY6" i="49"/>
  <c r="DV6" i="49" s="1"/>
  <c r="ES6" i="49" s="1"/>
  <c r="CW7" i="49"/>
  <c r="DT7" i="49" s="1"/>
  <c r="DE7" i="49"/>
  <c r="EB7" i="49" s="1"/>
  <c r="FV7" i="49" s="1"/>
  <c r="CN9" i="49"/>
  <c r="DK9" i="49" s="1"/>
  <c r="FE9" i="49" s="1"/>
  <c r="CV9" i="49"/>
  <c r="DS9" i="49" s="1"/>
  <c r="DD9" i="49"/>
  <c r="EA9" i="49" s="1"/>
  <c r="CN11" i="49"/>
  <c r="DK11" i="49" s="1"/>
  <c r="CV11" i="49"/>
  <c r="DS11" i="49" s="1"/>
  <c r="FM11" i="49" s="1"/>
  <c r="CK12" i="49"/>
  <c r="DH12" i="49" s="1"/>
  <c r="CS12" i="49"/>
  <c r="DP12" i="49" s="1"/>
  <c r="FJ12" i="49" s="1"/>
  <c r="DA12" i="49"/>
  <c r="DX12" i="49" s="1"/>
  <c r="FR12" i="49" s="1"/>
  <c r="CK13" i="49"/>
  <c r="DH13" i="49" s="1"/>
  <c r="EE13" i="49" s="1"/>
  <c r="CS13" i="49"/>
  <c r="DP13" i="49" s="1"/>
  <c r="DA13" i="49"/>
  <c r="DX13" i="49" s="1"/>
  <c r="CK14" i="49"/>
  <c r="DH14" i="49" s="1"/>
  <c r="FB14" i="49" s="1"/>
  <c r="CS14" i="49"/>
  <c r="DP14" i="49" s="1"/>
  <c r="EM14" i="49" s="1"/>
  <c r="DA14" i="49"/>
  <c r="DX14" i="49" s="1"/>
  <c r="CP12" i="49"/>
  <c r="DM12" i="49" s="1"/>
  <c r="EJ12" i="49" s="1"/>
  <c r="CI13" i="49"/>
  <c r="DF13" i="49" s="1"/>
  <c r="EC13" i="49" s="1"/>
  <c r="CI14" i="49"/>
  <c r="DF14" i="49" s="1"/>
  <c r="EC14" i="49" s="1"/>
  <c r="CZ12" i="49"/>
  <c r="DW12" i="49" s="1"/>
  <c r="CR15" i="49"/>
  <c r="DO15" i="49" s="1"/>
  <c r="FI15" i="49" s="1"/>
  <c r="CJ6" i="49"/>
  <c r="DG6" i="49" s="1"/>
  <c r="CR6" i="49"/>
  <c r="DO6" i="49" s="1"/>
  <c r="DD7" i="49"/>
  <c r="EA7" i="49" s="1"/>
  <c r="CO8" i="49"/>
  <c r="DL8" i="49" s="1"/>
  <c r="EI8" i="49" s="1"/>
  <c r="CW8" i="49"/>
  <c r="DT8" i="49" s="1"/>
  <c r="DE8" i="49"/>
  <c r="EB8" i="49" s="1"/>
  <c r="EY8" i="49" s="1"/>
  <c r="CO9" i="49"/>
  <c r="DL9" i="49" s="1"/>
  <c r="FF9" i="49" s="1"/>
  <c r="CW9" i="49"/>
  <c r="DT9" i="49" s="1"/>
  <c r="DE9" i="49"/>
  <c r="EB9" i="49" s="1"/>
  <c r="FV9" i="49" s="1"/>
  <c r="CO10" i="49"/>
  <c r="DL10" i="49" s="1"/>
  <c r="FF10" i="49" s="1"/>
  <c r="CW10" i="49"/>
  <c r="DT10" i="49" s="1"/>
  <c r="EQ10" i="49" s="1"/>
  <c r="DE10" i="49"/>
  <c r="EB10" i="49" s="1"/>
  <c r="FV10" i="49" s="1"/>
  <c r="CO11" i="49"/>
  <c r="DL11" i="49" s="1"/>
  <c r="FF11" i="49" s="1"/>
  <c r="CW11" i="49"/>
  <c r="DT11" i="49" s="1"/>
  <c r="FN11" i="49" s="1"/>
  <c r="DE11" i="49"/>
  <c r="EB11" i="49" s="1"/>
  <c r="CL12" i="49"/>
  <c r="DI12" i="49" s="1"/>
  <c r="FC12" i="49" s="1"/>
  <c r="CT12" i="49"/>
  <c r="DQ12" i="49" s="1"/>
  <c r="EN12" i="49" s="1"/>
  <c r="DB12" i="49"/>
  <c r="DY12" i="49" s="1"/>
  <c r="EV12" i="49" s="1"/>
  <c r="CL13" i="49"/>
  <c r="DI13" i="49" s="1"/>
  <c r="EF13" i="49" s="1"/>
  <c r="CT13" i="49"/>
  <c r="DQ13" i="49" s="1"/>
  <c r="FK13" i="49" s="1"/>
  <c r="DB13" i="49"/>
  <c r="DY13" i="49" s="1"/>
  <c r="FS13" i="49" s="1"/>
  <c r="CL14" i="49"/>
  <c r="DI14" i="49" s="1"/>
  <c r="FC14" i="49" s="1"/>
  <c r="CT14" i="49"/>
  <c r="DQ14" i="49" s="1"/>
  <c r="DB14" i="49"/>
  <c r="DY14" i="49" s="1"/>
  <c r="CL15" i="49"/>
  <c r="DI15" i="49" s="1"/>
  <c r="CT15" i="49"/>
  <c r="DQ15" i="49" s="1"/>
  <c r="EN15" i="49" s="1"/>
  <c r="DB15" i="49"/>
  <c r="DY15" i="49" s="1"/>
  <c r="CI12" i="49"/>
  <c r="DF12" i="49" s="1"/>
  <c r="EC12" i="49" s="1"/>
  <c r="CY12" i="49"/>
  <c r="DV12" i="49" s="1"/>
  <c r="FP12" i="49" s="1"/>
  <c r="CY13" i="49"/>
  <c r="DV13" i="49" s="1"/>
  <c r="ES13" i="49" s="1"/>
  <c r="CZ13" i="49"/>
  <c r="DW13" i="49" s="1"/>
  <c r="ET13" i="49" s="1"/>
  <c r="CP8" i="49"/>
  <c r="DM8" i="49" s="1"/>
  <c r="CM12" i="49"/>
  <c r="DJ12" i="49" s="1"/>
  <c r="EG12" i="49" s="1"/>
  <c r="CU12" i="49"/>
  <c r="DR12" i="49" s="1"/>
  <c r="EO12" i="49" s="1"/>
  <c r="DC12" i="49"/>
  <c r="DZ12" i="49" s="1"/>
  <c r="EW12" i="49" s="1"/>
  <c r="CM13" i="49"/>
  <c r="DJ13" i="49" s="1"/>
  <c r="CU13" i="49"/>
  <c r="DR13" i="49" s="1"/>
  <c r="EO13" i="49" s="1"/>
  <c r="DC13" i="49"/>
  <c r="DZ13" i="49" s="1"/>
  <c r="EW13" i="49" s="1"/>
  <c r="CM14" i="49"/>
  <c r="DJ14" i="49" s="1"/>
  <c r="CU14" i="49"/>
  <c r="DR14" i="49" s="1"/>
  <c r="EO14" i="49" s="1"/>
  <c r="DC14" i="49"/>
  <c r="DZ14" i="49" s="1"/>
  <c r="FT14" i="49" s="1"/>
  <c r="CX14" i="49"/>
  <c r="DU14" i="49" s="1"/>
  <c r="FO14" i="49" s="1"/>
  <c r="CP15" i="49"/>
  <c r="DM15" i="49" s="1"/>
  <c r="CQ12" i="49"/>
  <c r="DN12" i="49" s="1"/>
  <c r="EK12" i="49" s="1"/>
  <c r="CY14" i="49"/>
  <c r="DV14" i="49" s="1"/>
  <c r="FP14" i="49" s="1"/>
  <c r="CJ14" i="49"/>
  <c r="DG14" i="49" s="1"/>
  <c r="FA14" i="49" s="1"/>
  <c r="CX8" i="49"/>
  <c r="DU8" i="49" s="1"/>
  <c r="CT6" i="49"/>
  <c r="DQ6" i="49" s="1"/>
  <c r="DB6" i="49"/>
  <c r="DY6" i="49" s="1"/>
  <c r="CI8" i="49"/>
  <c r="DF8" i="49" s="1"/>
  <c r="CQ8" i="49"/>
  <c r="DN8" i="49" s="1"/>
  <c r="EK8" i="49" s="1"/>
  <c r="CY8" i="49"/>
  <c r="DV8" i="49" s="1"/>
  <c r="ES8" i="49" s="1"/>
  <c r="CI9" i="49"/>
  <c r="DF9" i="49" s="1"/>
  <c r="EC9" i="49" s="1"/>
  <c r="CQ9" i="49"/>
  <c r="DN9" i="49" s="1"/>
  <c r="EK9" i="49" s="1"/>
  <c r="CY9" i="49"/>
  <c r="DV9" i="49" s="1"/>
  <c r="ES9" i="49" s="1"/>
  <c r="CI10" i="49"/>
  <c r="DF10" i="49" s="1"/>
  <c r="CQ10" i="49"/>
  <c r="DN10" i="49" s="1"/>
  <c r="CY10" i="49"/>
  <c r="DV10" i="49" s="1"/>
  <c r="CI11" i="49"/>
  <c r="DF11" i="49" s="1"/>
  <c r="EC11" i="49" s="1"/>
  <c r="CQ11" i="49"/>
  <c r="DN11" i="49" s="1"/>
  <c r="EK11" i="49" s="1"/>
  <c r="CY11" i="49"/>
  <c r="DV11" i="49" s="1"/>
  <c r="ES11" i="49" s="1"/>
  <c r="CN12" i="49"/>
  <c r="DK12" i="49" s="1"/>
  <c r="EH12" i="49" s="1"/>
  <c r="CV12" i="49"/>
  <c r="DS12" i="49" s="1"/>
  <c r="DD12" i="49"/>
  <c r="EA12" i="49" s="1"/>
  <c r="CN13" i="49"/>
  <c r="DK13" i="49" s="1"/>
  <c r="FE13" i="49" s="1"/>
  <c r="CV13" i="49"/>
  <c r="DS13" i="49" s="1"/>
  <c r="FM13" i="49" s="1"/>
  <c r="DD13" i="49"/>
  <c r="EA13" i="49" s="1"/>
  <c r="CN14" i="49"/>
  <c r="DK14" i="49" s="1"/>
  <c r="EH14" i="49" s="1"/>
  <c r="CV14" i="49"/>
  <c r="DS14" i="49" s="1"/>
  <c r="FM14" i="49" s="1"/>
  <c r="DD14" i="49"/>
  <c r="EA14" i="49" s="1"/>
  <c r="EX14" i="49" s="1"/>
  <c r="CV15" i="49"/>
  <c r="DS15" i="49" s="1"/>
  <c r="FM15" i="49" s="1"/>
  <c r="CX12" i="49"/>
  <c r="DU12" i="49" s="1"/>
  <c r="CX15" i="49"/>
  <c r="DU15" i="49" s="1"/>
  <c r="CJ12" i="49"/>
  <c r="DG12" i="49" s="1"/>
  <c r="FA12" i="49" s="1"/>
  <c r="CR12" i="49"/>
  <c r="DO12" i="49" s="1"/>
  <c r="CR13" i="49"/>
  <c r="DO13" i="49" s="1"/>
  <c r="EL13" i="49" s="1"/>
  <c r="CL6" i="49"/>
  <c r="DI6" i="49" s="1"/>
  <c r="FC6" i="49" s="1"/>
  <c r="CM6" i="49"/>
  <c r="DJ6" i="49" s="1"/>
  <c r="EG6" i="49" s="1"/>
  <c r="CU6" i="49"/>
  <c r="DR6" i="49" s="1"/>
  <c r="CJ8" i="49"/>
  <c r="DG8" i="49" s="1"/>
  <c r="CJ9" i="49"/>
  <c r="DG9" i="49" s="1"/>
  <c r="CR9" i="49"/>
  <c r="DO9" i="49" s="1"/>
  <c r="CZ9" i="49"/>
  <c r="DW9" i="49" s="1"/>
  <c r="ET9" i="49" s="1"/>
  <c r="CJ10" i="49"/>
  <c r="DG10" i="49" s="1"/>
  <c r="FA10" i="49" s="1"/>
  <c r="CR10" i="49"/>
  <c r="DO10" i="49" s="1"/>
  <c r="FI10" i="49" s="1"/>
  <c r="CZ10" i="49"/>
  <c r="DW10" i="49" s="1"/>
  <c r="FQ10" i="49" s="1"/>
  <c r="CJ11" i="49"/>
  <c r="DG11" i="49" s="1"/>
  <c r="CR11" i="49"/>
  <c r="DO11" i="49" s="1"/>
  <c r="CZ11" i="49"/>
  <c r="DW11" i="49" s="1"/>
  <c r="CO12" i="49"/>
  <c r="DL12" i="49" s="1"/>
  <c r="CW12" i="49"/>
  <c r="DT12" i="49" s="1"/>
  <c r="EQ12" i="49" s="1"/>
  <c r="DE12" i="49"/>
  <c r="EB12" i="49" s="1"/>
  <c r="EY12" i="49" s="1"/>
  <c r="CO13" i="49"/>
  <c r="DL13" i="49" s="1"/>
  <c r="EI13" i="49" s="1"/>
  <c r="CW13" i="49"/>
  <c r="DT13" i="49" s="1"/>
  <c r="FN13" i="49" s="1"/>
  <c r="DE13" i="49"/>
  <c r="EB13" i="49" s="1"/>
  <c r="CO14" i="49"/>
  <c r="DL14" i="49" s="1"/>
  <c r="CW14" i="49"/>
  <c r="DT14" i="49" s="1"/>
  <c r="CO15" i="49"/>
  <c r="DL15" i="49" s="1"/>
  <c r="CW15" i="49"/>
  <c r="DT15" i="49" s="1"/>
  <c r="DE15" i="49"/>
  <c r="EB15" i="49" s="1"/>
  <c r="FV15" i="49" s="1"/>
  <c r="BB49" i="49"/>
  <c r="BY49" i="49" s="1"/>
  <c r="CX49" i="49" s="1"/>
  <c r="FO49" i="49" s="1"/>
  <c r="AV55" i="48"/>
  <c r="AG54" i="48"/>
  <c r="AR54" i="48"/>
  <c r="AX49" i="49" s="1"/>
  <c r="BU49" i="49" s="1"/>
  <c r="CT49" i="49" s="1"/>
  <c r="FK49" i="49" s="1"/>
  <c r="AJ55" i="48"/>
  <c r="AN56" i="48"/>
  <c r="AH54" i="48"/>
  <c r="AN49" i="49" s="1"/>
  <c r="BK49" i="49" s="1"/>
  <c r="CJ49" i="49" s="1"/>
  <c r="FA49" i="49" s="1"/>
  <c r="AU54" i="48"/>
  <c r="BA49" i="49" s="1"/>
  <c r="BX49" i="49" s="1"/>
  <c r="CW49" i="49" s="1"/>
  <c r="FN49" i="49" s="1"/>
  <c r="AN55" i="48"/>
  <c r="AW56" i="48"/>
  <c r="BC48" i="49" s="1"/>
  <c r="BZ48" i="49" s="1"/>
  <c r="CY48" i="49" s="1"/>
  <c r="AX55" i="48"/>
  <c r="AJ56" i="48"/>
  <c r="AQ54" i="48"/>
  <c r="AK56" i="48"/>
  <c r="AQ48" i="49" s="1"/>
  <c r="BN48" i="49" s="1"/>
  <c r="CM48" i="49" s="1"/>
  <c r="DJ48" i="49" s="1"/>
  <c r="AI54" i="48"/>
  <c r="AO49" i="49" s="1"/>
  <c r="BL49" i="49" s="1"/>
  <c r="CK49" i="49" s="1"/>
  <c r="FB49" i="49" s="1"/>
  <c r="AX56" i="48"/>
  <c r="BD48" i="49" s="1"/>
  <c r="CA48" i="49" s="1"/>
  <c r="CZ48" i="49" s="1"/>
  <c r="DW48" i="49" s="1"/>
  <c r="AO42" i="48"/>
  <c r="T25" i="49" s="1"/>
  <c r="BR25" i="49" s="1"/>
  <c r="CQ25" i="49" s="1"/>
  <c r="DN25" i="49" s="1"/>
  <c r="AP42" i="48"/>
  <c r="U25" i="49" s="1"/>
  <c r="BS25" i="49" s="1"/>
  <c r="CR25" i="49" s="1"/>
  <c r="DO25" i="49" s="1"/>
  <c r="AW42" i="48"/>
  <c r="AB25" i="49" s="1"/>
  <c r="BZ25" i="49" s="1"/>
  <c r="CY25" i="49" s="1"/>
  <c r="DV25" i="49" s="1"/>
  <c r="AZ48" i="48"/>
  <c r="AE27" i="49" s="1"/>
  <c r="CC27" i="49" s="1"/>
  <c r="DB27" i="49" s="1"/>
  <c r="DY27" i="49" s="1"/>
  <c r="AO39" i="48"/>
  <c r="T19" i="49" s="1"/>
  <c r="BR19" i="49" s="1"/>
  <c r="CQ19" i="49" s="1"/>
  <c r="DN19" i="49" s="1"/>
  <c r="FH19" i="49" s="1"/>
  <c r="AG42" i="48"/>
  <c r="L25" i="49" s="1"/>
  <c r="BJ25" i="49" s="1"/>
  <c r="CI25" i="49" s="1"/>
  <c r="DF25" i="49" s="1"/>
  <c r="AH39" i="48"/>
  <c r="M19" i="49" s="1"/>
  <c r="BK19" i="49" s="1"/>
  <c r="CJ19" i="49" s="1"/>
  <c r="DG19" i="49" s="1"/>
  <c r="FA19" i="49" s="1"/>
  <c r="AH42" i="48"/>
  <c r="M25" i="49" s="1"/>
  <c r="BK25" i="49" s="1"/>
  <c r="CJ25" i="49" s="1"/>
  <c r="DG25" i="49" s="1"/>
  <c r="ED25" i="49" s="1"/>
  <c r="AI39" i="48"/>
  <c r="N19" i="49" s="1"/>
  <c r="BL19" i="49" s="1"/>
  <c r="CK19" i="49" s="1"/>
  <c r="DH19" i="49" s="1"/>
  <c r="AQ42" i="48"/>
  <c r="V25" i="49" s="1"/>
  <c r="BT25" i="49" s="1"/>
  <c r="CS25" i="49" s="1"/>
  <c r="DP25" i="49" s="1"/>
  <c r="BC45" i="48"/>
  <c r="AH26" i="49" s="1"/>
  <c r="CF26" i="49" s="1"/>
  <c r="DE26" i="49" s="1"/>
  <c r="EB26" i="49" s="1"/>
  <c r="AR39" i="48"/>
  <c r="W19" i="49" s="1"/>
  <c r="BU19" i="49" s="1"/>
  <c r="CT19" i="49" s="1"/>
  <c r="DQ19" i="49" s="1"/>
  <c r="AR42" i="48"/>
  <c r="W25" i="49" s="1"/>
  <c r="BU25" i="49" s="1"/>
  <c r="CT25" i="49" s="1"/>
  <c r="DQ25" i="49" s="1"/>
  <c r="AG45" i="48"/>
  <c r="L26" i="49" s="1"/>
  <c r="BJ26" i="49" s="1"/>
  <c r="CI26" i="49" s="1"/>
  <c r="DF26" i="49" s="1"/>
  <c r="AN48" i="48"/>
  <c r="S27" i="49" s="1"/>
  <c r="BQ27" i="49" s="1"/>
  <c r="CP27" i="49" s="1"/>
  <c r="DM27" i="49" s="1"/>
  <c r="EJ27" i="49" s="1"/>
  <c r="AK39" i="48"/>
  <c r="P19" i="49" s="1"/>
  <c r="BN19" i="49" s="1"/>
  <c r="CM19" i="49" s="1"/>
  <c r="DJ19" i="49" s="1"/>
  <c r="EG19" i="49" s="1"/>
  <c r="BB42" i="48"/>
  <c r="AG25" i="49" s="1"/>
  <c r="CE25" i="49" s="1"/>
  <c r="DD25" i="49" s="1"/>
  <c r="EA25" i="49" s="1"/>
  <c r="AH45" i="48"/>
  <c r="M26" i="49" s="1"/>
  <c r="BK26" i="49" s="1"/>
  <c r="CJ26" i="49" s="1"/>
  <c r="DG26" i="49" s="1"/>
  <c r="AG48" i="48"/>
  <c r="L27" i="49" s="1"/>
  <c r="BJ27" i="49" s="1"/>
  <c r="CI27" i="49" s="1"/>
  <c r="DF27" i="49" s="1"/>
  <c r="AO48" i="48"/>
  <c r="T27" i="49" s="1"/>
  <c r="BR27" i="49" s="1"/>
  <c r="CQ27" i="49" s="1"/>
  <c r="DN27" i="49" s="1"/>
  <c r="AY48" i="48"/>
  <c r="AD27" i="49" s="1"/>
  <c r="CB27" i="49" s="1"/>
  <c r="DA27" i="49" s="1"/>
  <c r="DX27" i="49" s="1"/>
  <c r="FR27" i="49" s="1"/>
  <c r="AN42" i="48"/>
  <c r="S25" i="49" s="1"/>
  <c r="BQ25" i="49" s="1"/>
  <c r="CP25" i="49" s="1"/>
  <c r="DM25" i="49" s="1"/>
  <c r="FG25" i="49" s="1"/>
  <c r="AG39" i="48"/>
  <c r="L19" i="49" s="1"/>
  <c r="BJ19" i="49" s="1"/>
  <c r="CI19" i="49" s="1"/>
  <c r="DF19" i="49" s="1"/>
  <c r="EC19" i="49" s="1"/>
  <c r="AU42" i="48"/>
  <c r="Z25" i="49" s="1"/>
  <c r="BX25" i="49" s="1"/>
  <c r="CW25" i="49" s="1"/>
  <c r="DT25" i="49" s="1"/>
  <c r="EQ25" i="49" s="1"/>
  <c r="AP39" i="48"/>
  <c r="U19" i="49" s="1"/>
  <c r="BS19" i="49" s="1"/>
  <c r="CR19" i="49" s="1"/>
  <c r="DO19" i="49" s="1"/>
  <c r="AQ39" i="48"/>
  <c r="V19" i="49" s="1"/>
  <c r="BT19" i="49" s="1"/>
  <c r="CS19" i="49" s="1"/>
  <c r="DP19" i="49" s="1"/>
  <c r="AI42" i="48"/>
  <c r="N25" i="49" s="1"/>
  <c r="BL25" i="49" s="1"/>
  <c r="CK25" i="49" s="1"/>
  <c r="DH25" i="49" s="1"/>
  <c r="EE25" i="49" s="1"/>
  <c r="BC42" i="48"/>
  <c r="AH25" i="49" s="1"/>
  <c r="CF25" i="49" s="1"/>
  <c r="DE25" i="49" s="1"/>
  <c r="EB25" i="49" s="1"/>
  <c r="AN45" i="48"/>
  <c r="S26" i="49" s="1"/>
  <c r="BQ26" i="49" s="1"/>
  <c r="CP26" i="49" s="1"/>
  <c r="DM26" i="49" s="1"/>
  <c r="AM48" i="48"/>
  <c r="R27" i="49" s="1"/>
  <c r="BP27" i="49" s="1"/>
  <c r="CO27" i="49" s="1"/>
  <c r="DL27" i="49" s="1"/>
  <c r="FF27" i="49" s="1"/>
  <c r="AJ39" i="48"/>
  <c r="O19" i="49" s="1"/>
  <c r="BM19" i="49" s="1"/>
  <c r="CL19" i="49" s="1"/>
  <c r="DI19" i="49" s="1"/>
  <c r="EF19" i="49" s="1"/>
  <c r="AJ42" i="48"/>
  <c r="O25" i="49" s="1"/>
  <c r="BM25" i="49" s="1"/>
  <c r="CL25" i="49" s="1"/>
  <c r="DI25" i="49" s="1"/>
  <c r="FC25" i="49" s="1"/>
  <c r="AO45" i="48"/>
  <c r="T26" i="49" s="1"/>
  <c r="BR26" i="49" s="1"/>
  <c r="CQ26" i="49" s="1"/>
  <c r="DN26" i="49" s="1"/>
  <c r="BA39" i="48"/>
  <c r="AF19" i="49" s="1"/>
  <c r="CD19" i="49" s="1"/>
  <c r="DC19" i="49" s="1"/>
  <c r="DZ19" i="49" s="1"/>
  <c r="AK42" i="48"/>
  <c r="P25" i="49" s="1"/>
  <c r="BN25" i="49" s="1"/>
  <c r="CM25" i="49" s="1"/>
  <c r="DJ25" i="49" s="1"/>
  <c r="AP45" i="48"/>
  <c r="U26" i="49" s="1"/>
  <c r="BS26" i="49" s="1"/>
  <c r="CR26" i="49" s="1"/>
  <c r="DO26" i="49" s="1"/>
  <c r="AL39" i="48"/>
  <c r="Q19" i="49" s="1"/>
  <c r="BO19" i="49" s="1"/>
  <c r="CN19" i="49" s="1"/>
  <c r="DK19" i="49" s="1"/>
  <c r="AL42" i="48"/>
  <c r="Q25" i="49" s="1"/>
  <c r="BO25" i="49" s="1"/>
  <c r="CN25" i="49" s="1"/>
  <c r="DK25" i="49" s="1"/>
  <c r="FE25" i="49" s="1"/>
  <c r="AI45" i="48"/>
  <c r="N26" i="49" s="1"/>
  <c r="BL26" i="49" s="1"/>
  <c r="CK26" i="49" s="1"/>
  <c r="DH26" i="49" s="1"/>
  <c r="EE26" i="49" s="1"/>
  <c r="AH48" i="48"/>
  <c r="M27" i="49" s="1"/>
  <c r="BK27" i="49" s="1"/>
  <c r="CJ27" i="49" s="1"/>
  <c r="DG27" i="49" s="1"/>
  <c r="ED27" i="49" s="1"/>
  <c r="AK30" i="48"/>
  <c r="BA30" i="48"/>
  <c r="AS30" i="48"/>
  <c r="AT30" i="48"/>
  <c r="AW30" i="48"/>
  <c r="AJ30" i="48"/>
  <c r="BB28" i="48"/>
  <c r="AL30" i="48"/>
  <c r="BB30" i="48"/>
  <c r="AI30" i="48"/>
  <c r="AZ30" i="48"/>
  <c r="AO30" i="48"/>
  <c r="AG30" i="48"/>
  <c r="AR30" i="48"/>
  <c r="AQ14" i="48"/>
  <c r="AQ15" i="48" s="1"/>
  <c r="V30" i="49" s="1"/>
  <c r="BT30" i="49" s="1"/>
  <c r="CS30" i="49" s="1"/>
  <c r="DP30" i="49" s="1"/>
  <c r="AG16" i="48"/>
  <c r="AW16" i="48"/>
  <c r="AX17" i="48"/>
  <c r="AG20" i="48"/>
  <c r="AH11" i="48"/>
  <c r="AZ11" i="48"/>
  <c r="AI14" i="48"/>
  <c r="AY14" i="48"/>
  <c r="AY15" i="48" s="1"/>
  <c r="AD30" i="49" s="1"/>
  <c r="CB30" i="49" s="1"/>
  <c r="DA30" i="49" s="1"/>
  <c r="DX30" i="49" s="1"/>
  <c r="AW8" i="48"/>
  <c r="AZ8" i="48"/>
  <c r="AX13" i="48"/>
  <c r="AL14" i="48"/>
  <c r="BB14" i="48"/>
  <c r="AW17" i="48"/>
  <c r="AY7" i="48"/>
  <c r="AY9" i="48" s="1"/>
  <c r="AD28" i="49" s="1"/>
  <c r="CB28" i="49" s="1"/>
  <c r="DA28" i="49" s="1"/>
  <c r="DX28" i="49" s="1"/>
  <c r="EU28" i="49" s="1"/>
  <c r="AI8" i="48"/>
  <c r="AY13" i="48"/>
  <c r="AO14" i="48"/>
  <c r="AQ16" i="48"/>
  <c r="AY10" i="48"/>
  <c r="AH13" i="48"/>
  <c r="AT16" i="48"/>
  <c r="AH7" i="48"/>
  <c r="AW7" i="48"/>
  <c r="AK8" i="48"/>
  <c r="AW10" i="48"/>
  <c r="AZ10" i="48"/>
  <c r="AZ12" i="48" s="1"/>
  <c r="AE29" i="49" s="1"/>
  <c r="CC29" i="49" s="1"/>
  <c r="DB29" i="49" s="1"/>
  <c r="DY29" i="49" s="1"/>
  <c r="FS29" i="49" s="1"/>
  <c r="AQ11" i="48"/>
  <c r="AI13" i="48"/>
  <c r="AI15" i="48" s="1"/>
  <c r="N30" i="49" s="1"/>
  <c r="BL30" i="49" s="1"/>
  <c r="CK30" i="49" s="1"/>
  <c r="DH30" i="49" s="1"/>
  <c r="FB30" i="49" s="1"/>
  <c r="AJ7" i="48"/>
  <c r="AJ9" i="48" s="1"/>
  <c r="O28" i="49" s="1"/>
  <c r="BM28" i="49" s="1"/>
  <c r="CL28" i="49" s="1"/>
  <c r="DI28" i="49" s="1"/>
  <c r="EF28" i="49" s="1"/>
  <c r="AZ7" i="48"/>
  <c r="AZ9" i="48" s="1"/>
  <c r="AE28" i="49" s="1"/>
  <c r="CC28" i="49" s="1"/>
  <c r="DB28" i="49" s="1"/>
  <c r="DY28" i="49" s="1"/>
  <c r="EV28" i="49" s="1"/>
  <c r="AQ8" i="48"/>
  <c r="AI10" i="48"/>
  <c r="BA10" i="48"/>
  <c r="AJ13" i="48"/>
  <c r="AT14" i="48"/>
  <c r="AH16" i="48"/>
  <c r="AX16" i="48"/>
  <c r="BC19" i="48"/>
  <c r="AO20" i="48"/>
  <c r="AS8" i="48"/>
  <c r="AY8" i="48"/>
  <c r="AR7" i="48"/>
  <c r="AR9" i="48" s="1"/>
  <c r="W28" i="49" s="1"/>
  <c r="BU28" i="49" s="1"/>
  <c r="CT28" i="49" s="1"/>
  <c r="DQ28" i="49" s="1"/>
  <c r="EN28" i="49" s="1"/>
  <c r="AI11" i="48"/>
  <c r="AS7" i="48"/>
  <c r="BA8" i="48"/>
  <c r="AJ11" i="48"/>
  <c r="AJ12" i="48" s="1"/>
  <c r="O29" i="49" s="1"/>
  <c r="BM29" i="49" s="1"/>
  <c r="CL29" i="49" s="1"/>
  <c r="DI29" i="49" s="1"/>
  <c r="EF29" i="49" s="1"/>
  <c r="AH17" i="48"/>
  <c r="AH18" i="48" s="1"/>
  <c r="M31" i="49" s="1"/>
  <c r="BK31" i="49" s="1"/>
  <c r="CJ31" i="49" s="1"/>
  <c r="DG31" i="49" s="1"/>
  <c r="FA31" i="49" s="1"/>
  <c r="AG7" i="48"/>
  <c r="AT7" i="48"/>
  <c r="AJ8" i="48"/>
  <c r="AZ13" i="48"/>
  <c r="AP14" i="48"/>
  <c r="AP17" i="48"/>
  <c r="AP18" i="48" s="1"/>
  <c r="U31" i="49" s="1"/>
  <c r="BS31" i="49" s="1"/>
  <c r="CR31" i="49" s="1"/>
  <c r="DO31" i="49" s="1"/>
  <c r="EL31" i="49" s="1"/>
  <c r="AK7" i="48"/>
  <c r="AK9" i="48" s="1"/>
  <c r="P28" i="49" s="1"/>
  <c r="BN28" i="49" s="1"/>
  <c r="CM28" i="49" s="1"/>
  <c r="DJ28" i="49" s="1"/>
  <c r="FD28" i="49" s="1"/>
  <c r="BA7" i="48"/>
  <c r="AR8" i="48"/>
  <c r="AJ10" i="48"/>
  <c r="AW11" i="48"/>
  <c r="AX11" i="48"/>
  <c r="AX12" i="48" s="1"/>
  <c r="AC29" i="49" s="1"/>
  <c r="CA29" i="49" s="1"/>
  <c r="CZ29" i="49" s="1"/>
  <c r="DW29" i="49" s="1"/>
  <c r="FQ29" i="49" s="1"/>
  <c r="AP13" i="48"/>
  <c r="AG14" i="48"/>
  <c r="AW14" i="48"/>
  <c r="AW15" i="48" s="1"/>
  <c r="AB30" i="49" s="1"/>
  <c r="BZ30" i="49" s="1"/>
  <c r="CY30" i="49" s="1"/>
  <c r="DV30" i="49" s="1"/>
  <c r="ES30" i="49" s="1"/>
  <c r="AI16" i="48"/>
  <c r="AY16" i="48"/>
  <c r="AW20" i="48"/>
  <c r="AW21" i="48" s="1"/>
  <c r="AB32" i="49" s="1"/>
  <c r="BZ32" i="49" s="1"/>
  <c r="CY32" i="49" s="1"/>
  <c r="DV32" i="49" s="1"/>
  <c r="AY11" i="48"/>
  <c r="AQ13" i="48"/>
  <c r="AH14" i="48"/>
  <c r="AH15" i="48" s="1"/>
  <c r="M30" i="49" s="1"/>
  <c r="BK30" i="49" s="1"/>
  <c r="CJ30" i="49" s="1"/>
  <c r="DG30" i="49" s="1"/>
  <c r="ED30" i="49" s="1"/>
  <c r="AX14" i="48"/>
  <c r="AX15" i="48" s="1"/>
  <c r="AC30" i="49" s="1"/>
  <c r="CA30" i="49" s="1"/>
  <c r="CZ30" i="49" s="1"/>
  <c r="DW30" i="49" s="1"/>
  <c r="ET30" i="49" s="1"/>
  <c r="AL16" i="48"/>
  <c r="BB16" i="48"/>
  <c r="AH19" i="48"/>
  <c r="AP19" i="48"/>
  <c r="G26" i="55"/>
  <c r="J26" i="55"/>
  <c r="AO6" i="54"/>
  <c r="AO9" i="54" s="1"/>
  <c r="AP6" i="54"/>
  <c r="AP9" i="54" s="1"/>
  <c r="AQ6" i="54"/>
  <c r="AQ9" i="54" s="1"/>
  <c r="AM6" i="54"/>
  <c r="AM9" i="54" s="1"/>
  <c r="AN6" i="54"/>
  <c r="AN9" i="54" s="1"/>
  <c r="AR6" i="54"/>
  <c r="AR9" i="54" s="1"/>
  <c r="AS6" i="54"/>
  <c r="AS9" i="54" s="1"/>
  <c r="S13" i="53"/>
  <c r="Z21" i="54" s="1"/>
  <c r="T13" i="53"/>
  <c r="U13" i="53"/>
  <c r="V13" i="53"/>
  <c r="AC21" i="54" s="1"/>
  <c r="AA13" i="53"/>
  <c r="P13" i="53"/>
  <c r="X13" i="53"/>
  <c r="Q13" i="53"/>
  <c r="Y13" i="53"/>
  <c r="AF21" i="54" s="1"/>
  <c r="T21" i="54"/>
  <c r="AB56" i="53"/>
  <c r="AC27" i="53"/>
  <c r="AC64" i="53" s="1"/>
  <c r="AC58" i="53"/>
  <c r="F74" i="19"/>
  <c r="P8" i="56"/>
  <c r="H74" i="19" s="1"/>
  <c r="I20" i="54"/>
  <c r="I27" i="54" s="1"/>
  <c r="B51" i="54" s="1"/>
  <c r="T62" i="53"/>
  <c r="AB62" i="53"/>
  <c r="P56" i="53"/>
  <c r="AE62" i="53"/>
  <c r="P62" i="53"/>
  <c r="Y56" i="53"/>
  <c r="AG56" i="53"/>
  <c r="S56" i="53"/>
  <c r="AK62" i="53"/>
  <c r="AI62" i="53"/>
  <c r="V62" i="53"/>
  <c r="AE14" i="53"/>
  <c r="AE16" i="53" s="1"/>
  <c r="AD14" i="53"/>
  <c r="AC14" i="53"/>
  <c r="AC62" i="53"/>
  <c r="X62" i="53"/>
  <c r="AE13" i="53"/>
  <c r="AL21" i="54" s="1"/>
  <c r="AL6" i="54" s="1"/>
  <c r="AD13" i="53"/>
  <c r="AC13" i="53"/>
  <c r="AF62" i="53"/>
  <c r="AE27" i="53"/>
  <c r="AD62" i="53"/>
  <c r="AX18" i="48"/>
  <c r="AC31" i="49" s="1"/>
  <c r="CA31" i="49" s="1"/>
  <c r="CZ31" i="49" s="1"/>
  <c r="DW31" i="49" s="1"/>
  <c r="ET31" i="49" s="1"/>
  <c r="EJ9" i="49"/>
  <c r="FO38" i="49"/>
  <c r="FJ14" i="49"/>
  <c r="FO24" i="49"/>
  <c r="FN44" i="49"/>
  <c r="DW39" i="49"/>
  <c r="ET39" i="49" s="1"/>
  <c r="FS39" i="49"/>
  <c r="EZ23" i="49"/>
  <c r="FE18" i="49"/>
  <c r="FC34" i="49"/>
  <c r="FK37" i="49"/>
  <c r="FO42" i="49"/>
  <c r="DN39" i="49"/>
  <c r="EK39" i="49" s="1"/>
  <c r="FH39" i="49"/>
  <c r="EQ33" i="49"/>
  <c r="FN33" i="49"/>
  <c r="EK33" i="49"/>
  <c r="FH33" i="49"/>
  <c r="AR12" i="48"/>
  <c r="W29" i="49" s="1"/>
  <c r="BU29" i="49" s="1"/>
  <c r="CT29" i="49" s="1"/>
  <c r="DQ29" i="49" s="1"/>
  <c r="FK29" i="49" s="1"/>
  <c r="FK12" i="49"/>
  <c r="EW14" i="49"/>
  <c r="DM36" i="49"/>
  <c r="EJ36" i="49" s="1"/>
  <c r="DW42" i="49"/>
  <c r="ET42" i="49" s="1"/>
  <c r="FF44" i="49"/>
  <c r="FC40" i="49"/>
  <c r="AP15" i="48"/>
  <c r="U30" i="49" s="1"/>
  <c r="BS30" i="49" s="1"/>
  <c r="CR30" i="49" s="1"/>
  <c r="DO30" i="49" s="1"/>
  <c r="EL30" i="49" s="1"/>
  <c r="FC37" i="49"/>
  <c r="FM17" i="49"/>
  <c r="DI39" i="49"/>
  <c r="EF39" i="49" s="1"/>
  <c r="EN21" i="49"/>
  <c r="FK21" i="49"/>
  <c r="EO33" i="49"/>
  <c r="FL33" i="49"/>
  <c r="FN40" i="49"/>
  <c r="DT40" i="49"/>
  <c r="EW33" i="52"/>
  <c r="FT33" i="52"/>
  <c r="FA34" i="52"/>
  <c r="ED34" i="52"/>
  <c r="FI37" i="49"/>
  <c r="DO37" i="49"/>
  <c r="EL37" i="49" s="1"/>
  <c r="FN36" i="49"/>
  <c r="DT36" i="49"/>
  <c r="EQ36" i="49" s="1"/>
  <c r="FO33" i="52"/>
  <c r="ER33" i="52"/>
  <c r="FL20" i="49"/>
  <c r="EO20" i="49"/>
  <c r="FI38" i="49"/>
  <c r="DO38" i="49"/>
  <c r="EL38" i="49" s="1"/>
  <c r="FL33" i="52"/>
  <c r="EO33" i="52"/>
  <c r="FI34" i="52"/>
  <c r="EL34" i="52"/>
  <c r="EQ34" i="49"/>
  <c r="FN34" i="49"/>
  <c r="FP33" i="49"/>
  <c r="ES33" i="49"/>
  <c r="EI18" i="49"/>
  <c r="FF18" i="49"/>
  <c r="FA34" i="49"/>
  <c r="ED34" i="49"/>
  <c r="FQ34" i="49"/>
  <c r="ET34" i="49"/>
  <c r="FF38" i="49"/>
  <c r="DL38" i="49"/>
  <c r="EI38" i="49" s="1"/>
  <c r="EH34" i="52"/>
  <c r="FE34" i="52"/>
  <c r="FU34" i="52"/>
  <c r="EX34" i="52"/>
  <c r="FD33" i="52"/>
  <c r="EG33" i="52"/>
  <c r="EM17" i="49"/>
  <c r="FJ17" i="49"/>
  <c r="EQ34" i="52"/>
  <c r="FN34" i="52"/>
  <c r="ER15" i="49"/>
  <c r="FO15" i="49"/>
  <c r="FQ34" i="52"/>
  <c r="ET34" i="52"/>
  <c r="AS9" i="48"/>
  <c r="X28" i="49" s="1"/>
  <c r="BV28" i="49" s="1"/>
  <c r="CU28" i="49" s="1"/>
  <c r="DR28" i="49" s="1"/>
  <c r="FL28" i="49" s="1"/>
  <c r="CO17" i="49"/>
  <c r="DL17" i="49" s="1"/>
  <c r="EI17" i="49" s="1"/>
  <c r="FF34" i="49"/>
  <c r="FM37" i="49"/>
  <c r="EN33" i="52"/>
  <c r="P11" i="56"/>
  <c r="AY12" i="48"/>
  <c r="AD29" i="49" s="1"/>
  <c r="CB29" i="49" s="1"/>
  <c r="DA29" i="49" s="1"/>
  <c r="DX29" i="49" s="1"/>
  <c r="EU29" i="49" s="1"/>
  <c r="FH13" i="49"/>
  <c r="CR14" i="49"/>
  <c r="DO14" i="49" s="1"/>
  <c r="FI14" i="49" s="1"/>
  <c r="FU18" i="49"/>
  <c r="EC28" i="49"/>
  <c r="EE34" i="49"/>
  <c r="FJ34" i="49"/>
  <c r="FC36" i="49"/>
  <c r="FS37" i="49"/>
  <c r="DM38" i="49"/>
  <c r="EJ38" i="49" s="1"/>
  <c r="FJ40" i="49"/>
  <c r="EI34" i="52"/>
  <c r="P17" i="56"/>
  <c r="P18" i="56"/>
  <c r="FN21" i="49"/>
  <c r="FV33" i="49"/>
  <c r="FQ38" i="49"/>
  <c r="AW18" i="48"/>
  <c r="AB31" i="49" s="1"/>
  <c r="BZ31" i="49" s="1"/>
  <c r="CY31" i="49" s="1"/>
  <c r="DV31" i="49" s="1"/>
  <c r="CV20" i="49"/>
  <c r="DS20" i="49" s="1"/>
  <c r="EP20" i="49" s="1"/>
  <c r="EN23" i="49"/>
  <c r="DY41" i="49"/>
  <c r="FL36" i="49"/>
  <c r="EA37" i="49"/>
  <c r="EX37" i="49" s="1"/>
  <c r="DL39" i="49"/>
  <c r="EI39" i="49" s="1"/>
  <c r="FV34" i="52"/>
  <c r="P13" i="56"/>
  <c r="AI12" i="48"/>
  <c r="N29" i="49" s="1"/>
  <c r="BL29" i="49" s="1"/>
  <c r="CK29" i="49" s="1"/>
  <c r="DH29" i="49" s="1"/>
  <c r="EE29" i="49" s="1"/>
  <c r="EF21" i="49"/>
  <c r="EZ33" i="49"/>
  <c r="FP34" i="49"/>
  <c r="FP40" i="49"/>
  <c r="P10" i="56"/>
  <c r="EX23" i="49"/>
  <c r="FF33" i="49"/>
  <c r="FR34" i="49"/>
  <c r="EB39" i="49"/>
  <c r="EY39" i="49" s="1"/>
  <c r="FS40" i="49"/>
  <c r="FG42" i="49"/>
  <c r="DG44" i="49"/>
  <c r="ED44" i="49" s="1"/>
  <c r="FV44" i="49"/>
  <c r="FC33" i="52"/>
  <c r="FC38" i="49"/>
  <c r="AQ12" i="48"/>
  <c r="V29" i="49" s="1"/>
  <c r="BT29" i="49" s="1"/>
  <c r="CS29" i="49" s="1"/>
  <c r="DP29" i="49" s="1"/>
  <c r="FJ29" i="49" s="1"/>
  <c r="EL20" i="49"/>
  <c r="FV23" i="49"/>
  <c r="DP36" i="49"/>
  <c r="EM36" i="49" s="1"/>
  <c r="FG37" i="49"/>
  <c r="FK38" i="49"/>
  <c r="DZ44" i="49"/>
  <c r="EW44" i="49" s="1"/>
  <c r="CQ46" i="49"/>
  <c r="FH46" i="49" s="1"/>
  <c r="N13" i="53" s="1"/>
  <c r="EC33" i="52"/>
  <c r="FI33" i="52"/>
  <c r="EL19" i="49"/>
  <c r="FI19" i="49"/>
  <c r="FI25" i="49"/>
  <c r="EL25" i="49"/>
  <c r="EN6" i="49"/>
  <c r="FK6" i="49"/>
  <c r="FS6" i="49"/>
  <c r="EV6" i="49"/>
  <c r="FQ6" i="49"/>
  <c r="ET6" i="49"/>
  <c r="FF7" i="49"/>
  <c r="EI7" i="49"/>
  <c r="FN7" i="49"/>
  <c r="EQ7" i="49"/>
  <c r="EF9" i="49"/>
  <c r="FC9" i="49"/>
  <c r="EN9" i="49"/>
  <c r="FK9" i="49"/>
  <c r="EV9" i="49"/>
  <c r="FS9" i="49"/>
  <c r="EN11" i="49"/>
  <c r="FK11" i="49"/>
  <c r="EW11" i="49"/>
  <c r="FT11" i="49"/>
  <c r="FU13" i="49"/>
  <c r="EX13" i="49"/>
  <c r="FS18" i="49"/>
  <c r="EV18" i="49"/>
  <c r="FC20" i="49"/>
  <c r="EF20" i="49"/>
  <c r="FB19" i="49"/>
  <c r="EE19" i="49"/>
  <c r="EM19" i="49"/>
  <c r="FJ19" i="49"/>
  <c r="FB25" i="49"/>
  <c r="FJ25" i="49"/>
  <c r="EM25" i="49"/>
  <c r="FG26" i="49"/>
  <c r="EJ26" i="49"/>
  <c r="FV26" i="49"/>
  <c r="EY26" i="49"/>
  <c r="EO6" i="49"/>
  <c r="FL6" i="49"/>
  <c r="EW6" i="49"/>
  <c r="FT6" i="49"/>
  <c r="FG7" i="49"/>
  <c r="EJ7" i="49"/>
  <c r="FO7" i="49"/>
  <c r="ER7" i="49"/>
  <c r="FU7" i="49"/>
  <c r="EX7" i="49"/>
  <c r="EG9" i="49"/>
  <c r="FD9" i="49"/>
  <c r="EO9" i="49"/>
  <c r="FL9" i="49"/>
  <c r="EW9" i="49"/>
  <c r="FT9" i="49"/>
  <c r="ER10" i="49"/>
  <c r="FO10" i="49"/>
  <c r="EG11" i="49"/>
  <c r="FD11" i="49"/>
  <c r="EO11" i="49"/>
  <c r="FL11" i="49"/>
  <c r="FU11" i="49"/>
  <c r="EX11" i="49"/>
  <c r="FF13" i="49"/>
  <c r="EW18" i="49"/>
  <c r="FT18" i="49"/>
  <c r="FC19" i="49"/>
  <c r="EN19" i="49"/>
  <c r="FK19" i="49"/>
  <c r="FK25" i="49"/>
  <c r="EN25" i="49"/>
  <c r="EZ26" i="49"/>
  <c r="EC26" i="49"/>
  <c r="FH26" i="49"/>
  <c r="EK26" i="49"/>
  <c r="EV27" i="49"/>
  <c r="FS27" i="49"/>
  <c r="FE6" i="49"/>
  <c r="EH6" i="49"/>
  <c r="FM6" i="49"/>
  <c r="EP6" i="49"/>
  <c r="FU6" i="49"/>
  <c r="EX6" i="49"/>
  <c r="EC7" i="49"/>
  <c r="EZ7" i="49"/>
  <c r="EK7" i="49"/>
  <c r="FH7" i="49"/>
  <c r="ES7" i="49"/>
  <c r="FP7" i="49"/>
  <c r="FM9" i="49"/>
  <c r="EP9" i="49"/>
  <c r="FU9" i="49"/>
  <c r="EX9" i="49"/>
  <c r="EC10" i="49"/>
  <c r="EZ10" i="49"/>
  <c r="FH12" i="49"/>
  <c r="EZ21" i="49"/>
  <c r="EC21" i="49"/>
  <c r="EW19" i="49"/>
  <c r="FT19" i="49"/>
  <c r="EG25" i="49"/>
  <c r="FD25" i="49"/>
  <c r="EX25" i="49"/>
  <c r="FU25" i="49"/>
  <c r="ED26" i="49"/>
  <c r="FA26" i="49"/>
  <c r="FI26" i="49"/>
  <c r="EL26" i="49"/>
  <c r="EZ27" i="49"/>
  <c r="EC27" i="49"/>
  <c r="FH27" i="49"/>
  <c r="EK27" i="49"/>
  <c r="FM7" i="49"/>
  <c r="EP7" i="49"/>
  <c r="FN9" i="49"/>
  <c r="EQ9" i="49"/>
  <c r="ET10" i="49"/>
  <c r="EK10" i="49"/>
  <c r="FH10" i="49"/>
  <c r="FV11" i="49"/>
  <c r="EY11" i="49"/>
  <c r="FQ12" i="49"/>
  <c r="ET12" i="49"/>
  <c r="FI12" i="49"/>
  <c r="EL12" i="49"/>
  <c r="FF20" i="49"/>
  <c r="EI20" i="49"/>
  <c r="AW12" i="48"/>
  <c r="AB29" i="49" s="1"/>
  <c r="BZ29" i="49" s="1"/>
  <c r="CY29" i="49" s="1"/>
  <c r="DV29" i="49" s="1"/>
  <c r="FE19" i="49"/>
  <c r="EH19" i="49"/>
  <c r="EH25" i="49"/>
  <c r="AV48" i="49"/>
  <c r="BS48" i="49" s="1"/>
  <c r="CR48" i="49" s="1"/>
  <c r="AP57" i="48"/>
  <c r="ER6" i="49"/>
  <c r="FO6" i="49"/>
  <c r="EJ8" i="49"/>
  <c r="FG8" i="49"/>
  <c r="ER8" i="49"/>
  <c r="FO8" i="49"/>
  <c r="FQ8" i="49"/>
  <c r="ET8" i="49"/>
  <c r="FB10" i="49"/>
  <c r="EE10" i="49"/>
  <c r="FJ10" i="49"/>
  <c r="EM10" i="49"/>
  <c r="FR10" i="49"/>
  <c r="EU10" i="49"/>
  <c r="ES10" i="49"/>
  <c r="FP10" i="49"/>
  <c r="FB12" i="49"/>
  <c r="EE12" i="49"/>
  <c r="FQ22" i="49"/>
  <c r="ET22" i="49"/>
  <c r="FP31" i="49"/>
  <c r="ES31" i="49"/>
  <c r="EI19" i="49"/>
  <c r="FF19" i="49"/>
  <c r="FF25" i="49"/>
  <c r="EI25" i="49"/>
  <c r="FB27" i="49"/>
  <c r="EE27" i="49"/>
  <c r="EC6" i="49"/>
  <c r="EZ6" i="49"/>
  <c r="EN7" i="49"/>
  <c r="FK7" i="49"/>
  <c r="EC8" i="49"/>
  <c r="EZ8" i="49"/>
  <c r="FG15" i="49"/>
  <c r="EJ15" i="49"/>
  <c r="FG19" i="49"/>
  <c r="EJ19" i="49"/>
  <c r="EY19" i="49"/>
  <c r="FV19" i="49"/>
  <c r="EJ25" i="49"/>
  <c r="ER25" i="49"/>
  <c r="FO25" i="49"/>
  <c r="EF27" i="49"/>
  <c r="FC27" i="49"/>
  <c r="EN27" i="49"/>
  <c r="FK27" i="49"/>
  <c r="FA6" i="49"/>
  <c r="ED6" i="49"/>
  <c r="FI6" i="49"/>
  <c r="EL6" i="49"/>
  <c r="EG7" i="49"/>
  <c r="FD7" i="49"/>
  <c r="EO7" i="49"/>
  <c r="FL7" i="49"/>
  <c r="EW7" i="49"/>
  <c r="FT7" i="49"/>
  <c r="FA8" i="49"/>
  <c r="ED8" i="49"/>
  <c r="FE11" i="49"/>
  <c r="EH11" i="49"/>
  <c r="EV13" i="49"/>
  <c r="ED18" i="49"/>
  <c r="FK22" i="49"/>
  <c r="EN22" i="49"/>
  <c r="FA25" i="49"/>
  <c r="EK19" i="49"/>
  <c r="EZ25" i="49"/>
  <c r="EC25" i="49"/>
  <c r="FH25" i="49"/>
  <c r="EK25" i="49"/>
  <c r="FK14" i="49"/>
  <c r="EN14" i="49"/>
  <c r="EU20" i="49"/>
  <c r="FR20" i="49"/>
  <c r="AV28" i="48"/>
  <c r="EV7" i="49"/>
  <c r="FS7" i="49"/>
  <c r="EF11" i="49"/>
  <c r="FC11" i="49"/>
  <c r="EY13" i="49"/>
  <c r="FV13" i="49"/>
  <c r="FK15" i="49"/>
  <c r="FI17" i="49"/>
  <c r="FI18" i="49"/>
  <c r="EE20" i="49"/>
  <c r="FB20" i="49"/>
  <c r="AM52" i="50"/>
  <c r="AI54" i="50"/>
  <c r="AM7" i="48"/>
  <c r="AU7" i="48"/>
  <c r="AL8" i="48"/>
  <c r="AL9" i="48" s="1"/>
  <c r="Q28" i="49" s="1"/>
  <c r="BO28" i="49" s="1"/>
  <c r="CN28" i="49" s="1"/>
  <c r="DK28" i="49" s="1"/>
  <c r="AT8" i="48"/>
  <c r="AT9" i="48" s="1"/>
  <c r="Y28" i="49" s="1"/>
  <c r="BW28" i="49" s="1"/>
  <c r="CV28" i="49" s="1"/>
  <c r="DS28" i="49" s="1"/>
  <c r="BB8" i="48"/>
  <c r="BB9" i="48" s="1"/>
  <c r="AG28" i="49" s="1"/>
  <c r="CE28" i="49" s="1"/>
  <c r="DD28" i="49" s="1"/>
  <c r="EA28" i="49" s="1"/>
  <c r="AL10" i="48"/>
  <c r="AT10" i="48"/>
  <c r="BB10" i="48"/>
  <c r="AK11" i="48"/>
  <c r="AK12" i="48" s="1"/>
  <c r="P29" i="49" s="1"/>
  <c r="BN29" i="49" s="1"/>
  <c r="CM29" i="49" s="1"/>
  <c r="DJ29" i="49" s="1"/>
  <c r="AS11" i="48"/>
  <c r="AS12" i="48" s="1"/>
  <c r="X29" i="49" s="1"/>
  <c r="BV29" i="49" s="1"/>
  <c r="CU29" i="49" s="1"/>
  <c r="DR29" i="49" s="1"/>
  <c r="BA11" i="48"/>
  <c r="BA12" i="48" s="1"/>
  <c r="AF29" i="49" s="1"/>
  <c r="CD29" i="49" s="1"/>
  <c r="DC29" i="49" s="1"/>
  <c r="DZ29" i="49" s="1"/>
  <c r="AK13" i="48"/>
  <c r="AS13" i="48"/>
  <c r="BA13" i="48"/>
  <c r="AJ14" i="48"/>
  <c r="AJ15" i="48" s="1"/>
  <c r="O30" i="49" s="1"/>
  <c r="BM30" i="49" s="1"/>
  <c r="CL30" i="49" s="1"/>
  <c r="DI30" i="49" s="1"/>
  <c r="AR14" i="48"/>
  <c r="AR15" i="48" s="1"/>
  <c r="W30" i="49" s="1"/>
  <c r="BU30" i="49" s="1"/>
  <c r="CT30" i="49" s="1"/>
  <c r="DQ30" i="49" s="1"/>
  <c r="AZ14" i="48"/>
  <c r="AZ15" i="48" s="1"/>
  <c r="AE30" i="49" s="1"/>
  <c r="CC30" i="49" s="1"/>
  <c r="DB30" i="49" s="1"/>
  <c r="DY30" i="49" s="1"/>
  <c r="AJ16" i="48"/>
  <c r="AR16" i="48"/>
  <c r="AZ16" i="48"/>
  <c r="AI17" i="48"/>
  <c r="AQ17" i="48"/>
  <c r="AQ18" i="48" s="1"/>
  <c r="V31" i="49" s="1"/>
  <c r="BT31" i="49" s="1"/>
  <c r="CS31" i="49" s="1"/>
  <c r="DP31" i="49" s="1"/>
  <c r="AY17" i="48"/>
  <c r="AY18" i="48" s="1"/>
  <c r="AD31" i="49" s="1"/>
  <c r="CB31" i="49" s="1"/>
  <c r="DA31" i="49" s="1"/>
  <c r="DX31" i="49" s="1"/>
  <c r="AI19" i="48"/>
  <c r="AQ19" i="48"/>
  <c r="AY19" i="48"/>
  <c r="AH20" i="48"/>
  <c r="AH21" i="48" s="1"/>
  <c r="M32" i="49" s="1"/>
  <c r="BK32" i="49" s="1"/>
  <c r="CJ32" i="49" s="1"/>
  <c r="DG32" i="49" s="1"/>
  <c r="AP20" i="48"/>
  <c r="AP21" i="48" s="1"/>
  <c r="U32" i="49" s="1"/>
  <c r="BS32" i="49" s="1"/>
  <c r="CR32" i="49" s="1"/>
  <c r="DO32" i="49" s="1"/>
  <c r="AX20" i="48"/>
  <c r="AX21" i="48" s="1"/>
  <c r="AC32" i="49" s="1"/>
  <c r="CA32" i="49" s="1"/>
  <c r="CZ32" i="49" s="1"/>
  <c r="DW32" i="49" s="1"/>
  <c r="AH27" i="48"/>
  <c r="AP27" i="48"/>
  <c r="AX27" i="48"/>
  <c r="AG28" i="48"/>
  <c r="AO28" i="48"/>
  <c r="AW28" i="48"/>
  <c r="AN29" i="48"/>
  <c r="AV29" i="48"/>
  <c r="AM30" i="48"/>
  <c r="AU30" i="48"/>
  <c r="BC30" i="48"/>
  <c r="AW39" i="48"/>
  <c r="AB19" i="49" s="1"/>
  <c r="BZ19" i="49" s="1"/>
  <c r="CY19" i="49" s="1"/>
  <c r="DV19" i="49" s="1"/>
  <c r="AX42" i="48"/>
  <c r="AC25" i="49" s="1"/>
  <c r="CA25" i="49" s="1"/>
  <c r="CZ25" i="49" s="1"/>
  <c r="DW25" i="49" s="1"/>
  <c r="AU45" i="48"/>
  <c r="Z26" i="49" s="1"/>
  <c r="BX26" i="49" s="1"/>
  <c r="CW26" i="49" s="1"/>
  <c r="DT26" i="49" s="1"/>
  <c r="BB54" i="48"/>
  <c r="AT54" i="48"/>
  <c r="AL54" i="48"/>
  <c r="BA54" i="48"/>
  <c r="AS54" i="48"/>
  <c r="AK54" i="48"/>
  <c r="AP54" i="48"/>
  <c r="AZ54" i="48"/>
  <c r="AO55" i="48"/>
  <c r="AO56" i="48"/>
  <c r="BA56" i="48"/>
  <c r="CO6" i="49"/>
  <c r="DL6" i="49" s="1"/>
  <c r="CW6" i="49"/>
  <c r="DT6" i="49" s="1"/>
  <c r="DE6" i="49"/>
  <c r="EB6" i="49" s="1"/>
  <c r="CJ7" i="49"/>
  <c r="DG7" i="49" s="1"/>
  <c r="CR7" i="49"/>
  <c r="DO7" i="49" s="1"/>
  <c r="CZ7" i="49"/>
  <c r="DW7" i="49" s="1"/>
  <c r="CM10" i="49"/>
  <c r="DJ10" i="49" s="1"/>
  <c r="CU10" i="49"/>
  <c r="DR10" i="49" s="1"/>
  <c r="DC10" i="49"/>
  <c r="DZ10" i="49" s="1"/>
  <c r="ED11" i="49"/>
  <c r="FA11" i="49"/>
  <c r="EL11" i="49"/>
  <c r="FI11" i="49"/>
  <c r="ET11" i="49"/>
  <c r="FQ11" i="49"/>
  <c r="FL12" i="49"/>
  <c r="EH13" i="49"/>
  <c r="FO13" i="49"/>
  <c r="EI14" i="49"/>
  <c r="FF14" i="49"/>
  <c r="EY20" i="49"/>
  <c r="EG21" i="49"/>
  <c r="FD21" i="49"/>
  <c r="EO21" i="49"/>
  <c r="FL21" i="49"/>
  <c r="EW21" i="49"/>
  <c r="FT21" i="49"/>
  <c r="DJ37" i="49"/>
  <c r="EG37" i="49" s="1"/>
  <c r="FD37" i="49"/>
  <c r="DR37" i="49"/>
  <c r="EO37" i="49" s="1"/>
  <c r="FL37" i="49"/>
  <c r="DZ37" i="49"/>
  <c r="EW37" i="49" s="1"/>
  <c r="FT37" i="49"/>
  <c r="AN28" i="48"/>
  <c r="AU29" i="48"/>
  <c r="BE49" i="49"/>
  <c r="CB49" i="49" s="1"/>
  <c r="DA49" i="49" s="1"/>
  <c r="FR49" i="49" s="1"/>
  <c r="AY55" i="48"/>
  <c r="EF10" i="49"/>
  <c r="AN7" i="48"/>
  <c r="AV7" i="48"/>
  <c r="AM8" i="48"/>
  <c r="AU8" i="48"/>
  <c r="BC8" i="48"/>
  <c r="BC9" i="48" s="1"/>
  <c r="AH28" i="49" s="1"/>
  <c r="CF28" i="49" s="1"/>
  <c r="DE28" i="49" s="1"/>
  <c r="EB28" i="49" s="1"/>
  <c r="AM10" i="48"/>
  <c r="AU10" i="48"/>
  <c r="BC10" i="48"/>
  <c r="AL11" i="48"/>
  <c r="AT11" i="48"/>
  <c r="BB11" i="48"/>
  <c r="AL13" i="48"/>
  <c r="AL15" i="48" s="1"/>
  <c r="Q30" i="49" s="1"/>
  <c r="BO30" i="49" s="1"/>
  <c r="CN30" i="49" s="1"/>
  <c r="DK30" i="49" s="1"/>
  <c r="AT13" i="48"/>
  <c r="AT15" i="48" s="1"/>
  <c r="Y30" i="49" s="1"/>
  <c r="BW30" i="49" s="1"/>
  <c r="CV30" i="49" s="1"/>
  <c r="DS30" i="49" s="1"/>
  <c r="BB13" i="48"/>
  <c r="BB15" i="48" s="1"/>
  <c r="AG30" i="49" s="1"/>
  <c r="CE30" i="49" s="1"/>
  <c r="DD30" i="49" s="1"/>
  <c r="EA30" i="49" s="1"/>
  <c r="AK14" i="48"/>
  <c r="AS14" i="48"/>
  <c r="BA14" i="48"/>
  <c r="AK16" i="48"/>
  <c r="AS16" i="48"/>
  <c r="BA16" i="48"/>
  <c r="AJ17" i="48"/>
  <c r="AR17" i="48"/>
  <c r="AZ17" i="48"/>
  <c r="AJ19" i="48"/>
  <c r="AR19" i="48"/>
  <c r="AZ19" i="48"/>
  <c r="AI20" i="48"/>
  <c r="AQ20" i="48"/>
  <c r="AY20" i="48"/>
  <c r="AI27" i="48"/>
  <c r="AQ27" i="48"/>
  <c r="AY27" i="48"/>
  <c r="AH28" i="48"/>
  <c r="AP28" i="48"/>
  <c r="AX28" i="48"/>
  <c r="AG29" i="48"/>
  <c r="AO29" i="48"/>
  <c r="AW29" i="48"/>
  <c r="AN30" i="48"/>
  <c r="AV30" i="48"/>
  <c r="AX39" i="48"/>
  <c r="AC19" i="49" s="1"/>
  <c r="CA19" i="49" s="1"/>
  <c r="CZ19" i="49" s="1"/>
  <c r="DW19" i="49" s="1"/>
  <c r="AY42" i="48"/>
  <c r="AD25" i="49" s="1"/>
  <c r="CB25" i="49" s="1"/>
  <c r="DA25" i="49" s="1"/>
  <c r="DX25" i="49" s="1"/>
  <c r="AJ45" i="48"/>
  <c r="O26" i="49" s="1"/>
  <c r="BM26" i="49" s="1"/>
  <c r="CL26" i="49" s="1"/>
  <c r="DI26" i="49" s="1"/>
  <c r="AR45" i="48"/>
  <c r="W26" i="49" s="1"/>
  <c r="BU26" i="49" s="1"/>
  <c r="CT26" i="49" s="1"/>
  <c r="DQ26" i="49" s="1"/>
  <c r="AL45" i="48"/>
  <c r="Q26" i="49" s="1"/>
  <c r="BO26" i="49" s="1"/>
  <c r="CN26" i="49" s="1"/>
  <c r="DK26" i="49" s="1"/>
  <c r="AV45" i="48"/>
  <c r="AA26" i="49" s="1"/>
  <c r="BY26" i="49" s="1"/>
  <c r="CX26" i="49" s="1"/>
  <c r="DU26" i="49" s="1"/>
  <c r="AU48" i="48"/>
  <c r="Z27" i="49" s="1"/>
  <c r="BX27" i="49" s="1"/>
  <c r="CW27" i="49" s="1"/>
  <c r="DT27" i="49" s="1"/>
  <c r="BI49" i="49"/>
  <c r="CF49" i="49" s="1"/>
  <c r="DE49" i="49" s="1"/>
  <c r="FV49" i="49" s="1"/>
  <c r="BC55" i="48"/>
  <c r="CK7" i="49"/>
  <c r="DH7" i="49" s="1"/>
  <c r="CS7" i="49"/>
  <c r="DP7" i="49" s="1"/>
  <c r="DA7" i="49"/>
  <c r="DX7" i="49" s="1"/>
  <c r="CN7" i="49"/>
  <c r="DK7" i="49" s="1"/>
  <c r="CK8" i="49"/>
  <c r="DH8" i="49" s="1"/>
  <c r="CS8" i="49"/>
  <c r="DP8" i="49" s="1"/>
  <c r="DA8" i="49"/>
  <c r="DX8" i="49" s="1"/>
  <c r="ER9" i="49"/>
  <c r="CN10" i="49"/>
  <c r="DK10" i="49" s="1"/>
  <c r="CV10" i="49"/>
  <c r="DS10" i="49" s="1"/>
  <c r="DD10" i="49"/>
  <c r="EA10" i="49" s="1"/>
  <c r="EE11" i="49"/>
  <c r="FB11" i="49"/>
  <c r="EM11" i="49"/>
  <c r="FJ11" i="49"/>
  <c r="EU11" i="49"/>
  <c r="FR11" i="49"/>
  <c r="EZ11" i="49"/>
  <c r="EJ13" i="49"/>
  <c r="FQ13" i="49"/>
  <c r="FG14" i="49"/>
  <c r="EJ14" i="49"/>
  <c r="EK17" i="49"/>
  <c r="FC18" i="49"/>
  <c r="EF18" i="49"/>
  <c r="EM20" i="49"/>
  <c r="FJ20" i="49"/>
  <c r="FO20" i="49"/>
  <c r="ER20" i="49"/>
  <c r="FM21" i="49"/>
  <c r="EP21" i="49"/>
  <c r="FU21" i="49"/>
  <c r="EX21" i="49"/>
  <c r="EH21" i="49"/>
  <c r="FV21" i="49"/>
  <c r="FG22" i="49"/>
  <c r="EJ22" i="49"/>
  <c r="ER22" i="49"/>
  <c r="FO22" i="49"/>
  <c r="EU22" i="49"/>
  <c r="FR22" i="49"/>
  <c r="ED23" i="49"/>
  <c r="FA23" i="49"/>
  <c r="AM29" i="48"/>
  <c r="AV39" i="48"/>
  <c r="AA19" i="49" s="1"/>
  <c r="BY19" i="49" s="1"/>
  <c r="CX19" i="49" s="1"/>
  <c r="DU19" i="49" s="1"/>
  <c r="AT48" i="49"/>
  <c r="BQ48" i="49" s="1"/>
  <c r="CP48" i="49" s="1"/>
  <c r="AN57" i="48"/>
  <c r="AN8" i="48"/>
  <c r="AV8" i="48"/>
  <c r="AN10" i="48"/>
  <c r="AV10" i="48"/>
  <c r="AM11" i="48"/>
  <c r="AU11" i="48"/>
  <c r="BC11" i="48"/>
  <c r="AM13" i="48"/>
  <c r="AU13" i="48"/>
  <c r="BC13" i="48"/>
  <c r="AK17" i="48"/>
  <c r="AS17" i="48"/>
  <c r="BA17" i="48"/>
  <c r="AK19" i="48"/>
  <c r="AS19" i="48"/>
  <c r="BA19" i="48"/>
  <c r="AJ20" i="48"/>
  <c r="AR20" i="48"/>
  <c r="AZ20" i="48"/>
  <c r="AJ27" i="48"/>
  <c r="AR27" i="48"/>
  <c r="AZ27" i="48"/>
  <c r="AI28" i="48"/>
  <c r="AQ28" i="48"/>
  <c r="AY28" i="48"/>
  <c r="AH29" i="48"/>
  <c r="AP29" i="48"/>
  <c r="AX29" i="48"/>
  <c r="AY39" i="48"/>
  <c r="AD19" i="49" s="1"/>
  <c r="CB19" i="49" s="1"/>
  <c r="DA19" i="49" s="1"/>
  <c r="DX19" i="49" s="1"/>
  <c r="AZ42" i="48"/>
  <c r="AE25" i="49" s="1"/>
  <c r="CC25" i="49" s="1"/>
  <c r="DB25" i="49" s="1"/>
  <c r="DY25" i="49" s="1"/>
  <c r="AK45" i="48"/>
  <c r="P26" i="49" s="1"/>
  <c r="BN26" i="49" s="1"/>
  <c r="CM26" i="49" s="1"/>
  <c r="DJ26" i="49" s="1"/>
  <c r="BA45" i="48"/>
  <c r="AF26" i="49" s="1"/>
  <c r="CD26" i="49" s="1"/>
  <c r="DC26" i="49" s="1"/>
  <c r="DZ26" i="49" s="1"/>
  <c r="AM45" i="48"/>
  <c r="R26" i="49" s="1"/>
  <c r="BP26" i="49" s="1"/>
  <c r="CO26" i="49" s="1"/>
  <c r="DL26" i="49" s="1"/>
  <c r="AW45" i="48"/>
  <c r="AB26" i="49" s="1"/>
  <c r="BZ26" i="49" s="1"/>
  <c r="CY26" i="49" s="1"/>
  <c r="DV26" i="49" s="1"/>
  <c r="AV48" i="48"/>
  <c r="AA27" i="49" s="1"/>
  <c r="BY27" i="49" s="1"/>
  <c r="CX27" i="49" s="1"/>
  <c r="DU27" i="49" s="1"/>
  <c r="BC56" i="48"/>
  <c r="AU56" i="48"/>
  <c r="AM56" i="48"/>
  <c r="BB56" i="48"/>
  <c r="AT56" i="48"/>
  <c r="AL56" i="48"/>
  <c r="AY56" i="48"/>
  <c r="AQ56" i="48"/>
  <c r="AI56" i="48"/>
  <c r="AR56" i="48"/>
  <c r="CL8" i="49"/>
  <c r="DI8" i="49" s="1"/>
  <c r="CT8" i="49"/>
  <c r="DQ8" i="49" s="1"/>
  <c r="DB8" i="49"/>
  <c r="DY8" i="49" s="1"/>
  <c r="FP9" i="49"/>
  <c r="EI10" i="49"/>
  <c r="EN10" i="49"/>
  <c r="EG13" i="49"/>
  <c r="FD13" i="49"/>
  <c r="EQ14" i="49"/>
  <c r="FN14" i="49"/>
  <c r="FL14" i="49"/>
  <c r="EI15" i="49"/>
  <c r="FF15" i="49"/>
  <c r="EQ15" i="49"/>
  <c r="FN15" i="49"/>
  <c r="FT17" i="49"/>
  <c r="EW17" i="49"/>
  <c r="FN20" i="49"/>
  <c r="EE22" i="49"/>
  <c r="FB22" i="49"/>
  <c r="FB23" i="49"/>
  <c r="EE23" i="49"/>
  <c r="FP25" i="49"/>
  <c r="ES25" i="49"/>
  <c r="FM26" i="49"/>
  <c r="EP26" i="49"/>
  <c r="FV27" i="49"/>
  <c r="EY27" i="49"/>
  <c r="BF48" i="49"/>
  <c r="CC48" i="49" s="1"/>
  <c r="DB48" i="49" s="1"/>
  <c r="AZ57" i="48"/>
  <c r="AP7" i="48"/>
  <c r="AX7" i="48"/>
  <c r="AX9" i="48" s="1"/>
  <c r="AC28" i="49" s="1"/>
  <c r="CA28" i="49" s="1"/>
  <c r="CZ28" i="49" s="1"/>
  <c r="DW28" i="49" s="1"/>
  <c r="AG8" i="48"/>
  <c r="AG9" i="48" s="1"/>
  <c r="AO8" i="48"/>
  <c r="AO9" i="48" s="1"/>
  <c r="T28" i="49" s="1"/>
  <c r="BR28" i="49" s="1"/>
  <c r="CQ28" i="49" s="1"/>
  <c r="DN28" i="49" s="1"/>
  <c r="AG10" i="48"/>
  <c r="AO10" i="48"/>
  <c r="AN11" i="48"/>
  <c r="AV11" i="48"/>
  <c r="AN13" i="48"/>
  <c r="AV13" i="48"/>
  <c r="AV15" i="48" s="1"/>
  <c r="AA30" i="49" s="1"/>
  <c r="BY30" i="49" s="1"/>
  <c r="CX30" i="49" s="1"/>
  <c r="DU30" i="49" s="1"/>
  <c r="AM14" i="48"/>
  <c r="AU14" i="48"/>
  <c r="BC14" i="48"/>
  <c r="AM16" i="48"/>
  <c r="AU16" i="48"/>
  <c r="BC16" i="48"/>
  <c r="BC18" i="48" s="1"/>
  <c r="AH31" i="49" s="1"/>
  <c r="CF31" i="49" s="1"/>
  <c r="DE31" i="49" s="1"/>
  <c r="EB31" i="49" s="1"/>
  <c r="AL17" i="48"/>
  <c r="AT17" i="48"/>
  <c r="AT18" i="48" s="1"/>
  <c r="Y31" i="49" s="1"/>
  <c r="BW31" i="49" s="1"/>
  <c r="CV31" i="49" s="1"/>
  <c r="DS31" i="49" s="1"/>
  <c r="BB17" i="48"/>
  <c r="BB18" i="48" s="1"/>
  <c r="AG31" i="49" s="1"/>
  <c r="CE31" i="49" s="1"/>
  <c r="DD31" i="49" s="1"/>
  <c r="EA31" i="49" s="1"/>
  <c r="AL19" i="48"/>
  <c r="AT19" i="48"/>
  <c r="BB19" i="48"/>
  <c r="AK20" i="48"/>
  <c r="AS20" i="48"/>
  <c r="BA20" i="48"/>
  <c r="AK27" i="48"/>
  <c r="AS27" i="48"/>
  <c r="BA27" i="48"/>
  <c r="AJ28" i="48"/>
  <c r="AR28" i="48"/>
  <c r="AZ28" i="48"/>
  <c r="AI29" i="48"/>
  <c r="AQ29" i="48"/>
  <c r="AY29" i="48"/>
  <c r="AH30" i="48"/>
  <c r="AP30" i="48"/>
  <c r="AX30" i="48"/>
  <c r="AZ39" i="48"/>
  <c r="AE19" i="49" s="1"/>
  <c r="CC19" i="49" s="1"/>
  <c r="DB19" i="49" s="1"/>
  <c r="DY19" i="49" s="1"/>
  <c r="AS42" i="48"/>
  <c r="X25" i="49" s="1"/>
  <c r="BV25" i="49" s="1"/>
  <c r="CU25" i="49" s="1"/>
  <c r="DR25" i="49" s="1"/>
  <c r="BA42" i="48"/>
  <c r="AF25" i="49" s="1"/>
  <c r="CD25" i="49" s="1"/>
  <c r="DC25" i="49" s="1"/>
  <c r="DZ25" i="49" s="1"/>
  <c r="AX45" i="48"/>
  <c r="AC26" i="49" s="1"/>
  <c r="CA26" i="49" s="1"/>
  <c r="CZ26" i="49" s="1"/>
  <c r="DW26" i="49" s="1"/>
  <c r="AK48" i="48"/>
  <c r="P27" i="49" s="1"/>
  <c r="BN27" i="49" s="1"/>
  <c r="CM27" i="49" s="1"/>
  <c r="DJ27" i="49" s="1"/>
  <c r="BB48" i="48"/>
  <c r="AG27" i="49" s="1"/>
  <c r="CE27" i="49" s="1"/>
  <c r="DD27" i="49" s="1"/>
  <c r="EA27" i="49" s="1"/>
  <c r="AW48" i="48"/>
  <c r="AB27" i="49" s="1"/>
  <c r="BZ27" i="49" s="1"/>
  <c r="CY27" i="49" s="1"/>
  <c r="DV27" i="49" s="1"/>
  <c r="AH55" i="48"/>
  <c r="AR55" i="48"/>
  <c r="AG56" i="48"/>
  <c r="AS56" i="48"/>
  <c r="AW57" i="48"/>
  <c r="CM8" i="49"/>
  <c r="DJ8" i="49" s="1"/>
  <c r="CU8" i="49"/>
  <c r="DR8" i="49" s="1"/>
  <c r="DC8" i="49"/>
  <c r="DZ8" i="49" s="1"/>
  <c r="CR8" i="49"/>
  <c r="DO8" i="49" s="1"/>
  <c r="ED9" i="49"/>
  <c r="FA9" i="49"/>
  <c r="EL9" i="49"/>
  <c r="FI9" i="49"/>
  <c r="EY9" i="49"/>
  <c r="EJ11" i="49"/>
  <c r="FG12" i="49"/>
  <c r="FT12" i="49"/>
  <c r="FE14" i="49"/>
  <c r="FU15" i="49"/>
  <c r="EX15" i="49"/>
  <c r="EL15" i="49"/>
  <c r="EX17" i="49"/>
  <c r="FV17" i="49"/>
  <c r="EY17" i="49"/>
  <c r="EZ17" i="49"/>
  <c r="FM18" i="49"/>
  <c r="EP18" i="49"/>
  <c r="FA22" i="49"/>
  <c r="ED22" i="49"/>
  <c r="FI22" i="49"/>
  <c r="EL22" i="49"/>
  <c r="FC23" i="49"/>
  <c r="EF23" i="49"/>
  <c r="EV23" i="49"/>
  <c r="FS23" i="49"/>
  <c r="BC29" i="48"/>
  <c r="FJ27" i="49"/>
  <c r="EM27" i="49"/>
  <c r="EF7" i="49"/>
  <c r="FC7" i="49"/>
  <c r="EI12" i="49"/>
  <c r="FF12" i="49"/>
  <c r="FS15" i="49"/>
  <c r="EV15" i="49"/>
  <c r="EJ17" i="49"/>
  <c r="FG17" i="49"/>
  <c r="FP17" i="49"/>
  <c r="EM18" i="49"/>
  <c r="X56" i="50"/>
  <c r="AA56" i="50" s="1"/>
  <c r="AA44" i="50"/>
  <c r="AI7" i="48"/>
  <c r="AI9" i="48" s="1"/>
  <c r="AQ7" i="48"/>
  <c r="AH8" i="48"/>
  <c r="AP8" i="48"/>
  <c r="AH10" i="48"/>
  <c r="AP10" i="48"/>
  <c r="AP12" i="48" s="1"/>
  <c r="U29" i="49" s="1"/>
  <c r="BS29" i="49" s="1"/>
  <c r="CR29" i="49" s="1"/>
  <c r="DO29" i="49" s="1"/>
  <c r="AG11" i="48"/>
  <c r="AO11" i="48"/>
  <c r="AG13" i="48"/>
  <c r="AG15" i="48" s="1"/>
  <c r="L30" i="49" s="1"/>
  <c r="BJ30" i="49" s="1"/>
  <c r="CI30" i="49" s="1"/>
  <c r="DF30" i="49" s="1"/>
  <c r="AO13" i="48"/>
  <c r="AO15" i="48" s="1"/>
  <c r="T30" i="49" s="1"/>
  <c r="BR30" i="49" s="1"/>
  <c r="CQ30" i="49" s="1"/>
  <c r="DN30" i="49" s="1"/>
  <c r="AN14" i="48"/>
  <c r="AN16" i="48"/>
  <c r="AM17" i="48"/>
  <c r="AU17" i="48"/>
  <c r="AM19" i="48"/>
  <c r="AU19" i="48"/>
  <c r="AL20" i="48"/>
  <c r="AT20" i="48"/>
  <c r="BB20" i="48"/>
  <c r="AL27" i="48"/>
  <c r="AT27" i="48"/>
  <c r="BB27" i="48"/>
  <c r="BB31" i="48" s="1"/>
  <c r="AG16" i="49" s="1"/>
  <c r="CE16" i="49" s="1"/>
  <c r="DD16" i="49" s="1"/>
  <c r="EA16" i="49" s="1"/>
  <c r="AK28" i="48"/>
  <c r="AS28" i="48"/>
  <c r="BA28" i="48"/>
  <c r="AJ29" i="48"/>
  <c r="AR29" i="48"/>
  <c r="AZ29" i="48"/>
  <c r="AQ30" i="48"/>
  <c r="AS39" i="48"/>
  <c r="X19" i="49" s="1"/>
  <c r="BV19" i="49" s="1"/>
  <c r="CU19" i="49" s="1"/>
  <c r="DR19" i="49" s="1"/>
  <c r="AT42" i="48"/>
  <c r="Y25" i="49" s="1"/>
  <c r="BW25" i="49" s="1"/>
  <c r="CV25" i="49" s="1"/>
  <c r="DS25" i="49" s="1"/>
  <c r="AY45" i="48"/>
  <c r="AD26" i="49" s="1"/>
  <c r="CB26" i="49" s="1"/>
  <c r="DA26" i="49" s="1"/>
  <c r="DX26" i="49" s="1"/>
  <c r="AL48" i="48"/>
  <c r="Q27" i="49" s="1"/>
  <c r="BO27" i="49" s="1"/>
  <c r="CN27" i="49" s="1"/>
  <c r="DK27" i="49" s="1"/>
  <c r="AX48" i="48"/>
  <c r="AC27" i="49" s="1"/>
  <c r="CA27" i="49" s="1"/>
  <c r="CZ27" i="49" s="1"/>
  <c r="DW27" i="49" s="1"/>
  <c r="AH56" i="48"/>
  <c r="AV56" i="48"/>
  <c r="CK6" i="49"/>
  <c r="DH6" i="49" s="1"/>
  <c r="CS6" i="49"/>
  <c r="DP6" i="49" s="1"/>
  <c r="DA6" i="49"/>
  <c r="DX6" i="49" s="1"/>
  <c r="CN8" i="49"/>
  <c r="DK8" i="49" s="1"/>
  <c r="CV8" i="49"/>
  <c r="DS8" i="49" s="1"/>
  <c r="DD8" i="49"/>
  <c r="EA8" i="49" s="1"/>
  <c r="EE9" i="49"/>
  <c r="FB9" i="49"/>
  <c r="EM9" i="49"/>
  <c r="FJ9" i="49"/>
  <c r="EU9" i="49"/>
  <c r="FR9" i="49"/>
  <c r="EZ9" i="49"/>
  <c r="EF12" i="49"/>
  <c r="FR14" i="49"/>
  <c r="EU14" i="49"/>
  <c r="EE14" i="49"/>
  <c r="FC15" i="49"/>
  <c r="EF15" i="49"/>
  <c r="EP15" i="49"/>
  <c r="EO18" i="49"/>
  <c r="EV21" i="49"/>
  <c r="EO23" i="49"/>
  <c r="FL23" i="49"/>
  <c r="EW23" i="49"/>
  <c r="FT23" i="49"/>
  <c r="FO23" i="49"/>
  <c r="ER23" i="49"/>
  <c r="FG24" i="49"/>
  <c r="EJ24" i="49"/>
  <c r="CM24" i="49"/>
  <c r="DJ24" i="49" s="1"/>
  <c r="CU24" i="49"/>
  <c r="DR24" i="49" s="1"/>
  <c r="CK24" i="49"/>
  <c r="DH24" i="49" s="1"/>
  <c r="DC24" i="49"/>
  <c r="DZ24" i="49" s="1"/>
  <c r="DB24" i="49"/>
  <c r="DY24" i="49" s="1"/>
  <c r="DA24" i="49"/>
  <c r="DX24" i="49" s="1"/>
  <c r="CS24" i="49"/>
  <c r="DP24" i="49" s="1"/>
  <c r="CR24" i="49"/>
  <c r="DO24" i="49" s="1"/>
  <c r="DF44" i="49"/>
  <c r="EC44" i="49" s="1"/>
  <c r="EZ44" i="49"/>
  <c r="AN17" i="48"/>
  <c r="AN19" i="48"/>
  <c r="AV19" i="48"/>
  <c r="AV21" i="48" s="1"/>
  <c r="AA32" i="49" s="1"/>
  <c r="BY32" i="49" s="1"/>
  <c r="CX32" i="49" s="1"/>
  <c r="DU32" i="49" s="1"/>
  <c r="AU20" i="48"/>
  <c r="AT28" i="48"/>
  <c r="BA29" i="48"/>
  <c r="FV25" i="49"/>
  <c r="EY25" i="49"/>
  <c r="BB45" i="48"/>
  <c r="AG26" i="49" s="1"/>
  <c r="CE26" i="49" s="1"/>
  <c r="DD26" i="49" s="1"/>
  <c r="EA26" i="49" s="1"/>
  <c r="EU27" i="49"/>
  <c r="AS49" i="49"/>
  <c r="BP49" i="49" s="1"/>
  <c r="CO49" i="49" s="1"/>
  <c r="FF49" i="49" s="1"/>
  <c r="AM55" i="48"/>
  <c r="AP48" i="49"/>
  <c r="BM48" i="49" s="1"/>
  <c r="CL48" i="49" s="1"/>
  <c r="AJ57" i="48"/>
  <c r="FP48" i="49"/>
  <c r="FP50" i="49" s="1"/>
  <c r="DV48" i="49"/>
  <c r="FF8" i="49"/>
  <c r="EQ8" i="49"/>
  <c r="FN8" i="49"/>
  <c r="EI9" i="49"/>
  <c r="EV10" i="49"/>
  <c r="EV11" i="49"/>
  <c r="FS11" i="49"/>
  <c r="FD12" i="49"/>
  <c r="ED13" i="49"/>
  <c r="FA13" i="49"/>
  <c r="FS14" i="49"/>
  <c r="EV14" i="49"/>
  <c r="FF17" i="49"/>
  <c r="FN17" i="49"/>
  <c r="EQ17" i="49"/>
  <c r="ED21" i="49"/>
  <c r="FA21" i="49"/>
  <c r="FI21" i="49"/>
  <c r="EL21" i="49"/>
  <c r="ET21" i="49"/>
  <c r="FQ21" i="49"/>
  <c r="EI21" i="49"/>
  <c r="FF21" i="49"/>
  <c r="AV17" i="48"/>
  <c r="AV18" i="48" s="1"/>
  <c r="AA31" i="49" s="1"/>
  <c r="BY31" i="49" s="1"/>
  <c r="CX31" i="49" s="1"/>
  <c r="DU31" i="49" s="1"/>
  <c r="AM20" i="48"/>
  <c r="BC20" i="48"/>
  <c r="AU27" i="48"/>
  <c r="BC27" i="48"/>
  <c r="AL28" i="48"/>
  <c r="AK29" i="48"/>
  <c r="AS29" i="48"/>
  <c r="AT39" i="48"/>
  <c r="Y19" i="49" s="1"/>
  <c r="BW19" i="49" s="1"/>
  <c r="CV19" i="49" s="1"/>
  <c r="DS19" i="49" s="1"/>
  <c r="BB39" i="48"/>
  <c r="AG19" i="49" s="1"/>
  <c r="CE19" i="49" s="1"/>
  <c r="DD19" i="49" s="1"/>
  <c r="EA19" i="49" s="1"/>
  <c r="AG17" i="48"/>
  <c r="AG18" i="48" s="1"/>
  <c r="L31" i="49" s="1"/>
  <c r="BJ31" i="49" s="1"/>
  <c r="CI31" i="49" s="1"/>
  <c r="DF31" i="49" s="1"/>
  <c r="AO17" i="48"/>
  <c r="AO18" i="48" s="1"/>
  <c r="T31" i="49" s="1"/>
  <c r="BR31" i="49" s="1"/>
  <c r="CQ31" i="49" s="1"/>
  <c r="DN31" i="49" s="1"/>
  <c r="AG19" i="48"/>
  <c r="AG21" i="48" s="1"/>
  <c r="L32" i="49" s="1"/>
  <c r="BJ32" i="49" s="1"/>
  <c r="CI32" i="49" s="1"/>
  <c r="DF32" i="49" s="1"/>
  <c r="AO19" i="48"/>
  <c r="AO21" i="48" s="1"/>
  <c r="T32" i="49" s="1"/>
  <c r="BR32" i="49" s="1"/>
  <c r="CQ32" i="49" s="1"/>
  <c r="DN32" i="49" s="1"/>
  <c r="AN20" i="48"/>
  <c r="AN27" i="48"/>
  <c r="AM28" i="48"/>
  <c r="AU28" i="48"/>
  <c r="AL29" i="48"/>
  <c r="AT29" i="48"/>
  <c r="AU39" i="48"/>
  <c r="Z19" i="49" s="1"/>
  <c r="BX19" i="49" s="1"/>
  <c r="CW19" i="49" s="1"/>
  <c r="DT19" i="49" s="1"/>
  <c r="AQ45" i="48"/>
  <c r="V26" i="49" s="1"/>
  <c r="BT26" i="49" s="1"/>
  <c r="CS26" i="49" s="1"/>
  <c r="DP26" i="49" s="1"/>
  <c r="AP48" i="48"/>
  <c r="U27" i="49" s="1"/>
  <c r="BS27" i="49" s="1"/>
  <c r="CR27" i="49" s="1"/>
  <c r="DO27" i="49" s="1"/>
  <c r="AW55" i="48"/>
  <c r="EJ6" i="49"/>
  <c r="FG6" i="49"/>
  <c r="EJ10" i="49"/>
  <c r="FG10" i="49"/>
  <c r="ER11" i="49"/>
  <c r="EP12" i="49"/>
  <c r="FM12" i="49"/>
  <c r="EX12" i="49"/>
  <c r="FU12" i="49"/>
  <c r="ER12" i="49"/>
  <c r="FO12" i="49"/>
  <c r="EM13" i="49"/>
  <c r="FJ13" i="49"/>
  <c r="EU13" i="49"/>
  <c r="FR13" i="49"/>
  <c r="FD14" i="49"/>
  <c r="EG14" i="49"/>
  <c r="EZ18" i="49"/>
  <c r="EJ18" i="49"/>
  <c r="FG18" i="49"/>
  <c r="FD18" i="49"/>
  <c r="EJ20" i="49"/>
  <c r="FG20" i="49"/>
  <c r="FG21" i="49"/>
  <c r="EJ21" i="49"/>
  <c r="FO21" i="49"/>
  <c r="ER21" i="49"/>
  <c r="FH21" i="49"/>
  <c r="EW22" i="49"/>
  <c r="EQ23" i="49"/>
  <c r="CZ14" i="49"/>
  <c r="DW14" i="49" s="1"/>
  <c r="CJ15" i="49"/>
  <c r="DG15" i="49" s="1"/>
  <c r="CZ15" i="49"/>
  <c r="DW15" i="49" s="1"/>
  <c r="CM15" i="49"/>
  <c r="DJ15" i="49" s="1"/>
  <c r="FA17" i="49"/>
  <c r="FV18" i="49"/>
  <c r="CJ20" i="49"/>
  <c r="DG20" i="49" s="1"/>
  <c r="CZ20" i="49"/>
  <c r="DW20" i="49" s="1"/>
  <c r="FN38" i="49"/>
  <c r="DT38" i="49"/>
  <c r="EQ38" i="49" s="1"/>
  <c r="FV38" i="49"/>
  <c r="EB38" i="49"/>
  <c r="EY38" i="49" s="1"/>
  <c r="DE14" i="49"/>
  <c r="EB14" i="49" s="1"/>
  <c r="CQ14" i="49"/>
  <c r="DN14" i="49" s="1"/>
  <c r="ER14" i="49"/>
  <c r="CK15" i="49"/>
  <c r="DH15" i="49" s="1"/>
  <c r="CS15" i="49"/>
  <c r="DP15" i="49" s="1"/>
  <c r="DA15" i="49"/>
  <c r="DX15" i="49" s="1"/>
  <c r="CN15" i="49"/>
  <c r="DK15" i="49" s="1"/>
  <c r="DC15" i="49"/>
  <c r="DZ15" i="49" s="1"/>
  <c r="FB17" i="49"/>
  <c r="FQ17" i="49"/>
  <c r="CM20" i="49"/>
  <c r="DJ20" i="49" s="1"/>
  <c r="DB20" i="49"/>
  <c r="DY20" i="49" s="1"/>
  <c r="CL22" i="49"/>
  <c r="DI22" i="49" s="1"/>
  <c r="DB22" i="49"/>
  <c r="DY22" i="49" s="1"/>
  <c r="CN22" i="49"/>
  <c r="DK22" i="49" s="1"/>
  <c r="DD22" i="49"/>
  <c r="EA22" i="49" s="1"/>
  <c r="FP23" i="49"/>
  <c r="ES23" i="49"/>
  <c r="CJ24" i="49"/>
  <c r="DG24" i="49" s="1"/>
  <c r="CZ24" i="49"/>
  <c r="DW24" i="49" s="1"/>
  <c r="FN41" i="49"/>
  <c r="CT20" i="49"/>
  <c r="DQ20" i="49" s="1"/>
  <c r="DC20" i="49"/>
  <c r="DZ20" i="49" s="1"/>
  <c r="FG23" i="49"/>
  <c r="EJ23" i="49"/>
  <c r="FE33" i="49"/>
  <c r="EH33" i="49"/>
  <c r="FM33" i="49"/>
  <c r="EP33" i="49"/>
  <c r="AZ45" i="48"/>
  <c r="AE26" i="49" s="1"/>
  <c r="CC26" i="49" s="1"/>
  <c r="DB26" i="49" s="1"/>
  <c r="DY26" i="49" s="1"/>
  <c r="AS48" i="48"/>
  <c r="X27" i="49" s="1"/>
  <c r="BV27" i="49" s="1"/>
  <c r="CU27" i="49" s="1"/>
  <c r="DR27" i="49" s="1"/>
  <c r="BA48" i="48"/>
  <c r="AF27" i="49" s="1"/>
  <c r="CD27" i="49" s="1"/>
  <c r="DC27" i="49" s="1"/>
  <c r="DZ27" i="49" s="1"/>
  <c r="CU15" i="49"/>
  <c r="DR15" i="49" s="1"/>
  <c r="DA17" i="49"/>
  <c r="DX17" i="49" s="1"/>
  <c r="ER17" i="49"/>
  <c r="FN18" i="49"/>
  <c r="CV22" i="49"/>
  <c r="DS22" i="49" s="1"/>
  <c r="CS22" i="49"/>
  <c r="DP22" i="49" s="1"/>
  <c r="FJ23" i="49"/>
  <c r="CL24" i="49"/>
  <c r="DI24" i="49" s="1"/>
  <c r="CT24" i="49"/>
  <c r="DQ24" i="49" s="1"/>
  <c r="FU36" i="49"/>
  <c r="EA36" i="49"/>
  <c r="FB39" i="49"/>
  <c r="DH39" i="49"/>
  <c r="EE39" i="49" s="1"/>
  <c r="FP44" i="49"/>
  <c r="AS45" i="48"/>
  <c r="X26" i="49" s="1"/>
  <c r="BV26" i="49" s="1"/>
  <c r="CU26" i="49" s="1"/>
  <c r="DR26" i="49" s="1"/>
  <c r="AT48" i="48"/>
  <c r="Y27" i="49" s="1"/>
  <c r="BW27" i="49" s="1"/>
  <c r="CV27" i="49" s="1"/>
  <c r="DS27" i="49" s="1"/>
  <c r="CL17" i="49"/>
  <c r="DI17" i="49" s="1"/>
  <c r="CT17" i="49"/>
  <c r="DQ17" i="49" s="1"/>
  <c r="DB17" i="49"/>
  <c r="DY17" i="49" s="1"/>
  <c r="FO18" i="49"/>
  <c r="CN20" i="49"/>
  <c r="DK20" i="49" s="1"/>
  <c r="DD20" i="49"/>
  <c r="EA20" i="49" s="1"/>
  <c r="FQ23" i="49"/>
  <c r="ET23" i="49"/>
  <c r="FE23" i="49"/>
  <c r="EH23" i="49"/>
  <c r="FB28" i="49"/>
  <c r="EE28" i="49"/>
  <c r="FG33" i="49"/>
  <c r="EJ33" i="49"/>
  <c r="ER33" i="49"/>
  <c r="FO33" i="49"/>
  <c r="FS33" i="49"/>
  <c r="EV33" i="49"/>
  <c r="FF43" i="49"/>
  <c r="DL43" i="49"/>
  <c r="EI43" i="49" s="1"/>
  <c r="CU22" i="49"/>
  <c r="DR22" i="49" s="1"/>
  <c r="FR23" i="49"/>
  <c r="EU23" i="49"/>
  <c r="FF23" i="49"/>
  <c r="CN24" i="49"/>
  <c r="DK24" i="49" s="1"/>
  <c r="CV24" i="49"/>
  <c r="DS24" i="49" s="1"/>
  <c r="DD24" i="49"/>
  <c r="EA24" i="49" s="1"/>
  <c r="FL39" i="49"/>
  <c r="DS39" i="49"/>
  <c r="EP39" i="49" s="1"/>
  <c r="FM39" i="49"/>
  <c r="CI22" i="49"/>
  <c r="DF22" i="49" s="1"/>
  <c r="CQ22" i="49"/>
  <c r="DN22" i="49" s="1"/>
  <c r="CY22" i="49"/>
  <c r="DV22" i="49" s="1"/>
  <c r="FH23" i="49"/>
  <c r="EK23" i="49"/>
  <c r="CO24" i="49"/>
  <c r="DL24" i="49" s="1"/>
  <c r="CW24" i="49"/>
  <c r="DT24" i="49" s="1"/>
  <c r="DE24" i="49"/>
  <c r="EB24" i="49" s="1"/>
  <c r="ED28" i="49"/>
  <c r="FA28" i="49"/>
  <c r="FU34" i="49"/>
  <c r="EX34" i="49"/>
  <c r="DR38" i="49"/>
  <c r="EO38" i="49" s="1"/>
  <c r="FL38" i="49"/>
  <c r="DZ38" i="49"/>
  <c r="EW38" i="49" s="1"/>
  <c r="FT38" i="49"/>
  <c r="DV38" i="49"/>
  <c r="ES38" i="49" s="1"/>
  <c r="FP38" i="49"/>
  <c r="CI24" i="49"/>
  <c r="DF24" i="49" s="1"/>
  <c r="CQ24" i="49"/>
  <c r="DN24" i="49" s="1"/>
  <c r="CY24" i="49"/>
  <c r="DV24" i="49" s="1"/>
  <c r="FC33" i="49"/>
  <c r="EF33" i="49"/>
  <c r="FU33" i="49"/>
  <c r="EX33" i="49"/>
  <c r="FD33" i="49"/>
  <c r="FE36" i="49"/>
  <c r="DK36" i="49"/>
  <c r="FM36" i="49"/>
  <c r="DS36" i="49"/>
  <c r="FP36" i="49"/>
  <c r="FE39" i="49"/>
  <c r="DK39" i="49"/>
  <c r="EH39" i="49" s="1"/>
  <c r="FA33" i="49"/>
  <c r="ED33" i="49"/>
  <c r="FI33" i="49"/>
  <c r="EL33" i="49"/>
  <c r="FQ33" i="49"/>
  <c r="ET33" i="49"/>
  <c r="FF36" i="49"/>
  <c r="DL36" i="49"/>
  <c r="FV36" i="49"/>
  <c r="EB36" i="49"/>
  <c r="DN37" i="49"/>
  <c r="EK37" i="49" s="1"/>
  <c r="FH37" i="49"/>
  <c r="DK37" i="49"/>
  <c r="EH37" i="49" s="1"/>
  <c r="FE37" i="49"/>
  <c r="DF38" i="49"/>
  <c r="EC38" i="49" s="1"/>
  <c r="EZ38" i="49"/>
  <c r="DN38" i="49"/>
  <c r="EK38" i="49" s="1"/>
  <c r="FH38" i="49"/>
  <c r="DJ38" i="49"/>
  <c r="EG38" i="49" s="1"/>
  <c r="FD38" i="49"/>
  <c r="DZ40" i="49"/>
  <c r="FT40" i="49"/>
  <c r="CR23" i="49"/>
  <c r="DO23" i="49" s="1"/>
  <c r="EE33" i="49"/>
  <c r="FB33" i="49"/>
  <c r="EU33" i="49"/>
  <c r="FR33" i="49"/>
  <c r="FA37" i="49"/>
  <c r="DG37" i="49"/>
  <c r="ED37" i="49" s="1"/>
  <c r="FQ37" i="49"/>
  <c r="DW37" i="49"/>
  <c r="ET37" i="49" s="1"/>
  <c r="DG38" i="49"/>
  <c r="ED38" i="49" s="1"/>
  <c r="FA38" i="49"/>
  <c r="FM40" i="49"/>
  <c r="DS40" i="49"/>
  <c r="FU40" i="49"/>
  <c r="EA40" i="49"/>
  <c r="DR43" i="49"/>
  <c r="EO43" i="49" s="1"/>
  <c r="FL43" i="49"/>
  <c r="FK33" i="49"/>
  <c r="EN33" i="49"/>
  <c r="EM33" i="49"/>
  <c r="FJ33" i="49"/>
  <c r="EK34" i="49"/>
  <c r="FH34" i="49"/>
  <c r="ES36" i="49"/>
  <c r="DN36" i="49"/>
  <c r="FH36" i="49"/>
  <c r="FB37" i="49"/>
  <c r="DH37" i="49"/>
  <c r="EE37" i="49" s="1"/>
  <c r="FJ37" i="49"/>
  <c r="DP37" i="49"/>
  <c r="EM37" i="49" s="1"/>
  <c r="EZ37" i="49"/>
  <c r="FB38" i="49"/>
  <c r="DH38" i="49"/>
  <c r="EE38" i="49" s="1"/>
  <c r="FJ38" i="49"/>
  <c r="DP38" i="49"/>
  <c r="EM38" i="49" s="1"/>
  <c r="DX38" i="49"/>
  <c r="EU38" i="49" s="1"/>
  <c r="DF39" i="49"/>
  <c r="EC39" i="49" s="1"/>
  <c r="EZ39" i="49"/>
  <c r="FA39" i="49"/>
  <c r="DG39" i="49"/>
  <c r="ED39" i="49" s="1"/>
  <c r="DL40" i="49"/>
  <c r="FF40" i="49"/>
  <c r="EB40" i="49"/>
  <c r="FV40" i="49"/>
  <c r="DP43" i="49"/>
  <c r="EM43" i="49" s="1"/>
  <c r="FJ43" i="49"/>
  <c r="DX43" i="49"/>
  <c r="EU43" i="49" s="1"/>
  <c r="FR43" i="49"/>
  <c r="CI15" i="49"/>
  <c r="DF15" i="49" s="1"/>
  <c r="CQ15" i="49"/>
  <c r="DN15" i="49" s="1"/>
  <c r="CY15" i="49"/>
  <c r="DV15" i="49" s="1"/>
  <c r="CI20" i="49"/>
  <c r="DF20" i="49" s="1"/>
  <c r="CQ20" i="49"/>
  <c r="DN20" i="49" s="1"/>
  <c r="CY20" i="49"/>
  <c r="DV20" i="49" s="1"/>
  <c r="CO22" i="49"/>
  <c r="DL22" i="49" s="1"/>
  <c r="CW22" i="49"/>
  <c r="DT22" i="49" s="1"/>
  <c r="DE22" i="49"/>
  <c r="EB22" i="49" s="1"/>
  <c r="FT33" i="49"/>
  <c r="EW33" i="49"/>
  <c r="FE34" i="49"/>
  <c r="EH34" i="49"/>
  <c r="FM34" i="49"/>
  <c r="EP34" i="49"/>
  <c r="EZ34" i="49"/>
  <c r="FA36" i="49"/>
  <c r="DG36" i="49"/>
  <c r="DO36" i="49"/>
  <c r="FI36" i="49"/>
  <c r="FR37" i="49"/>
  <c r="DX37" i="49"/>
  <c r="EU37" i="49" s="1"/>
  <c r="FI39" i="49"/>
  <c r="DO39" i="49"/>
  <c r="EL39" i="49" s="1"/>
  <c r="FU39" i="49"/>
  <c r="DM40" i="49"/>
  <c r="FG40" i="49"/>
  <c r="FO40" i="49"/>
  <c r="DU40" i="49"/>
  <c r="DI42" i="49"/>
  <c r="DF40" i="49"/>
  <c r="EZ40" i="49"/>
  <c r="EJ34" i="49"/>
  <c r="FG34" i="49"/>
  <c r="ER34" i="49"/>
  <c r="FO34" i="49"/>
  <c r="ET36" i="49"/>
  <c r="FE38" i="49"/>
  <c r="DK38" i="49"/>
  <c r="EH38" i="49" s="1"/>
  <c r="FU38" i="49"/>
  <c r="FI40" i="49"/>
  <c r="DO40" i="49"/>
  <c r="FQ40" i="49"/>
  <c r="DW40" i="49"/>
  <c r="DF42" i="49"/>
  <c r="EZ42" i="49"/>
  <c r="FB42" i="49"/>
  <c r="DH42" i="49"/>
  <c r="EO34" i="49"/>
  <c r="FL34" i="49"/>
  <c r="FQ36" i="49"/>
  <c r="EB37" i="49"/>
  <c r="EY37" i="49" s="1"/>
  <c r="FO37" i="49"/>
  <c r="DX39" i="49"/>
  <c r="EU39" i="49" s="1"/>
  <c r="FK39" i="49"/>
  <c r="FR40" i="49"/>
  <c r="FA42" i="49"/>
  <c r="DG42" i="49"/>
  <c r="DI43" i="49"/>
  <c r="EF43" i="49" s="1"/>
  <c r="FC43" i="49"/>
  <c r="DQ43" i="49"/>
  <c r="EN43" i="49" s="1"/>
  <c r="FK43" i="49"/>
  <c r="DY43" i="49"/>
  <c r="EV43" i="49" s="1"/>
  <c r="FS43" i="49"/>
  <c r="FK44" i="49"/>
  <c r="CV45" i="49"/>
  <c r="FM45" i="49" s="1"/>
  <c r="EF36" i="49"/>
  <c r="FS36" i="49"/>
  <c r="FP37" i="49"/>
  <c r="FH42" i="49"/>
  <c r="DP42" i="49"/>
  <c r="FN42" i="49"/>
  <c r="DJ43" i="49"/>
  <c r="EG43" i="49" s="1"/>
  <c r="FD43" i="49"/>
  <c r="DZ43" i="49"/>
  <c r="EW43" i="49" s="1"/>
  <c r="FT43" i="49"/>
  <c r="DH44" i="49"/>
  <c r="EE44" i="49" s="1"/>
  <c r="FJ44" i="49"/>
  <c r="DP44" i="49"/>
  <c r="EM44" i="49" s="1"/>
  <c r="FR44" i="49"/>
  <c r="FS9" i="52"/>
  <c r="EV9" i="52"/>
  <c r="FA10" i="52"/>
  <c r="ED10" i="52"/>
  <c r="FC17" i="52"/>
  <c r="EF17" i="52"/>
  <c r="EG34" i="49"/>
  <c r="FD34" i="49"/>
  <c r="DU36" i="49"/>
  <c r="FI42" i="49"/>
  <c r="DO42" i="49"/>
  <c r="DF43" i="49"/>
  <c r="EC43" i="49" s="1"/>
  <c r="DE45" i="49"/>
  <c r="FV45" i="49" s="1"/>
  <c r="CO45" i="49"/>
  <c r="FF45" i="49" s="1"/>
  <c r="DD45" i="49"/>
  <c r="FU45" i="49" s="1"/>
  <c r="CN45" i="49"/>
  <c r="FE45" i="49" s="1"/>
  <c r="BB48" i="52"/>
  <c r="BY48" i="52" s="1"/>
  <c r="CX48" i="52" s="1"/>
  <c r="AV57" i="51"/>
  <c r="FA6" i="52"/>
  <c r="EL6" i="52"/>
  <c r="FI6" i="52"/>
  <c r="ET6" i="52"/>
  <c r="FS34" i="49"/>
  <c r="EV36" i="49"/>
  <c r="EV41" i="49" s="1"/>
  <c r="DT37" i="49"/>
  <c r="EQ37" i="49" s="1"/>
  <c r="DS38" i="49"/>
  <c r="EP38" i="49" s="1"/>
  <c r="DP39" i="49"/>
  <c r="EM39" i="49" s="1"/>
  <c r="FO39" i="49"/>
  <c r="DR42" i="49"/>
  <c r="FL42" i="49"/>
  <c r="FN43" i="49"/>
  <c r="DT43" i="49"/>
  <c r="EQ43" i="49" s="1"/>
  <c r="FV43" i="49"/>
  <c r="EB43" i="49"/>
  <c r="EY43" i="49" s="1"/>
  <c r="DK43" i="49"/>
  <c r="EH43" i="49" s="1"/>
  <c r="DR44" i="49"/>
  <c r="EO44" i="49" s="1"/>
  <c r="FL44" i="49"/>
  <c r="FC19" i="52"/>
  <c r="EF19" i="52"/>
  <c r="FV34" i="49"/>
  <c r="DX36" i="49"/>
  <c r="FS38" i="49"/>
  <c r="FD39" i="49"/>
  <c r="FP39" i="49"/>
  <c r="FK40" i="49"/>
  <c r="FV42" i="49"/>
  <c r="DD43" i="49"/>
  <c r="CY43" i="49"/>
  <c r="DS43" i="49"/>
  <c r="EP43" i="49" s="1"/>
  <c r="FG43" i="49"/>
  <c r="DJ44" i="49"/>
  <c r="EG44" i="49" s="1"/>
  <c r="DL42" i="49"/>
  <c r="FF42" i="49"/>
  <c r="EQ42" i="49"/>
  <c r="EY42" i="49"/>
  <c r="FS42" i="49"/>
  <c r="DY42" i="49"/>
  <c r="EW34" i="49"/>
  <c r="FT34" i="49"/>
  <c r="EL34" i="49"/>
  <c r="FK34" i="49"/>
  <c r="DL37" i="49"/>
  <c r="EI37" i="49" s="1"/>
  <c r="DT39" i="49"/>
  <c r="EQ39" i="49" s="1"/>
  <c r="FG39" i="49"/>
  <c r="FT39" i="49"/>
  <c r="EJ42" i="49"/>
  <c r="ER42" i="49"/>
  <c r="DC42" i="49"/>
  <c r="FG44" i="49"/>
  <c r="AV52" i="50"/>
  <c r="AV54" i="50" s="1"/>
  <c r="AR54" i="50"/>
  <c r="AN54" i="50"/>
  <c r="FC30" i="52"/>
  <c r="EF30" i="52"/>
  <c r="FD19" i="52"/>
  <c r="AZ39" i="51"/>
  <c r="AE19" i="52" s="1"/>
  <c r="CC19" i="52" s="1"/>
  <c r="DB19" i="52" s="1"/>
  <c r="DY19" i="52" s="1"/>
  <c r="AY39" i="51"/>
  <c r="AD19" i="52" s="1"/>
  <c r="CB19" i="52" s="1"/>
  <c r="DA19" i="52" s="1"/>
  <c r="DX19" i="52" s="1"/>
  <c r="AX39" i="51"/>
  <c r="AC19" i="52" s="1"/>
  <c r="CA19" i="52" s="1"/>
  <c r="CZ19" i="52" s="1"/>
  <c r="DW19" i="52" s="1"/>
  <c r="AW39" i="51"/>
  <c r="AB19" i="52" s="1"/>
  <c r="BZ19" i="52" s="1"/>
  <c r="CY19" i="52" s="1"/>
  <c r="DV19" i="52" s="1"/>
  <c r="BC39" i="51"/>
  <c r="AH19" i="52" s="1"/>
  <c r="CF19" i="52" s="1"/>
  <c r="DE19" i="52" s="1"/>
  <c r="EB19" i="52" s="1"/>
  <c r="AU39" i="51"/>
  <c r="Z19" i="52" s="1"/>
  <c r="BX19" i="52" s="1"/>
  <c r="CW19" i="52" s="1"/>
  <c r="DT19" i="52" s="1"/>
  <c r="AS39" i="51"/>
  <c r="X19" i="52" s="1"/>
  <c r="BV19" i="52" s="1"/>
  <c r="CU19" i="52" s="1"/>
  <c r="DR19" i="52" s="1"/>
  <c r="BB39" i="51"/>
  <c r="AG19" i="52" s="1"/>
  <c r="CE19" i="52" s="1"/>
  <c r="DD19" i="52" s="1"/>
  <c r="EA19" i="52" s="1"/>
  <c r="BA39" i="51"/>
  <c r="AF19" i="52" s="1"/>
  <c r="CD19" i="52" s="1"/>
  <c r="DC19" i="52" s="1"/>
  <c r="DZ19" i="52" s="1"/>
  <c r="AV39" i="51"/>
  <c r="AA19" i="52" s="1"/>
  <c r="BY19" i="52" s="1"/>
  <c r="CX19" i="52" s="1"/>
  <c r="DU19" i="52" s="1"/>
  <c r="EH8" i="52"/>
  <c r="FE8" i="52"/>
  <c r="ES9" i="52"/>
  <c r="EH22" i="52"/>
  <c r="FE22" i="52"/>
  <c r="CJ45" i="49"/>
  <c r="FA45" i="49" s="1"/>
  <c r="CR45" i="49"/>
  <c r="FI45" i="49" s="1"/>
  <c r="CZ45" i="49"/>
  <c r="FQ45" i="49" s="1"/>
  <c r="EG25" i="52"/>
  <c r="FT25" i="52"/>
  <c r="EW25" i="52"/>
  <c r="EI26" i="52"/>
  <c r="FF26" i="52"/>
  <c r="EX7" i="52"/>
  <c r="FU7" i="52"/>
  <c r="EL9" i="52"/>
  <c r="FI9" i="52"/>
  <c r="FR11" i="52"/>
  <c r="EU11" i="52"/>
  <c r="EZ12" i="52"/>
  <c r="EC12" i="52"/>
  <c r="ED14" i="52"/>
  <c r="FQ14" i="52"/>
  <c r="ET14" i="52"/>
  <c r="FI14" i="52"/>
  <c r="EL14" i="52"/>
  <c r="CN42" i="49"/>
  <c r="CV42" i="49"/>
  <c r="DD42" i="49"/>
  <c r="CJ43" i="49"/>
  <c r="CR43" i="49"/>
  <c r="CZ43" i="49"/>
  <c r="FM44" i="49"/>
  <c r="CK45" i="49"/>
  <c r="FB45" i="49" s="1"/>
  <c r="CS45" i="49"/>
  <c r="FJ45" i="49" s="1"/>
  <c r="DA45" i="49"/>
  <c r="FR45" i="49" s="1"/>
  <c r="CM46" i="49"/>
  <c r="FD46" i="49" s="1"/>
  <c r="CU46" i="49"/>
  <c r="FL46" i="49" s="1"/>
  <c r="DC46" i="49"/>
  <c r="FT46" i="49" s="1"/>
  <c r="AO56" i="50"/>
  <c r="U10" i="53" s="1"/>
  <c r="AB14" i="54" s="1"/>
  <c r="AB8" i="54" s="1"/>
  <c r="FE25" i="52"/>
  <c r="EH25" i="52"/>
  <c r="FE11" i="52"/>
  <c r="EH11" i="52"/>
  <c r="EL12" i="52"/>
  <c r="FI12" i="52"/>
  <c r="EE13" i="52"/>
  <c r="FB13" i="52"/>
  <c r="CL45" i="49"/>
  <c r="FC45" i="49" s="1"/>
  <c r="CT45" i="49"/>
  <c r="FK45" i="49" s="1"/>
  <c r="DB45" i="49"/>
  <c r="FS45" i="49" s="1"/>
  <c r="AF51" i="50"/>
  <c r="FV29" i="52"/>
  <c r="EY29" i="52"/>
  <c r="ES29" i="52"/>
  <c r="FP29" i="52"/>
  <c r="ES30" i="52"/>
  <c r="BB16" i="51"/>
  <c r="AT16" i="51"/>
  <c r="AL16" i="51"/>
  <c r="BA16" i="51"/>
  <c r="AS16" i="51"/>
  <c r="AK16" i="51"/>
  <c r="AX16" i="51"/>
  <c r="AP16" i="51"/>
  <c r="AH16" i="51"/>
  <c r="BC16" i="51"/>
  <c r="AO16" i="51"/>
  <c r="AZ16" i="51"/>
  <c r="AN16" i="51"/>
  <c r="AN18" i="51" s="1"/>
  <c r="S31" i="52" s="1"/>
  <c r="BQ31" i="52" s="1"/>
  <c r="CP31" i="52" s="1"/>
  <c r="DM31" i="52" s="1"/>
  <c r="AY16" i="51"/>
  <c r="AM16" i="51"/>
  <c r="AW16" i="51"/>
  <c r="AJ16" i="51"/>
  <c r="AV16" i="51"/>
  <c r="AI16" i="51"/>
  <c r="AI18" i="51" s="1"/>
  <c r="N31" i="52" s="1"/>
  <c r="BL31" i="52" s="1"/>
  <c r="CK31" i="52" s="1"/>
  <c r="DH31" i="52" s="1"/>
  <c r="AU16" i="51"/>
  <c r="AG16" i="51"/>
  <c r="AR16" i="51"/>
  <c r="BC21" i="51"/>
  <c r="AH32" i="52" s="1"/>
  <c r="CF32" i="52" s="1"/>
  <c r="DE32" i="52" s="1"/>
  <c r="EB32" i="52" s="1"/>
  <c r="BA31" i="51"/>
  <c r="AF16" i="52" s="1"/>
  <c r="CD16" i="52" s="1"/>
  <c r="DC16" i="52" s="1"/>
  <c r="DZ16" i="52" s="1"/>
  <c r="EJ19" i="52"/>
  <c r="FG19" i="52"/>
  <c r="FF25" i="52"/>
  <c r="EI25" i="52"/>
  <c r="EK26" i="52"/>
  <c r="FH26" i="52"/>
  <c r="EP10" i="52"/>
  <c r="FM10" i="52"/>
  <c r="EP12" i="52"/>
  <c r="FM12" i="52"/>
  <c r="AI56" i="50"/>
  <c r="O10" i="53" s="1"/>
  <c r="V14" i="54" s="1"/>
  <c r="V8" i="54" s="1"/>
  <c r="AQ56" i="50"/>
  <c r="W10" i="53" s="1"/>
  <c r="AD14" i="54" s="1"/>
  <c r="AD8" i="54" s="1"/>
  <c r="EK28" i="52"/>
  <c r="AT39" i="51"/>
  <c r="Y19" i="52" s="1"/>
  <c r="BW19" i="52" s="1"/>
  <c r="CV19" i="52" s="1"/>
  <c r="DS19" i="52" s="1"/>
  <c r="FO27" i="52"/>
  <c r="ER27" i="52"/>
  <c r="AJ56" i="50"/>
  <c r="P10" i="53" s="1"/>
  <c r="W14" i="54" s="1"/>
  <c r="W8" i="54" s="1"/>
  <c r="AR56" i="50"/>
  <c r="X10" i="53" s="1"/>
  <c r="AE14" i="54" s="1"/>
  <c r="AE8" i="54" s="1"/>
  <c r="AO52" i="50"/>
  <c r="AK54" i="50"/>
  <c r="AQ18" i="51"/>
  <c r="V31" i="52" s="1"/>
  <c r="BT31" i="52" s="1"/>
  <c r="CS31" i="52" s="1"/>
  <c r="DP31" i="52" s="1"/>
  <c r="EC25" i="52"/>
  <c r="EZ25" i="52"/>
  <c r="EZ27" i="52"/>
  <c r="EK27" i="52"/>
  <c r="FH27" i="52"/>
  <c r="FG27" i="52"/>
  <c r="EJ27" i="52"/>
  <c r="EG7" i="52"/>
  <c r="FD7" i="52"/>
  <c r="EO7" i="52"/>
  <c r="FL7" i="52"/>
  <c r="EW7" i="52"/>
  <c r="FT7" i="52"/>
  <c r="FP8" i="52"/>
  <c r="ES8" i="52"/>
  <c r="FG10" i="52"/>
  <c r="EJ10" i="52"/>
  <c r="EX10" i="52"/>
  <c r="FU10" i="52"/>
  <c r="FN15" i="52"/>
  <c r="EQ15" i="52"/>
  <c r="FN18" i="52"/>
  <c r="EQ18" i="52"/>
  <c r="FE44" i="49"/>
  <c r="FU44" i="49"/>
  <c r="AP52" i="50"/>
  <c r="AL54" i="50"/>
  <c r="AH12" i="51"/>
  <c r="M29" i="52" s="1"/>
  <c r="BK29" i="52" s="1"/>
  <c r="CJ29" i="52" s="1"/>
  <c r="DG29" i="52" s="1"/>
  <c r="BA17" i="51"/>
  <c r="AS17" i="51"/>
  <c r="AK17" i="51"/>
  <c r="AZ17" i="51"/>
  <c r="AR17" i="51"/>
  <c r="AJ17" i="51"/>
  <c r="AW17" i="51"/>
  <c r="AO17" i="51"/>
  <c r="AG17" i="51"/>
  <c r="BC17" i="51"/>
  <c r="AP17" i="51"/>
  <c r="BB17" i="51"/>
  <c r="AN17" i="51"/>
  <c r="AY17" i="51"/>
  <c r="AM17" i="51"/>
  <c r="AX17" i="51"/>
  <c r="AL17" i="51"/>
  <c r="AV17" i="51"/>
  <c r="AI17" i="51"/>
  <c r="AU17" i="51"/>
  <c r="AH17" i="51"/>
  <c r="AT17" i="51"/>
  <c r="FN32" i="52"/>
  <c r="EQ32" i="52"/>
  <c r="EP25" i="52"/>
  <c r="FM25" i="52"/>
  <c r="FC26" i="52"/>
  <c r="EF26" i="52"/>
  <c r="EN26" i="52"/>
  <c r="FK26" i="52"/>
  <c r="EC6" i="52"/>
  <c r="EZ6" i="52"/>
  <c r="ES6" i="52"/>
  <c r="FP6" i="52"/>
  <c r="EK6" i="52"/>
  <c r="FH6" i="52"/>
  <c r="EH7" i="52"/>
  <c r="FE7" i="52"/>
  <c r="EP7" i="52"/>
  <c r="FM7" i="52"/>
  <c r="ET11" i="52"/>
  <c r="FQ11" i="52"/>
  <c r="EX12" i="52"/>
  <c r="FU12" i="52"/>
  <c r="AK48" i="50"/>
  <c r="AK51" i="50" s="1"/>
  <c r="AS48" i="50"/>
  <c r="AS51" i="50" s="1"/>
  <c r="AG54" i="50"/>
  <c r="AI8" i="51"/>
  <c r="AI9" i="51" s="1"/>
  <c r="AQ8" i="51"/>
  <c r="AQ9" i="51" s="1"/>
  <c r="V28" i="52" s="1"/>
  <c r="BT28" i="52" s="1"/>
  <c r="CS28" i="52" s="1"/>
  <c r="DP28" i="52" s="1"/>
  <c r="AY8" i="51"/>
  <c r="AY9" i="51" s="1"/>
  <c r="AD28" i="52" s="1"/>
  <c r="CB28" i="52" s="1"/>
  <c r="DA28" i="52" s="1"/>
  <c r="DX28" i="52" s="1"/>
  <c r="AI10" i="51"/>
  <c r="AQ10" i="51"/>
  <c r="AQ12" i="51" s="1"/>
  <c r="V29" i="52" s="1"/>
  <c r="BT29" i="52" s="1"/>
  <c r="CS29" i="52" s="1"/>
  <c r="DP29" i="52" s="1"/>
  <c r="AY10" i="51"/>
  <c r="AH11" i="51"/>
  <c r="AP11" i="51"/>
  <c r="AP12" i="51" s="1"/>
  <c r="U29" i="52" s="1"/>
  <c r="BS29" i="52" s="1"/>
  <c r="CR29" i="52" s="1"/>
  <c r="DO29" i="52" s="1"/>
  <c r="AX11" i="51"/>
  <c r="AX12" i="51" s="1"/>
  <c r="AC29" i="52" s="1"/>
  <c r="CA29" i="52" s="1"/>
  <c r="CZ29" i="52" s="1"/>
  <c r="DW29" i="52" s="1"/>
  <c r="AN13" i="51"/>
  <c r="AX13" i="51"/>
  <c r="AX15" i="51" s="1"/>
  <c r="AC30" i="52" s="1"/>
  <c r="CA30" i="52" s="1"/>
  <c r="CZ30" i="52" s="1"/>
  <c r="DW30" i="52" s="1"/>
  <c r="AI19" i="51"/>
  <c r="AV19" i="51"/>
  <c r="AJ28" i="51"/>
  <c r="AV28" i="51"/>
  <c r="AJ29" i="51"/>
  <c r="AV29" i="51"/>
  <c r="EQ25" i="52"/>
  <c r="FN25" i="52"/>
  <c r="FD26" i="52"/>
  <c r="EG26" i="52"/>
  <c r="FT26" i="52"/>
  <c r="EW26" i="52"/>
  <c r="AH48" i="51"/>
  <c r="M27" i="52" s="1"/>
  <c r="BK27" i="52" s="1"/>
  <c r="CJ27" i="52" s="1"/>
  <c r="DG27" i="52" s="1"/>
  <c r="AP48" i="51"/>
  <c r="U27" i="52" s="1"/>
  <c r="BS27" i="52" s="1"/>
  <c r="CR27" i="52" s="1"/>
  <c r="DO27" i="52" s="1"/>
  <c r="AM48" i="52"/>
  <c r="BJ48" i="52" s="1"/>
  <c r="CI48" i="52" s="1"/>
  <c r="AG57" i="51"/>
  <c r="FB6" i="52"/>
  <c r="FR6" i="52"/>
  <c r="EI7" i="52"/>
  <c r="FQ8" i="52"/>
  <c r="ET8" i="52"/>
  <c r="ED9" i="52"/>
  <c r="FA9" i="52"/>
  <c r="FQ9" i="52"/>
  <c r="FJ9" i="52"/>
  <c r="EM9" i="52"/>
  <c r="EG10" i="52"/>
  <c r="FD10" i="52"/>
  <c r="EY10" i="52"/>
  <c r="FS11" i="52"/>
  <c r="EV11" i="52"/>
  <c r="FO12" i="52"/>
  <c r="ER12" i="52"/>
  <c r="EY13" i="52"/>
  <c r="FV13" i="52"/>
  <c r="FR14" i="52"/>
  <c r="EU14" i="52"/>
  <c r="FE15" i="52"/>
  <c r="EH15" i="52"/>
  <c r="ER15" i="52"/>
  <c r="FO15" i="52"/>
  <c r="EJ18" i="52"/>
  <c r="FG18" i="52"/>
  <c r="EP20" i="52"/>
  <c r="FM20" i="52"/>
  <c r="FN20" i="52"/>
  <c r="EQ20" i="52"/>
  <c r="FC21" i="52"/>
  <c r="EF21" i="52"/>
  <c r="FK21" i="52"/>
  <c r="EN21" i="52"/>
  <c r="FS21" i="52"/>
  <c r="EV21" i="52"/>
  <c r="EC23" i="52"/>
  <c r="EZ23" i="52"/>
  <c r="AL48" i="50"/>
  <c r="AL51" i="50" s="1"/>
  <c r="AT48" i="50"/>
  <c r="AT51" i="50" s="1"/>
  <c r="AH54" i="50"/>
  <c r="AJ8" i="51"/>
  <c r="AJ9" i="51" s="1"/>
  <c r="O28" i="52" s="1"/>
  <c r="BM28" i="52" s="1"/>
  <c r="CL28" i="52" s="1"/>
  <c r="DI28" i="52" s="1"/>
  <c r="AR8" i="51"/>
  <c r="AR9" i="51" s="1"/>
  <c r="W28" i="52" s="1"/>
  <c r="BU28" i="52" s="1"/>
  <c r="CT28" i="52" s="1"/>
  <c r="DQ28" i="52" s="1"/>
  <c r="AZ8" i="51"/>
  <c r="AJ10" i="51"/>
  <c r="AJ12" i="51" s="1"/>
  <c r="O29" i="52" s="1"/>
  <c r="BM29" i="52" s="1"/>
  <c r="CL29" i="52" s="1"/>
  <c r="DI29" i="52" s="1"/>
  <c r="AR10" i="51"/>
  <c r="AR12" i="51" s="1"/>
  <c r="W29" i="52" s="1"/>
  <c r="BU29" i="52" s="1"/>
  <c r="CT29" i="52" s="1"/>
  <c r="DQ29" i="52" s="1"/>
  <c r="AZ10" i="51"/>
  <c r="AZ12" i="51" s="1"/>
  <c r="AE29" i="52" s="1"/>
  <c r="CC29" i="52" s="1"/>
  <c r="DB29" i="52" s="1"/>
  <c r="DY29" i="52" s="1"/>
  <c r="AI11" i="51"/>
  <c r="AQ11" i="51"/>
  <c r="AY11" i="51"/>
  <c r="BC13" i="51"/>
  <c r="BC15" i="51" s="1"/>
  <c r="AH30" i="52" s="1"/>
  <c r="CF30" i="52" s="1"/>
  <c r="DE30" i="52" s="1"/>
  <c r="EB30" i="52" s="1"/>
  <c r="AO13" i="51"/>
  <c r="AY13" i="51"/>
  <c r="AY15" i="51" s="1"/>
  <c r="AD30" i="52" s="1"/>
  <c r="CB30" i="52" s="1"/>
  <c r="DA30" i="52" s="1"/>
  <c r="DX30" i="52" s="1"/>
  <c r="AL19" i="51"/>
  <c r="AL21" i="51" s="1"/>
  <c r="Q32" i="52" s="1"/>
  <c r="BO32" i="52" s="1"/>
  <c r="CN32" i="52" s="1"/>
  <c r="DK32" i="52" s="1"/>
  <c r="AX19" i="51"/>
  <c r="AX21" i="51" s="1"/>
  <c r="AC32" i="52" s="1"/>
  <c r="CA32" i="52" s="1"/>
  <c r="CZ32" i="52" s="1"/>
  <c r="DW32" i="52" s="1"/>
  <c r="AK28" i="51"/>
  <c r="AW28" i="51"/>
  <c r="AK29" i="51"/>
  <c r="AY29" i="51"/>
  <c r="AM39" i="51"/>
  <c r="R19" i="52" s="1"/>
  <c r="BP19" i="52" s="1"/>
  <c r="CO19" i="52" s="1"/>
  <c r="DL19" i="52" s="1"/>
  <c r="ES25" i="52"/>
  <c r="EH26" i="52"/>
  <c r="FE26" i="52"/>
  <c r="AI48" i="51"/>
  <c r="N27" i="52" s="1"/>
  <c r="BL27" i="52" s="1"/>
  <c r="CK27" i="52" s="1"/>
  <c r="DH27" i="52" s="1"/>
  <c r="AQ48" i="51"/>
  <c r="V27" i="52" s="1"/>
  <c r="BT27" i="52" s="1"/>
  <c r="CS27" i="52" s="1"/>
  <c r="DP27" i="52" s="1"/>
  <c r="BC54" i="51"/>
  <c r="AU54" i="51"/>
  <c r="AM54" i="51"/>
  <c r="BB54" i="51"/>
  <c r="AT54" i="51"/>
  <c r="AL54" i="51"/>
  <c r="BA54" i="51"/>
  <c r="AS54" i="51"/>
  <c r="AK54" i="51"/>
  <c r="AZ54" i="51"/>
  <c r="AR54" i="51"/>
  <c r="AJ54" i="51"/>
  <c r="AY54" i="51"/>
  <c r="AQ54" i="51"/>
  <c r="AI54" i="51"/>
  <c r="AX54" i="51"/>
  <c r="AP54" i="51"/>
  <c r="AH54" i="51"/>
  <c r="AW54" i="51"/>
  <c r="AO54" i="51"/>
  <c r="AG54" i="51"/>
  <c r="EF6" i="52"/>
  <c r="EJ7" i="52"/>
  <c r="FO7" i="52"/>
  <c r="EG8" i="52"/>
  <c r="FD8" i="52"/>
  <c r="EO8" i="52"/>
  <c r="FL8" i="52"/>
  <c r="EW8" i="52"/>
  <c r="FT8" i="52"/>
  <c r="FB9" i="52"/>
  <c r="EE9" i="52"/>
  <c r="FK9" i="52"/>
  <c r="EN9" i="52"/>
  <c r="EH10" i="52"/>
  <c r="FE10" i="52"/>
  <c r="EI11" i="52"/>
  <c r="FV11" i="52"/>
  <c r="EY11" i="52"/>
  <c r="FC11" i="52"/>
  <c r="EH12" i="52"/>
  <c r="FE12" i="52"/>
  <c r="EY12" i="52"/>
  <c r="FV12" i="52"/>
  <c r="FT12" i="52"/>
  <c r="EJ13" i="52"/>
  <c r="FG13" i="52"/>
  <c r="FP14" i="52"/>
  <c r="ES14" i="52"/>
  <c r="EO18" i="52"/>
  <c r="FL18" i="52"/>
  <c r="AM48" i="50"/>
  <c r="AM56" i="50" s="1"/>
  <c r="S10" i="53" s="1"/>
  <c r="Z14" i="54" s="1"/>
  <c r="Z8" i="54" s="1"/>
  <c r="AU48" i="50"/>
  <c r="AU51" i="50" s="1"/>
  <c r="AK8" i="51"/>
  <c r="AS8" i="51"/>
  <c r="BA8" i="51"/>
  <c r="AJ11" i="51"/>
  <c r="AR11" i="51"/>
  <c r="AZ11" i="51"/>
  <c r="AP13" i="51"/>
  <c r="AP15" i="51" s="1"/>
  <c r="U30" i="52" s="1"/>
  <c r="BS30" i="52" s="1"/>
  <c r="CR30" i="52" s="1"/>
  <c r="DO30" i="52" s="1"/>
  <c r="AZ13" i="51"/>
  <c r="AZ15" i="51" s="1"/>
  <c r="AE30" i="52" s="1"/>
  <c r="CC30" i="52" s="1"/>
  <c r="DB30" i="52" s="1"/>
  <c r="DY30" i="52" s="1"/>
  <c r="AM19" i="51"/>
  <c r="AY19" i="51"/>
  <c r="AL28" i="51"/>
  <c r="AL31" i="51" s="1"/>
  <c r="Q16" i="52" s="1"/>
  <c r="BO16" i="52" s="1"/>
  <c r="CN16" i="52" s="1"/>
  <c r="DK16" i="52" s="1"/>
  <c r="AZ28" i="51"/>
  <c r="AM29" i="51"/>
  <c r="AZ29" i="51"/>
  <c r="FG25" i="52"/>
  <c r="EJ25" i="52"/>
  <c r="EX25" i="52"/>
  <c r="FU25" i="52"/>
  <c r="AJ48" i="51"/>
  <c r="O27" i="52" s="1"/>
  <c r="BM27" i="52" s="1"/>
  <c r="CL27" i="52" s="1"/>
  <c r="DI27" i="52" s="1"/>
  <c r="AR48" i="51"/>
  <c r="W27" i="52" s="1"/>
  <c r="BU27" i="52" s="1"/>
  <c r="CT27" i="52" s="1"/>
  <c r="DQ27" i="52" s="1"/>
  <c r="AN54" i="51"/>
  <c r="EG6" i="52"/>
  <c r="FD6" i="52"/>
  <c r="EO6" i="52"/>
  <c r="EZ7" i="52"/>
  <c r="FP7" i="52"/>
  <c r="ES7" i="52"/>
  <c r="EY7" i="52"/>
  <c r="EP8" i="52"/>
  <c r="FM8" i="52"/>
  <c r="EX8" i="52"/>
  <c r="FU8" i="52"/>
  <c r="FO8" i="52"/>
  <c r="ER8" i="52"/>
  <c r="EF9" i="52"/>
  <c r="FT9" i="52"/>
  <c r="EW9" i="52"/>
  <c r="FB10" i="52"/>
  <c r="EE10" i="52"/>
  <c r="FR10" i="52"/>
  <c r="EU10" i="52"/>
  <c r="FN10" i="52"/>
  <c r="EQ10" i="52"/>
  <c r="FU11" i="52"/>
  <c r="EX11" i="52"/>
  <c r="FM11" i="52"/>
  <c r="ER13" i="52"/>
  <c r="EY14" i="52"/>
  <c r="FV14" i="52"/>
  <c r="AF48" i="50"/>
  <c r="AF56" i="50" s="1"/>
  <c r="AN48" i="50"/>
  <c r="AN51" i="50" s="1"/>
  <c r="AV48" i="50"/>
  <c r="AV51" i="50" s="1"/>
  <c r="AJ54" i="50"/>
  <c r="AM7" i="51"/>
  <c r="AU7" i="51"/>
  <c r="BC7" i="51"/>
  <c r="BC9" i="51" s="1"/>
  <c r="AH28" i="52" s="1"/>
  <c r="CF28" i="52" s="1"/>
  <c r="DE28" i="52" s="1"/>
  <c r="EB28" i="52" s="1"/>
  <c r="AL8" i="51"/>
  <c r="AL9" i="51" s="1"/>
  <c r="Q28" i="52" s="1"/>
  <c r="BO28" i="52" s="1"/>
  <c r="CN28" i="52" s="1"/>
  <c r="DK28" i="52" s="1"/>
  <c r="AT8" i="51"/>
  <c r="AT9" i="51" s="1"/>
  <c r="Y28" i="52" s="1"/>
  <c r="BW28" i="52" s="1"/>
  <c r="CV28" i="52" s="1"/>
  <c r="DS28" i="52" s="1"/>
  <c r="BB8" i="51"/>
  <c r="BB9" i="51" s="1"/>
  <c r="AG28" i="52" s="1"/>
  <c r="CE28" i="52" s="1"/>
  <c r="DD28" i="52" s="1"/>
  <c r="EA28" i="52" s="1"/>
  <c r="AL10" i="51"/>
  <c r="AT10" i="51"/>
  <c r="BB10" i="51"/>
  <c r="AK11" i="51"/>
  <c r="AK12" i="51" s="1"/>
  <c r="P29" i="52" s="1"/>
  <c r="BN29" i="52" s="1"/>
  <c r="CM29" i="52" s="1"/>
  <c r="DJ29" i="52" s="1"/>
  <c r="AS11" i="51"/>
  <c r="AS12" i="51" s="1"/>
  <c r="X29" i="52" s="1"/>
  <c r="BV29" i="52" s="1"/>
  <c r="CU29" i="52" s="1"/>
  <c r="DR29" i="52" s="1"/>
  <c r="BA11" i="51"/>
  <c r="AG13" i="51"/>
  <c r="AG15" i="51" s="1"/>
  <c r="L30" i="52" s="1"/>
  <c r="BJ30" i="52" s="1"/>
  <c r="CI30" i="52" s="1"/>
  <c r="DF30" i="52" s="1"/>
  <c r="AQ13" i="51"/>
  <c r="AQ15" i="51" s="1"/>
  <c r="V30" i="52" s="1"/>
  <c r="BT30" i="52" s="1"/>
  <c r="CS30" i="52" s="1"/>
  <c r="DP30" i="52" s="1"/>
  <c r="BA13" i="51"/>
  <c r="AN14" i="51"/>
  <c r="AX14" i="51"/>
  <c r="AN19" i="51"/>
  <c r="BB19" i="51"/>
  <c r="BB21" i="51" s="1"/>
  <c r="AG32" i="52" s="1"/>
  <c r="CE32" i="52" s="1"/>
  <c r="DD32" i="52" s="1"/>
  <c r="EA32" i="52" s="1"/>
  <c r="AN28" i="51"/>
  <c r="BA28" i="51"/>
  <c r="AN29" i="51"/>
  <c r="BA29" i="51"/>
  <c r="AG39" i="51"/>
  <c r="L19" i="52" s="1"/>
  <c r="BJ19" i="52" s="1"/>
  <c r="CI19" i="52" s="1"/>
  <c r="DF19" i="52" s="1"/>
  <c r="AO39" i="51"/>
  <c r="T19" i="52" s="1"/>
  <c r="BR19" i="52" s="1"/>
  <c r="CQ19" i="52" s="1"/>
  <c r="DN19" i="52" s="1"/>
  <c r="FV25" i="52"/>
  <c r="EJ26" i="52"/>
  <c r="FG26" i="52"/>
  <c r="EX26" i="52"/>
  <c r="FU26" i="52"/>
  <c r="AK48" i="51"/>
  <c r="P27" i="52" s="1"/>
  <c r="BN27" i="52" s="1"/>
  <c r="CM27" i="52" s="1"/>
  <c r="DJ27" i="52" s="1"/>
  <c r="BC48" i="51"/>
  <c r="AH27" i="52" s="1"/>
  <c r="CF27" i="52" s="1"/>
  <c r="DE27" i="52" s="1"/>
  <c r="EB27" i="52" s="1"/>
  <c r="AV54" i="51"/>
  <c r="AU48" i="52"/>
  <c r="BR48" i="52" s="1"/>
  <c r="CQ48" i="52" s="1"/>
  <c r="AO57" i="51"/>
  <c r="EH6" i="52"/>
  <c r="FE6" i="52"/>
  <c r="EP6" i="52"/>
  <c r="FA7" i="52"/>
  <c r="EL7" i="52"/>
  <c r="FQ7" i="52"/>
  <c r="ET7" i="52"/>
  <c r="FD9" i="52"/>
  <c r="EG9" i="52"/>
  <c r="FL9" i="52"/>
  <c r="EO9" i="52"/>
  <c r="FU9" i="52"/>
  <c r="EX9" i="52"/>
  <c r="EU9" i="52"/>
  <c r="FO10" i="52"/>
  <c r="ER10" i="52"/>
  <c r="EC11" i="52"/>
  <c r="EZ11" i="52"/>
  <c r="ES11" i="52"/>
  <c r="EK11" i="52"/>
  <c r="FH11" i="52"/>
  <c r="FF12" i="52"/>
  <c r="EI12" i="52"/>
  <c r="EL13" i="52"/>
  <c r="FI13" i="52"/>
  <c r="EH14" i="52"/>
  <c r="EP14" i="52"/>
  <c r="FM14" i="52"/>
  <c r="EX14" i="52"/>
  <c r="FU14" i="52"/>
  <c r="EM14" i="52"/>
  <c r="FJ14" i="52"/>
  <c r="FH15" i="52"/>
  <c r="EK15" i="52"/>
  <c r="EL15" i="52"/>
  <c r="FI15" i="52"/>
  <c r="FQ17" i="52"/>
  <c r="ET17" i="52"/>
  <c r="EZ20" i="52"/>
  <c r="EC20" i="52"/>
  <c r="FF20" i="52"/>
  <c r="EI20" i="52"/>
  <c r="AG48" i="50"/>
  <c r="AG56" i="50" s="1"/>
  <c r="M10" i="53" s="1"/>
  <c r="T14" i="54" s="1"/>
  <c r="T8" i="54" s="1"/>
  <c r="AN7" i="51"/>
  <c r="AM8" i="51"/>
  <c r="AU8" i="51"/>
  <c r="AM10" i="51"/>
  <c r="AU10" i="51"/>
  <c r="AL11" i="51"/>
  <c r="AT11" i="51"/>
  <c r="AH13" i="51"/>
  <c r="AR13" i="51"/>
  <c r="BB14" i="51"/>
  <c r="AT14" i="51"/>
  <c r="AL14" i="51"/>
  <c r="BA14" i="51"/>
  <c r="AS14" i="51"/>
  <c r="AS15" i="51" s="1"/>
  <c r="X30" i="52" s="1"/>
  <c r="BV30" i="52" s="1"/>
  <c r="CU30" i="52" s="1"/>
  <c r="DR30" i="52" s="1"/>
  <c r="AK14" i="51"/>
  <c r="AK15" i="51" s="1"/>
  <c r="P30" i="52" s="1"/>
  <c r="BN30" i="52" s="1"/>
  <c r="CM30" i="52" s="1"/>
  <c r="DJ30" i="52" s="1"/>
  <c r="AO14" i="51"/>
  <c r="AY14" i="51"/>
  <c r="AP19" i="51"/>
  <c r="AO20" i="51"/>
  <c r="AZ27" i="51"/>
  <c r="AR27" i="51"/>
  <c r="AJ27" i="51"/>
  <c r="AY27" i="51"/>
  <c r="AQ27" i="51"/>
  <c r="AI27" i="51"/>
  <c r="AV27" i="51"/>
  <c r="AN27" i="51"/>
  <c r="AP27" i="51"/>
  <c r="BC27" i="51"/>
  <c r="AO28" i="51"/>
  <c r="BB28" i="51"/>
  <c r="AQ29" i="51"/>
  <c r="AP30" i="51"/>
  <c r="AH39" i="51"/>
  <c r="M19" i="52" s="1"/>
  <c r="BK19" i="52" s="1"/>
  <c r="CJ19" i="52" s="1"/>
  <c r="DG19" i="52" s="1"/>
  <c r="AP39" i="51"/>
  <c r="U19" i="52" s="1"/>
  <c r="BS19" i="52" s="1"/>
  <c r="CR19" i="52" s="1"/>
  <c r="DO19" i="52" s="1"/>
  <c r="ED25" i="52"/>
  <c r="FA25" i="52"/>
  <c r="EL25" i="52"/>
  <c r="FI25" i="52"/>
  <c r="EC26" i="52"/>
  <c r="EZ26" i="52"/>
  <c r="AL48" i="51"/>
  <c r="Q27" i="52" s="1"/>
  <c r="BO27" i="52" s="1"/>
  <c r="CN27" i="52" s="1"/>
  <c r="DK27" i="52" s="1"/>
  <c r="EI6" i="52"/>
  <c r="FF6" i="52"/>
  <c r="EQ6" i="52"/>
  <c r="FN6" i="52"/>
  <c r="EE6" i="52"/>
  <c r="FR7" i="52"/>
  <c r="EU7" i="52"/>
  <c r="FS7" i="52"/>
  <c r="FV8" i="52"/>
  <c r="EY8" i="52"/>
  <c r="EQ8" i="52"/>
  <c r="FM9" i="52"/>
  <c r="EP9" i="52"/>
  <c r="FE9" i="52"/>
  <c r="ED11" i="52"/>
  <c r="FA11" i="52"/>
  <c r="EL11" i="52"/>
  <c r="FI11" i="52"/>
  <c r="ES12" i="52"/>
  <c r="FP12" i="52"/>
  <c r="FE13" i="52"/>
  <c r="EH13" i="52"/>
  <c r="FT13" i="52"/>
  <c r="EI14" i="52"/>
  <c r="FF14" i="52"/>
  <c r="EQ14" i="52"/>
  <c r="FN14" i="52"/>
  <c r="ET15" i="52"/>
  <c r="EC17" i="52"/>
  <c r="EZ17" i="52"/>
  <c r="EK17" i="52"/>
  <c r="FH17" i="52"/>
  <c r="EK20" i="52"/>
  <c r="FH20" i="52"/>
  <c r="EW24" i="52"/>
  <c r="FT24" i="52"/>
  <c r="AN8" i="51"/>
  <c r="AN10" i="51"/>
  <c r="BB11" i="51"/>
  <c r="AM11" i="51"/>
  <c r="AU11" i="51"/>
  <c r="AI13" i="51"/>
  <c r="AI15" i="51" s="1"/>
  <c r="N30" i="52" s="1"/>
  <c r="BL30" i="52" s="1"/>
  <c r="CK30" i="52" s="1"/>
  <c r="DH30" i="52" s="1"/>
  <c r="AP14" i="51"/>
  <c r="BA19" i="51"/>
  <c r="BA21" i="51" s="1"/>
  <c r="AF32" i="52" s="1"/>
  <c r="CD32" i="52" s="1"/>
  <c r="DC32" i="52" s="1"/>
  <c r="DZ32" i="52" s="1"/>
  <c r="AS19" i="51"/>
  <c r="AS21" i="51" s="1"/>
  <c r="X32" i="52" s="1"/>
  <c r="BV32" i="52" s="1"/>
  <c r="CU32" i="52" s="1"/>
  <c r="DR32" i="52" s="1"/>
  <c r="AK19" i="51"/>
  <c r="AK21" i="51" s="1"/>
  <c r="P32" i="52" s="1"/>
  <c r="BN32" i="52" s="1"/>
  <c r="CM32" i="52" s="1"/>
  <c r="DJ32" i="52" s="1"/>
  <c r="AZ19" i="51"/>
  <c r="AR19" i="51"/>
  <c r="AR21" i="51" s="1"/>
  <c r="W32" i="52" s="1"/>
  <c r="BU32" i="52" s="1"/>
  <c r="CT32" i="52" s="1"/>
  <c r="DQ32" i="52" s="1"/>
  <c r="AJ19" i="51"/>
  <c r="AW19" i="51"/>
  <c r="AW21" i="51" s="1"/>
  <c r="AB32" i="52" s="1"/>
  <c r="BZ32" i="52" s="1"/>
  <c r="CY32" i="52" s="1"/>
  <c r="DV32" i="52" s="1"/>
  <c r="AO19" i="51"/>
  <c r="AG19" i="51"/>
  <c r="AQ19" i="51"/>
  <c r="AQ21" i="51" s="1"/>
  <c r="V32" i="52" s="1"/>
  <c r="BT32" i="52" s="1"/>
  <c r="CS32" i="52" s="1"/>
  <c r="DP32" i="52" s="1"/>
  <c r="AZ20" i="51"/>
  <c r="AR20" i="51"/>
  <c r="AJ20" i="51"/>
  <c r="AY20" i="51"/>
  <c r="AQ20" i="51"/>
  <c r="AI20" i="51"/>
  <c r="AV20" i="51"/>
  <c r="AN20" i="51"/>
  <c r="AP20" i="51"/>
  <c r="BC20" i="51"/>
  <c r="AY28" i="51"/>
  <c r="AR28" i="51"/>
  <c r="AX29" i="51"/>
  <c r="AP29" i="51"/>
  <c r="AH29" i="51"/>
  <c r="AW29" i="51"/>
  <c r="AO29" i="51"/>
  <c r="AG29" i="51"/>
  <c r="BB29" i="51"/>
  <c r="AT29" i="51"/>
  <c r="AL29" i="51"/>
  <c r="AR29" i="51"/>
  <c r="AW30" i="51"/>
  <c r="AO30" i="51"/>
  <c r="AG30" i="51"/>
  <c r="AV30" i="51"/>
  <c r="AN30" i="51"/>
  <c r="BA30" i="51"/>
  <c r="AS30" i="51"/>
  <c r="AK30" i="51"/>
  <c r="AQ30" i="51"/>
  <c r="BC30" i="51"/>
  <c r="AI39" i="51"/>
  <c r="N19" i="52" s="1"/>
  <c r="BL19" i="52" s="1"/>
  <c r="CK19" i="52" s="1"/>
  <c r="DH19" i="52" s="1"/>
  <c r="AQ39" i="51"/>
  <c r="V19" i="52" s="1"/>
  <c r="BT19" i="52" s="1"/>
  <c r="CS19" i="52" s="1"/>
  <c r="DP19" i="52" s="1"/>
  <c r="EM25" i="52"/>
  <c r="FA26" i="52"/>
  <c r="ED26" i="52"/>
  <c r="FI26" i="52"/>
  <c r="EL26" i="52"/>
  <c r="AM48" i="51"/>
  <c r="R27" i="52" s="1"/>
  <c r="BP27" i="52" s="1"/>
  <c r="CO27" i="52" s="1"/>
  <c r="DL27" i="52" s="1"/>
  <c r="EJ6" i="52"/>
  <c r="FG6" i="52"/>
  <c r="ER6" i="52"/>
  <c r="FO6" i="52"/>
  <c r="EZ8" i="52"/>
  <c r="EC8" i="52"/>
  <c r="FH8" i="52"/>
  <c r="EK8" i="52"/>
  <c r="FF8" i="52"/>
  <c r="EI8" i="52"/>
  <c r="FA8" i="52"/>
  <c r="FB11" i="52"/>
  <c r="EE11" i="52"/>
  <c r="FJ11" i="52"/>
  <c r="EM11" i="52"/>
  <c r="ET12" i="52"/>
  <c r="FQ12" i="52"/>
  <c r="FG12" i="52"/>
  <c r="EJ12" i="52"/>
  <c r="FK13" i="52"/>
  <c r="EN13" i="52"/>
  <c r="FG14" i="52"/>
  <c r="EJ14" i="52"/>
  <c r="ER14" i="52"/>
  <c r="EU15" i="52"/>
  <c r="FR15" i="52"/>
  <c r="FI17" i="52"/>
  <c r="EL17" i="52"/>
  <c r="AN11" i="51"/>
  <c r="EN19" i="52"/>
  <c r="FK19" i="52"/>
  <c r="EF25" i="52"/>
  <c r="FC25" i="52"/>
  <c r="EN25" i="52"/>
  <c r="FK25" i="52"/>
  <c r="EK25" i="52"/>
  <c r="FH25" i="52"/>
  <c r="FB26" i="52"/>
  <c r="EE26" i="52"/>
  <c r="EM26" i="52"/>
  <c r="FJ26" i="52"/>
  <c r="EY26" i="52"/>
  <c r="FV26" i="52"/>
  <c r="AY48" i="51"/>
  <c r="AD27" i="52" s="1"/>
  <c r="CB27" i="52" s="1"/>
  <c r="DA27" i="52" s="1"/>
  <c r="DX27" i="52" s="1"/>
  <c r="AW48" i="51"/>
  <c r="AB27" i="52" s="1"/>
  <c r="BZ27" i="52" s="1"/>
  <c r="CY27" i="52" s="1"/>
  <c r="DV27" i="52" s="1"/>
  <c r="BC48" i="52"/>
  <c r="BZ48" i="52" s="1"/>
  <c r="CY48" i="52" s="1"/>
  <c r="AW57" i="51"/>
  <c r="FI8" i="52"/>
  <c r="EL8" i="52"/>
  <c r="FG8" i="52"/>
  <c r="EJ8" i="52"/>
  <c r="FF10" i="52"/>
  <c r="EI10" i="52"/>
  <c r="FK11" i="52"/>
  <c r="EN11" i="52"/>
  <c r="EO12" i="52"/>
  <c r="FL12" i="52"/>
  <c r="EO13" i="52"/>
  <c r="FL13" i="52"/>
  <c r="EP13" i="52"/>
  <c r="FM13" i="52"/>
  <c r="EZ14" i="52"/>
  <c r="EK14" i="52"/>
  <c r="FH14" i="52"/>
  <c r="FC15" i="52"/>
  <c r="EE17" i="52"/>
  <c r="FB17" i="52"/>
  <c r="FO22" i="52"/>
  <c r="ER22" i="52"/>
  <c r="AV45" i="51"/>
  <c r="AA26" i="52" s="1"/>
  <c r="BY26" i="52" s="1"/>
  <c r="CX26" i="52" s="1"/>
  <c r="DU26" i="52" s="1"/>
  <c r="EN10" i="52"/>
  <c r="ER11" i="52"/>
  <c r="FK17" i="52"/>
  <c r="EV18" i="52"/>
  <c r="FS18" i="52"/>
  <c r="FM18" i="52"/>
  <c r="EP18" i="52"/>
  <c r="FO18" i="52"/>
  <c r="ER18" i="52"/>
  <c r="FV20" i="52"/>
  <c r="EY20" i="52"/>
  <c r="FD21" i="52"/>
  <c r="EG21" i="52"/>
  <c r="FL21" i="52"/>
  <c r="EO21" i="52"/>
  <c r="AM28" i="51"/>
  <c r="AM31" i="51" s="1"/>
  <c r="R16" i="52" s="1"/>
  <c r="BP16" i="52" s="1"/>
  <c r="CO16" i="52" s="1"/>
  <c r="DL16" i="52" s="1"/>
  <c r="AU28" i="51"/>
  <c r="AU31" i="51" s="1"/>
  <c r="Z16" i="52" s="1"/>
  <c r="BX16" i="52" s="1"/>
  <c r="CW16" i="52" s="1"/>
  <c r="DT16" i="52" s="1"/>
  <c r="BC28" i="51"/>
  <c r="AV42" i="51"/>
  <c r="AA25" i="52" s="1"/>
  <c r="BY25" i="52" s="1"/>
  <c r="CX25" i="52" s="1"/>
  <c r="DU25" i="52" s="1"/>
  <c r="AW45" i="51"/>
  <c r="AB26" i="52" s="1"/>
  <c r="BZ26" i="52" s="1"/>
  <c r="CY26" i="52" s="1"/>
  <c r="DV26" i="52" s="1"/>
  <c r="AX48" i="51"/>
  <c r="AC27" i="52" s="1"/>
  <c r="CA27" i="52" s="1"/>
  <c r="CZ27" i="52" s="1"/>
  <c r="DW27" i="52" s="1"/>
  <c r="AI56" i="51"/>
  <c r="AQ56" i="51"/>
  <c r="AY56" i="51"/>
  <c r="AJ57" i="51"/>
  <c r="AR57" i="51"/>
  <c r="AZ57" i="51"/>
  <c r="CY10" i="52"/>
  <c r="DV10" i="52" s="1"/>
  <c r="CK12" i="52"/>
  <c r="DH12" i="52" s="1"/>
  <c r="CS12" i="52"/>
  <c r="DP12" i="52" s="1"/>
  <c r="DA12" i="52"/>
  <c r="DX12" i="52" s="1"/>
  <c r="CW12" i="52"/>
  <c r="DT12" i="52" s="1"/>
  <c r="FP15" i="52"/>
  <c r="ES15" i="52"/>
  <c r="EM15" i="52"/>
  <c r="FG15" i="52"/>
  <c r="CM17" i="52"/>
  <c r="DJ17" i="52" s="1"/>
  <c r="CU17" i="52"/>
  <c r="DR17" i="52" s="1"/>
  <c r="DC17" i="52"/>
  <c r="DZ17" i="52" s="1"/>
  <c r="CS17" i="52"/>
  <c r="DP17" i="52" s="1"/>
  <c r="CM18" i="52"/>
  <c r="DJ18" i="52" s="1"/>
  <c r="DC18" i="52"/>
  <c r="DZ18" i="52" s="1"/>
  <c r="EO20" i="52"/>
  <c r="FL20" i="52"/>
  <c r="ET21" i="52"/>
  <c r="FQ21" i="52"/>
  <c r="ED22" i="52"/>
  <c r="FA22" i="52"/>
  <c r="EL22" i="52"/>
  <c r="FI22" i="52"/>
  <c r="ET22" i="52"/>
  <c r="FQ22" i="52"/>
  <c r="FF22" i="52"/>
  <c r="EI22" i="52"/>
  <c r="AX45" i="51"/>
  <c r="AC26" i="52" s="1"/>
  <c r="CA26" i="52" s="1"/>
  <c r="CZ26" i="52" s="1"/>
  <c r="DW26" i="52" s="1"/>
  <c r="DI48" i="52"/>
  <c r="FC48" i="52"/>
  <c r="DQ48" i="52"/>
  <c r="FK48" i="52"/>
  <c r="DY48" i="52"/>
  <c r="FS48" i="52"/>
  <c r="CZ10" i="52"/>
  <c r="DW10" i="52" s="1"/>
  <c r="EF10" i="52"/>
  <c r="EJ11" i="52"/>
  <c r="ET13" i="52"/>
  <c r="FQ13" i="52"/>
  <c r="CV17" i="52"/>
  <c r="DS17" i="52" s="1"/>
  <c r="CY17" i="52"/>
  <c r="DV17" i="52" s="1"/>
  <c r="CN18" i="52"/>
  <c r="DK18" i="52" s="1"/>
  <c r="DD18" i="52"/>
  <c r="EA18" i="52" s="1"/>
  <c r="EN20" i="52"/>
  <c r="FK20" i="52"/>
  <c r="EW20" i="52"/>
  <c r="FT20" i="52"/>
  <c r="EP22" i="52"/>
  <c r="FM22" i="52"/>
  <c r="EK23" i="52"/>
  <c r="FH23" i="52"/>
  <c r="FG24" i="52"/>
  <c r="EJ24" i="52"/>
  <c r="FI24" i="52"/>
  <c r="EL24" i="52"/>
  <c r="AX42" i="51"/>
  <c r="AC25" i="52" s="1"/>
  <c r="CA25" i="52" s="1"/>
  <c r="CZ25" i="52" s="1"/>
  <c r="DW25" i="52" s="1"/>
  <c r="AY45" i="51"/>
  <c r="AD26" i="52" s="1"/>
  <c r="CB26" i="52" s="1"/>
  <c r="DA26" i="52" s="1"/>
  <c r="DX26" i="52" s="1"/>
  <c r="AZ48" i="51"/>
  <c r="AE27" i="52" s="1"/>
  <c r="CC27" i="52" s="1"/>
  <c r="DB27" i="52" s="1"/>
  <c r="DY27" i="52" s="1"/>
  <c r="AK56" i="51"/>
  <c r="AS56" i="51"/>
  <c r="BA56" i="51"/>
  <c r="CQ10" i="52"/>
  <c r="DN10" i="52" s="1"/>
  <c r="DC10" i="52"/>
  <c r="DZ10" i="52" s="1"/>
  <c r="EZ15" i="52"/>
  <c r="EC15" i="52"/>
  <c r="CO17" i="52"/>
  <c r="DL17" i="52" s="1"/>
  <c r="CW17" i="52"/>
  <c r="DT17" i="52" s="1"/>
  <c r="DE17" i="52"/>
  <c r="EB17" i="52" s="1"/>
  <c r="DA17" i="52"/>
  <c r="DX17" i="52" s="1"/>
  <c r="CO18" i="52"/>
  <c r="DL18" i="52" s="1"/>
  <c r="DE18" i="52"/>
  <c r="EB18" i="52" s="1"/>
  <c r="EG20" i="52"/>
  <c r="FD20" i="52"/>
  <c r="FN22" i="52"/>
  <c r="EQ22" i="52"/>
  <c r="FA23" i="52"/>
  <c r="ED23" i="52"/>
  <c r="FQ23" i="52"/>
  <c r="ET23" i="52"/>
  <c r="FI23" i="52"/>
  <c r="EL23" i="52"/>
  <c r="AL13" i="51"/>
  <c r="AT13" i="51"/>
  <c r="AT15" i="51" s="1"/>
  <c r="Y30" i="52" s="1"/>
  <c r="BW30" i="52" s="1"/>
  <c r="CV30" i="52" s="1"/>
  <c r="DS30" i="52" s="1"/>
  <c r="BB13" i="51"/>
  <c r="AH28" i="51"/>
  <c r="AP28" i="51"/>
  <c r="AX28" i="51"/>
  <c r="AY42" i="51"/>
  <c r="AD25" i="52" s="1"/>
  <c r="CB25" i="52" s="1"/>
  <c r="DA25" i="52" s="1"/>
  <c r="DX25" i="52" s="1"/>
  <c r="AZ45" i="51"/>
  <c r="AE26" i="52" s="1"/>
  <c r="CC26" i="52" s="1"/>
  <c r="DB26" i="52" s="1"/>
  <c r="DY26" i="52" s="1"/>
  <c r="AS48" i="51"/>
  <c r="X27" i="52" s="1"/>
  <c r="BV27" i="52" s="1"/>
  <c r="CU27" i="52" s="1"/>
  <c r="DR27" i="52" s="1"/>
  <c r="BA48" i="51"/>
  <c r="AF27" i="52" s="1"/>
  <c r="CD27" i="52" s="1"/>
  <c r="DC27" i="52" s="1"/>
  <c r="DZ27" i="52" s="1"/>
  <c r="AL56" i="51"/>
  <c r="AT56" i="51"/>
  <c r="BB56" i="51"/>
  <c r="CR10" i="52"/>
  <c r="DO10" i="52" s="1"/>
  <c r="EZ13" i="52"/>
  <c r="FN13" i="52"/>
  <c r="FF15" i="52"/>
  <c r="EI15" i="52"/>
  <c r="EJ17" i="52"/>
  <c r="FG17" i="52"/>
  <c r="ER17" i="52"/>
  <c r="FO17" i="52"/>
  <c r="DB17" i="52"/>
  <c r="DY17" i="52" s="1"/>
  <c r="EN18" i="52"/>
  <c r="FK18" i="52"/>
  <c r="EH20" i="52"/>
  <c r="FE20" i="52"/>
  <c r="EX20" i="52"/>
  <c r="FU20" i="52"/>
  <c r="EC21" i="52"/>
  <c r="EZ21" i="52"/>
  <c r="EG22" i="52"/>
  <c r="FD22" i="52"/>
  <c r="EO22" i="52"/>
  <c r="FL22" i="52"/>
  <c r="EW22" i="52"/>
  <c r="EE23" i="52"/>
  <c r="FB23" i="52"/>
  <c r="FJ23" i="52"/>
  <c r="EU23" i="52"/>
  <c r="FR23" i="52"/>
  <c r="ED24" i="52"/>
  <c r="FA24" i="52"/>
  <c r="AM13" i="51"/>
  <c r="AM15" i="51" s="1"/>
  <c r="R30" i="52" s="1"/>
  <c r="BP30" i="52" s="1"/>
  <c r="CO30" i="52" s="1"/>
  <c r="DL30" i="52" s="1"/>
  <c r="AU13" i="51"/>
  <c r="AI28" i="51"/>
  <c r="AQ28" i="51"/>
  <c r="AZ42" i="51"/>
  <c r="AE25" i="52" s="1"/>
  <c r="CC25" i="52" s="1"/>
  <c r="DB25" i="52" s="1"/>
  <c r="DY25" i="52" s="1"/>
  <c r="AS45" i="51"/>
  <c r="X26" i="52" s="1"/>
  <c r="BV26" i="52" s="1"/>
  <c r="CU26" i="52" s="1"/>
  <c r="DR26" i="52" s="1"/>
  <c r="AT48" i="51"/>
  <c r="Y27" i="52" s="1"/>
  <c r="BW27" i="52" s="1"/>
  <c r="CV27" i="52" s="1"/>
  <c r="DS27" i="52" s="1"/>
  <c r="BB48" i="51"/>
  <c r="AG27" i="52" s="1"/>
  <c r="CE27" i="52" s="1"/>
  <c r="DD27" i="52" s="1"/>
  <c r="EA27" i="52" s="1"/>
  <c r="AM56" i="51"/>
  <c r="AU56" i="51"/>
  <c r="BC56" i="51"/>
  <c r="CK8" i="52"/>
  <c r="DH8" i="52" s="1"/>
  <c r="CS8" i="52"/>
  <c r="DP8" i="52" s="1"/>
  <c r="DA8" i="52"/>
  <c r="DX8" i="52" s="1"/>
  <c r="EQ9" i="52"/>
  <c r="EO11" i="52"/>
  <c r="CL14" i="52"/>
  <c r="DI14" i="52" s="1"/>
  <c r="CT14" i="52"/>
  <c r="DQ14" i="52" s="1"/>
  <c r="DB14" i="52"/>
  <c r="DY14" i="52" s="1"/>
  <c r="DD17" i="52"/>
  <c r="EA17" i="52" s="1"/>
  <c r="CI18" i="52"/>
  <c r="DF18" i="52" s="1"/>
  <c r="CQ18" i="52"/>
  <c r="DN18" i="52" s="1"/>
  <c r="CY18" i="52"/>
  <c r="DV18" i="52" s="1"/>
  <c r="CL18" i="52"/>
  <c r="DI18" i="52" s="1"/>
  <c r="ES20" i="52"/>
  <c r="ED21" i="52"/>
  <c r="FA21" i="52"/>
  <c r="EX22" i="52"/>
  <c r="FU22" i="52"/>
  <c r="EF23" i="52"/>
  <c r="FC23" i="52"/>
  <c r="AS42" i="51"/>
  <c r="X25" i="52" s="1"/>
  <c r="BV25" i="52" s="1"/>
  <c r="CU25" i="52" s="1"/>
  <c r="DR25" i="52" s="1"/>
  <c r="AT45" i="51"/>
  <c r="Y26" i="52" s="1"/>
  <c r="BW26" i="52" s="1"/>
  <c r="CV26" i="52" s="1"/>
  <c r="DS26" i="52" s="1"/>
  <c r="AU48" i="51"/>
  <c r="Z27" i="52" s="1"/>
  <c r="BX27" i="52" s="1"/>
  <c r="CW27" i="52" s="1"/>
  <c r="DT27" i="52" s="1"/>
  <c r="AN56" i="51"/>
  <c r="CL8" i="52"/>
  <c r="DI8" i="52" s="1"/>
  <c r="CT8" i="52"/>
  <c r="DQ8" i="52" s="1"/>
  <c r="DB8" i="52"/>
  <c r="DY8" i="52" s="1"/>
  <c r="EF13" i="52"/>
  <c r="EY15" i="52"/>
  <c r="CJ17" i="52"/>
  <c r="DG17" i="52" s="1"/>
  <c r="CN17" i="52"/>
  <c r="DK17" i="52" s="1"/>
  <c r="FB21" i="52"/>
  <c r="EE21" i="52"/>
  <c r="EL21" i="52"/>
  <c r="FI21" i="52"/>
  <c r="EM21" i="52"/>
  <c r="FV22" i="52"/>
  <c r="EY22" i="52"/>
  <c r="EE22" i="52"/>
  <c r="FB22" i="52"/>
  <c r="EM22" i="52"/>
  <c r="FJ22" i="52"/>
  <c r="EU22" i="52"/>
  <c r="FR22" i="52"/>
  <c r="EH24" i="52"/>
  <c r="EK21" i="52"/>
  <c r="FH21" i="52"/>
  <c r="EF22" i="52"/>
  <c r="FC22" i="52"/>
  <c r="EN22" i="52"/>
  <c r="FK22" i="52"/>
  <c r="EV22" i="52"/>
  <c r="FS22" i="52"/>
  <c r="EJ22" i="52"/>
  <c r="EQ21" i="52"/>
  <c r="FN21" i="52"/>
  <c r="EY21" i="52"/>
  <c r="FV21" i="52"/>
  <c r="EU21" i="52"/>
  <c r="FM21" i="52"/>
  <c r="FS36" i="52"/>
  <c r="DY36" i="52"/>
  <c r="EJ21" i="52"/>
  <c r="FG21" i="52"/>
  <c r="ER21" i="52"/>
  <c r="FO21" i="52"/>
  <c r="FS24" i="52"/>
  <c r="EV24" i="52"/>
  <c r="EC34" i="52"/>
  <c r="EZ34" i="52"/>
  <c r="FM36" i="52"/>
  <c r="DS36" i="52"/>
  <c r="CJ18" i="52"/>
  <c r="DG18" i="52" s="1"/>
  <c r="CR18" i="52"/>
  <c r="DO18" i="52" s="1"/>
  <c r="CZ18" i="52"/>
  <c r="DW18" i="52" s="1"/>
  <c r="EW21" i="52"/>
  <c r="ER24" i="52"/>
  <c r="FV24" i="52"/>
  <c r="CK18" i="52"/>
  <c r="DH18" i="52" s="1"/>
  <c r="CS18" i="52"/>
  <c r="DP18" i="52" s="1"/>
  <c r="DA18" i="52"/>
  <c r="DX18" i="52" s="1"/>
  <c r="CJ20" i="52"/>
  <c r="DG20" i="52" s="1"/>
  <c r="CR20" i="52"/>
  <c r="DO20" i="52" s="1"/>
  <c r="CZ20" i="52"/>
  <c r="DW20" i="52" s="1"/>
  <c r="FU21" i="52"/>
  <c r="ES22" i="52"/>
  <c r="EQ23" i="52"/>
  <c r="FU24" i="52"/>
  <c r="CK20" i="52"/>
  <c r="DH20" i="52" s="1"/>
  <c r="CS20" i="52"/>
  <c r="DP20" i="52" s="1"/>
  <c r="DA20" i="52"/>
  <c r="DX20" i="52" s="1"/>
  <c r="ES21" i="52"/>
  <c r="FP21" i="52"/>
  <c r="FG23" i="52"/>
  <c r="EJ23" i="52"/>
  <c r="ER23" i="52"/>
  <c r="CY24" i="52"/>
  <c r="DV24" i="52" s="1"/>
  <c r="EY33" i="52"/>
  <c r="FV33" i="52"/>
  <c r="CQ24" i="52"/>
  <c r="DN24" i="52" s="1"/>
  <c r="CZ24" i="52"/>
  <c r="DW24" i="52" s="1"/>
  <c r="EJ34" i="52"/>
  <c r="FG34" i="52"/>
  <c r="FL34" i="52"/>
  <c r="EO34" i="52"/>
  <c r="FS39" i="52"/>
  <c r="DY39" i="52"/>
  <c r="EV39" i="52" s="1"/>
  <c r="DS40" i="52"/>
  <c r="FM40" i="52"/>
  <c r="EA40" i="52"/>
  <c r="FU40" i="52"/>
  <c r="ED28" i="52"/>
  <c r="FA28" i="52"/>
  <c r="EK34" i="52"/>
  <c r="FH34" i="52"/>
  <c r="ES34" i="52"/>
  <c r="FP34" i="52"/>
  <c r="FM34" i="52"/>
  <c r="EP34" i="52"/>
  <c r="CK24" i="52"/>
  <c r="DH24" i="52" s="1"/>
  <c r="CS24" i="52"/>
  <c r="DP24" i="52" s="1"/>
  <c r="DA24" i="52"/>
  <c r="DX24" i="52" s="1"/>
  <c r="EE28" i="52"/>
  <c r="FB28" i="52"/>
  <c r="FO34" i="52"/>
  <c r="FG33" i="52"/>
  <c r="EJ33" i="52"/>
  <c r="FS33" i="52"/>
  <c r="EV33" i="52"/>
  <c r="EH33" i="52"/>
  <c r="FE33" i="52"/>
  <c r="FB34" i="52"/>
  <c r="EF36" i="52"/>
  <c r="FU37" i="52"/>
  <c r="EA37" i="52"/>
  <c r="EX37" i="52" s="1"/>
  <c r="FF40" i="52"/>
  <c r="DL40" i="52"/>
  <c r="FN40" i="52"/>
  <c r="DT40" i="52"/>
  <c r="FV40" i="52"/>
  <c r="EB40" i="52"/>
  <c r="DM43" i="52"/>
  <c r="EJ43" i="52" s="1"/>
  <c r="FG43" i="52"/>
  <c r="DU43" i="52"/>
  <c r="ER43" i="52" s="1"/>
  <c r="FO43" i="52"/>
  <c r="DB43" i="52"/>
  <c r="CL43" i="52"/>
  <c r="DA43" i="52"/>
  <c r="CT43" i="52"/>
  <c r="CK43" i="52"/>
  <c r="EI33" i="52"/>
  <c r="FF33" i="52"/>
  <c r="EQ33" i="52"/>
  <c r="FN33" i="52"/>
  <c r="EM34" i="52"/>
  <c r="FC34" i="52"/>
  <c r="DU36" i="52"/>
  <c r="EZ37" i="52"/>
  <c r="DF37" i="52"/>
  <c r="EC37" i="52" s="1"/>
  <c r="DG37" i="52"/>
  <c r="ED37" i="52" s="1"/>
  <c r="FA37" i="52"/>
  <c r="FM33" i="52"/>
  <c r="FH40" i="52"/>
  <c r="DN40" i="52"/>
  <c r="DL44" i="52"/>
  <c r="EI44" i="52" s="1"/>
  <c r="FF44" i="52"/>
  <c r="FB33" i="52"/>
  <c r="EE33" i="52"/>
  <c r="FP33" i="52"/>
  <c r="FT34" i="52"/>
  <c r="EW34" i="52"/>
  <c r="DG36" i="52"/>
  <c r="FA36" i="52"/>
  <c r="FI36" i="52"/>
  <c r="DO36" i="52"/>
  <c r="FB37" i="52"/>
  <c r="DH37" i="52"/>
  <c r="EE37" i="52" s="1"/>
  <c r="FJ37" i="52"/>
  <c r="DP37" i="52"/>
  <c r="EM37" i="52" s="1"/>
  <c r="DX37" i="52"/>
  <c r="EU37" i="52" s="1"/>
  <c r="FR37" i="52"/>
  <c r="DN37" i="52"/>
  <c r="EK37" i="52" s="1"/>
  <c r="FQ38" i="52"/>
  <c r="DW38" i="52"/>
  <c r="ET38" i="52" s="1"/>
  <c r="FG42" i="52"/>
  <c r="FG47" i="52" s="1"/>
  <c r="DM42" i="52"/>
  <c r="EK33" i="52"/>
  <c r="FA33" i="52"/>
  <c r="FJ36" i="52"/>
  <c r="DP36" i="52"/>
  <c r="FF38" i="52"/>
  <c r="DL38" i="52"/>
  <c r="EI38" i="52" s="1"/>
  <c r="EB38" i="52"/>
  <c r="EY38" i="52" s="1"/>
  <c r="FV38" i="52"/>
  <c r="DF40" i="52"/>
  <c r="FR33" i="52"/>
  <c r="EU33" i="52"/>
  <c r="EM33" i="52"/>
  <c r="FU33" i="52"/>
  <c r="EN34" i="52"/>
  <c r="FK34" i="52"/>
  <c r="FK36" i="52"/>
  <c r="EY36" i="52"/>
  <c r="FP37" i="52"/>
  <c r="DU39" i="52"/>
  <c r="ER39" i="52" s="1"/>
  <c r="FO39" i="52"/>
  <c r="DF36" i="52"/>
  <c r="DN36" i="52"/>
  <c r="FU36" i="52"/>
  <c r="EA36" i="52"/>
  <c r="DO37" i="52"/>
  <c r="EL37" i="52" s="1"/>
  <c r="FI37" i="52"/>
  <c r="FC37" i="52"/>
  <c r="DI37" i="52"/>
  <c r="EF37" i="52" s="1"/>
  <c r="FT39" i="52"/>
  <c r="DQ42" i="52"/>
  <c r="FK42" i="52"/>
  <c r="DO44" i="52"/>
  <c r="EL44" i="52" s="1"/>
  <c r="FI44" i="52"/>
  <c r="DY44" i="52"/>
  <c r="EV44" i="52" s="1"/>
  <c r="FS44" i="52"/>
  <c r="FA44" i="52"/>
  <c r="FU39" i="52"/>
  <c r="EA39" i="52"/>
  <c r="EX39" i="52" s="1"/>
  <c r="FP40" i="52"/>
  <c r="DV40" i="52"/>
  <c r="DT42" i="52"/>
  <c r="FN42" i="52"/>
  <c r="CJ43" i="52"/>
  <c r="CR43" i="52"/>
  <c r="CZ43" i="52"/>
  <c r="FR34" i="52"/>
  <c r="FE36" i="52"/>
  <c r="DK36" i="52"/>
  <c r="DB37" i="52"/>
  <c r="CT37" i="52"/>
  <c r="EB39" i="52"/>
  <c r="EY39" i="52" s="1"/>
  <c r="FV39" i="52"/>
  <c r="FA40" i="52"/>
  <c r="DG40" i="52"/>
  <c r="DI42" i="52"/>
  <c r="CS43" i="52"/>
  <c r="CT44" i="52"/>
  <c r="FQ44" i="52"/>
  <c r="FQ33" i="52"/>
  <c r="EG34" i="52"/>
  <c r="FS34" i="52"/>
  <c r="DL36" i="52"/>
  <c r="CU37" i="52"/>
  <c r="CV37" i="52"/>
  <c r="FG38" i="52"/>
  <c r="DM38" i="52"/>
  <c r="EJ38" i="52" s="1"/>
  <c r="CN39" i="52"/>
  <c r="CM39" i="52"/>
  <c r="CV39" i="52"/>
  <c r="DO40" i="52"/>
  <c r="FI40" i="52"/>
  <c r="DW40" i="52"/>
  <c r="FL42" i="52"/>
  <c r="DR42" i="52"/>
  <c r="DJ42" i="52"/>
  <c r="DC37" i="52"/>
  <c r="DQ38" i="52"/>
  <c r="EN38" i="52" s="1"/>
  <c r="FK38" i="52"/>
  <c r="DY38" i="52"/>
  <c r="EV38" i="52" s="1"/>
  <c r="FS38" i="52"/>
  <c r="DT38" i="52"/>
  <c r="EQ38" i="52" s="1"/>
  <c r="CL39" i="52"/>
  <c r="DQ40" i="52"/>
  <c r="FK40" i="52"/>
  <c r="FE42" i="52"/>
  <c r="DK42" i="52"/>
  <c r="FM42" i="52"/>
  <c r="DS42" i="52"/>
  <c r="FU42" i="52"/>
  <c r="EA42" i="52"/>
  <c r="FF42" i="52"/>
  <c r="EZ38" i="52"/>
  <c r="DG39" i="52"/>
  <c r="ED39" i="52" s="1"/>
  <c r="FA39" i="52"/>
  <c r="DO39" i="52"/>
  <c r="EL39" i="52" s="1"/>
  <c r="FI39" i="52"/>
  <c r="DW39" i="52"/>
  <c r="ET39" i="52" s="1"/>
  <c r="FQ39" i="52"/>
  <c r="FK39" i="52"/>
  <c r="DQ39" i="52"/>
  <c r="EN39" i="52" s="1"/>
  <c r="FC40" i="52"/>
  <c r="EI42" i="52"/>
  <c r="EY42" i="52"/>
  <c r="CW44" i="52"/>
  <c r="DX36" i="52"/>
  <c r="FR36" i="52"/>
  <c r="DT36" i="52"/>
  <c r="DM37" i="52"/>
  <c r="EJ37" i="52" s="1"/>
  <c r="FG37" i="52"/>
  <c r="CZ37" i="52"/>
  <c r="CN37" i="52"/>
  <c r="CM37" i="52"/>
  <c r="FO37" i="52"/>
  <c r="FO38" i="52"/>
  <c r="DU38" i="52"/>
  <c r="ER38" i="52" s="1"/>
  <c r="DR39" i="52"/>
  <c r="EO39" i="52" s="1"/>
  <c r="FL39" i="52"/>
  <c r="DK40" i="52"/>
  <c r="FE40" i="52"/>
  <c r="DU42" i="52"/>
  <c r="CO43" i="52"/>
  <c r="CW43" i="52"/>
  <c r="DE43" i="52"/>
  <c r="FG44" i="52"/>
  <c r="DM44" i="52"/>
  <c r="EJ44" i="52" s="1"/>
  <c r="FO44" i="52"/>
  <c r="DU44" i="52"/>
  <c r="ER44" i="52" s="1"/>
  <c r="CM38" i="52"/>
  <c r="CU38" i="52"/>
  <c r="DC38" i="52"/>
  <c r="CI39" i="52"/>
  <c r="CQ39" i="52"/>
  <c r="CY39" i="52"/>
  <c r="CI43" i="52"/>
  <c r="CQ43" i="52"/>
  <c r="CY43" i="52"/>
  <c r="CI44" i="52"/>
  <c r="CQ44" i="52"/>
  <c r="CY44" i="52"/>
  <c r="CK39" i="52"/>
  <c r="CS39" i="52"/>
  <c r="DA39" i="52"/>
  <c r="CK44" i="52"/>
  <c r="CS44" i="52"/>
  <c r="DA44" i="52"/>
  <c r="DN38" i="52"/>
  <c r="EK38" i="52" s="1"/>
  <c r="FO40" i="52"/>
  <c r="CI42" i="52"/>
  <c r="CQ42" i="52"/>
  <c r="CY42" i="52"/>
  <c r="CJ42" i="52"/>
  <c r="CR42" i="52"/>
  <c r="CZ42" i="52"/>
  <c r="CM43" i="52"/>
  <c r="CU43" i="52"/>
  <c r="DC43" i="52"/>
  <c r="CM44" i="52"/>
  <c r="CU44" i="52"/>
  <c r="DC44" i="52"/>
  <c r="CO37" i="52"/>
  <c r="CW37" i="52"/>
  <c r="DE37" i="52"/>
  <c r="CM40" i="52"/>
  <c r="CU40" i="52"/>
  <c r="DC40" i="52"/>
  <c r="CK42" i="52"/>
  <c r="CS42" i="52"/>
  <c r="DA42" i="52"/>
  <c r="CN43" i="52"/>
  <c r="CV43" i="52"/>
  <c r="DD43" i="52"/>
  <c r="CN44" i="52"/>
  <c r="CV44" i="52"/>
  <c r="DD44" i="52"/>
  <c r="AJ62" i="53"/>
  <c r="R61" i="53"/>
  <c r="R62" i="53" s="1"/>
  <c r="Z62" i="53"/>
  <c r="AH62" i="53"/>
  <c r="S62" i="53"/>
  <c r="AA62" i="53"/>
  <c r="I36" i="54"/>
  <c r="H36" i="54"/>
  <c r="I47" i="54"/>
  <c r="H47" i="54"/>
  <c r="D12" i="55"/>
  <c r="F12" i="55" s="1"/>
  <c r="G12" i="55" s="1"/>
  <c r="H12" i="55"/>
  <c r="I12" i="55" s="1"/>
  <c r="J12" i="55" s="1"/>
  <c r="AA56" i="53"/>
  <c r="Z56" i="53"/>
  <c r="AI56" i="53"/>
  <c r="AH56" i="53"/>
  <c r="U56" i="53"/>
  <c r="AC56" i="53"/>
  <c r="AK56" i="53"/>
  <c r="W62" i="53"/>
  <c r="N62" i="53"/>
  <c r="O62" i="53"/>
  <c r="Y62" i="53"/>
  <c r="AG62" i="53"/>
  <c r="AE36" i="53"/>
  <c r="D11" i="55"/>
  <c r="F11" i="55" s="1"/>
  <c r="G11" i="55" s="1"/>
  <c r="H11" i="55"/>
  <c r="I11" i="55" s="1"/>
  <c r="J11" i="55" s="1"/>
  <c r="B40" i="54"/>
  <c r="DU44" i="49" l="1"/>
  <c r="ER44" i="49" s="1"/>
  <c r="DO44" i="49"/>
  <c r="EL44" i="49" s="1"/>
  <c r="BA9" i="48"/>
  <c r="AF28" i="49" s="1"/>
  <c r="CD28" i="49" s="1"/>
  <c r="DC28" i="49" s="1"/>
  <c r="DZ28" i="49" s="1"/>
  <c r="FT28" i="49" s="1"/>
  <c r="AW9" i="48"/>
  <c r="AB28" i="49" s="1"/>
  <c r="BZ28" i="49" s="1"/>
  <c r="CY28" i="49" s="1"/>
  <c r="DV28" i="49" s="1"/>
  <c r="FG40" i="52"/>
  <c r="FG41" i="52" s="1"/>
  <c r="EA38" i="52"/>
  <c r="EX38" i="52" s="1"/>
  <c r="DX38" i="52"/>
  <c r="EU38" i="52" s="1"/>
  <c r="FA38" i="52"/>
  <c r="FA41" i="52" s="1"/>
  <c r="DG38" i="52"/>
  <c r="ED38" i="52" s="1"/>
  <c r="DV38" i="52"/>
  <c r="ES38" i="52" s="1"/>
  <c r="FT42" i="52"/>
  <c r="DZ42" i="52"/>
  <c r="EW42" i="52" s="1"/>
  <c r="FT36" i="52"/>
  <c r="DZ36" i="52"/>
  <c r="EW36" i="52" s="1"/>
  <c r="DS38" i="52"/>
  <c r="EP38" i="52" s="1"/>
  <c r="FP36" i="52"/>
  <c r="FV44" i="52"/>
  <c r="DM36" i="52"/>
  <c r="DM41" i="52" s="1"/>
  <c r="FL36" i="52"/>
  <c r="DR36" i="52"/>
  <c r="EO36" i="52" s="1"/>
  <c r="FR40" i="52"/>
  <c r="DX40" i="52"/>
  <c r="DP38" i="52"/>
  <c r="EM38" i="52" s="1"/>
  <c r="FJ38" i="52"/>
  <c r="FJ41" i="52" s="1"/>
  <c r="FS42" i="52"/>
  <c r="FE38" i="52"/>
  <c r="FD36" i="52"/>
  <c r="DJ36" i="52"/>
  <c r="EG36" i="52" s="1"/>
  <c r="DP40" i="52"/>
  <c r="FJ40" i="52"/>
  <c r="DH38" i="52"/>
  <c r="EE38" i="52" s="1"/>
  <c r="FB38" i="52"/>
  <c r="FF39" i="52"/>
  <c r="FC38" i="52"/>
  <c r="FQ36" i="52"/>
  <c r="FQ41" i="52" s="1"/>
  <c r="DY40" i="52"/>
  <c r="FS40" i="52"/>
  <c r="FB40" i="52"/>
  <c r="DH40" i="52"/>
  <c r="FC44" i="52"/>
  <c r="DT39" i="52"/>
  <c r="EQ39" i="52" s="1"/>
  <c r="DH36" i="52"/>
  <c r="EE36" i="52" s="1"/>
  <c r="FB36" i="52"/>
  <c r="FL23" i="52"/>
  <c r="FF21" i="52"/>
  <c r="EF20" i="52"/>
  <c r="FC20" i="52"/>
  <c r="FD23" i="52"/>
  <c r="EG23" i="52"/>
  <c r="EG24" i="52"/>
  <c r="FV23" i="52"/>
  <c r="EY23" i="52"/>
  <c r="FO20" i="52"/>
  <c r="ER20" i="52"/>
  <c r="FE23" i="52"/>
  <c r="EH23" i="52"/>
  <c r="EP23" i="52"/>
  <c r="FS23" i="52"/>
  <c r="FP23" i="52"/>
  <c r="EJ20" i="52"/>
  <c r="FG20" i="52"/>
  <c r="FU23" i="52"/>
  <c r="FF23" i="52"/>
  <c r="EI23" i="52"/>
  <c r="FN24" i="52"/>
  <c r="EQ24" i="52"/>
  <c r="EN24" i="52"/>
  <c r="FK24" i="52"/>
  <c r="EW23" i="52"/>
  <c r="FT23" i="52"/>
  <c r="FK23" i="52"/>
  <c r="EZ24" i="52"/>
  <c r="FS20" i="52"/>
  <c r="EI24" i="52"/>
  <c r="EO24" i="52"/>
  <c r="FL24" i="52"/>
  <c r="FC24" i="52"/>
  <c r="EF24" i="52"/>
  <c r="EM7" i="52"/>
  <c r="FD12" i="52"/>
  <c r="EN7" i="52"/>
  <c r="FC7" i="52"/>
  <c r="EE7" i="52"/>
  <c r="FU6" i="52"/>
  <c r="FT6" i="52"/>
  <c r="FS6" i="52"/>
  <c r="EE14" i="52"/>
  <c r="EQ11" i="52"/>
  <c r="FJ6" i="52"/>
  <c r="EW15" i="52"/>
  <c r="FT15" i="52"/>
  <c r="FC12" i="52"/>
  <c r="EF12" i="52"/>
  <c r="FH13" i="52"/>
  <c r="FA13" i="52"/>
  <c r="ED12" i="52"/>
  <c r="FR13" i="52"/>
  <c r="FH7" i="52"/>
  <c r="EG13" i="52"/>
  <c r="EZ9" i="52"/>
  <c r="EW14" i="52"/>
  <c r="FT14" i="52"/>
  <c r="FK12" i="52"/>
  <c r="EV15" i="52"/>
  <c r="EV13" i="52"/>
  <c r="EN6" i="52"/>
  <c r="ER9" i="52"/>
  <c r="FO9" i="52"/>
  <c r="EO14" i="52"/>
  <c r="FL14" i="52"/>
  <c r="FD15" i="52"/>
  <c r="EG15" i="52"/>
  <c r="ED15" i="52"/>
  <c r="FA15" i="52"/>
  <c r="FJ13" i="52"/>
  <c r="EG14" i="52"/>
  <c r="FD14" i="52"/>
  <c r="EE15" i="52"/>
  <c r="FB15" i="52"/>
  <c r="FH9" i="52"/>
  <c r="FS12" i="52"/>
  <c r="EV12" i="52"/>
  <c r="FP13" i="52"/>
  <c r="FL10" i="52"/>
  <c r="FV6" i="52"/>
  <c r="FK15" i="52"/>
  <c r="EK12" i="52"/>
  <c r="EX13" i="52"/>
  <c r="FU13" i="52"/>
  <c r="AV48" i="52"/>
  <c r="BS48" i="52" s="1"/>
  <c r="CR48" i="52" s="1"/>
  <c r="AP57" i="51"/>
  <c r="AN48" i="52"/>
  <c r="BK48" i="52" s="1"/>
  <c r="CJ48" i="52" s="1"/>
  <c r="AH57" i="51"/>
  <c r="BD48" i="52"/>
  <c r="CA48" i="52" s="1"/>
  <c r="CZ48" i="52" s="1"/>
  <c r="AX57" i="51"/>
  <c r="FN26" i="52"/>
  <c r="EE25" i="52"/>
  <c r="EH19" i="52"/>
  <c r="AX31" i="51"/>
  <c r="AC16" i="52" s="1"/>
  <c r="CA16" i="52" s="1"/>
  <c r="CZ16" i="52" s="1"/>
  <c r="DW16" i="52" s="1"/>
  <c r="AT31" i="51"/>
  <c r="Y16" i="52" s="1"/>
  <c r="BW16" i="52" s="1"/>
  <c r="CV16" i="52" s="1"/>
  <c r="DS16" i="52" s="1"/>
  <c r="FM16" i="52" s="1"/>
  <c r="AQ31" i="51"/>
  <c r="V16" i="52" s="1"/>
  <c r="BT16" i="52" s="1"/>
  <c r="CS16" i="52" s="1"/>
  <c r="DP16" i="52" s="1"/>
  <c r="BB31" i="51"/>
  <c r="AG16" i="52" s="1"/>
  <c r="CE16" i="52" s="1"/>
  <c r="DD16" i="52" s="1"/>
  <c r="EA16" i="52" s="1"/>
  <c r="AK31" i="51"/>
  <c r="P16" i="52" s="1"/>
  <c r="BN16" i="52" s="1"/>
  <c r="CM16" i="52" s="1"/>
  <c r="DJ16" i="52" s="1"/>
  <c r="AH31" i="51"/>
  <c r="M16" i="52" s="1"/>
  <c r="BK16" i="52" s="1"/>
  <c r="CJ16" i="52" s="1"/>
  <c r="DG16" i="52" s="1"/>
  <c r="FA16" i="52" s="1"/>
  <c r="AG31" i="51"/>
  <c r="L16" i="52" s="1"/>
  <c r="BJ16" i="52" s="1"/>
  <c r="CI16" i="52" s="1"/>
  <c r="DF16" i="52" s="1"/>
  <c r="EZ16" i="52" s="1"/>
  <c r="AJ31" i="51"/>
  <c r="O16" i="52" s="1"/>
  <c r="BM16" i="52" s="1"/>
  <c r="CL16" i="52" s="1"/>
  <c r="DI16" i="52" s="1"/>
  <c r="FC16" i="52" s="1"/>
  <c r="AO31" i="51"/>
  <c r="T16" i="52" s="1"/>
  <c r="BR16" i="52" s="1"/>
  <c r="CQ16" i="52" s="1"/>
  <c r="DN16" i="52" s="1"/>
  <c r="AV31" i="51"/>
  <c r="AA16" i="52" s="1"/>
  <c r="BY16" i="52" s="1"/>
  <c r="CX16" i="52" s="1"/>
  <c r="DU16" i="52" s="1"/>
  <c r="AS31" i="51"/>
  <c r="X16" i="52" s="1"/>
  <c r="BV16" i="52" s="1"/>
  <c r="CU16" i="52" s="1"/>
  <c r="DR16" i="52" s="1"/>
  <c r="AW31" i="51"/>
  <c r="AB16" i="52" s="1"/>
  <c r="BZ16" i="52" s="1"/>
  <c r="CY16" i="52" s="1"/>
  <c r="DV16" i="52" s="1"/>
  <c r="AZ31" i="51"/>
  <c r="AE16" i="52" s="1"/>
  <c r="CC16" i="52" s="1"/>
  <c r="DB16" i="52" s="1"/>
  <c r="DY16" i="52" s="1"/>
  <c r="FO30" i="52"/>
  <c r="ER30" i="52"/>
  <c r="ER28" i="52"/>
  <c r="FO28" i="52"/>
  <c r="AN12" i="51"/>
  <c r="S29" i="52" s="1"/>
  <c r="BQ29" i="52" s="1"/>
  <c r="CP29" i="52" s="1"/>
  <c r="DM29" i="52" s="1"/>
  <c r="EJ29" i="52" s="1"/>
  <c r="BA12" i="51"/>
  <c r="AF29" i="52" s="1"/>
  <c r="CD29" i="52" s="1"/>
  <c r="DC29" i="52" s="1"/>
  <c r="DZ29" i="52" s="1"/>
  <c r="AL15" i="51"/>
  <c r="Q30" i="52" s="1"/>
  <c r="BO30" i="52" s="1"/>
  <c r="CN30" i="52" s="1"/>
  <c r="DK30" i="52" s="1"/>
  <c r="FE30" i="52" s="1"/>
  <c r="AG21" i="51"/>
  <c r="L32" i="52" s="1"/>
  <c r="BJ32" i="52" s="1"/>
  <c r="CI32" i="52" s="1"/>
  <c r="DF32" i="52" s="1"/>
  <c r="EC32" i="52" s="1"/>
  <c r="AU9" i="51"/>
  <c r="Z28" i="52" s="1"/>
  <c r="BX28" i="52" s="1"/>
  <c r="CW28" i="52" s="1"/>
  <c r="DT28" i="52" s="1"/>
  <c r="AZ9" i="51"/>
  <c r="AE28" i="52" s="1"/>
  <c r="CC28" i="52" s="1"/>
  <c r="DB28" i="52" s="1"/>
  <c r="DY28" i="52" s="1"/>
  <c r="FI28" i="52"/>
  <c r="FH29" i="52"/>
  <c r="AG9" i="51"/>
  <c r="FP28" i="52"/>
  <c r="AH21" i="51"/>
  <c r="M32" i="52" s="1"/>
  <c r="BK32" i="52" s="1"/>
  <c r="CJ32" i="52" s="1"/>
  <c r="DG32" i="52" s="1"/>
  <c r="AU15" i="51"/>
  <c r="Z30" i="52" s="1"/>
  <c r="BX30" i="52" s="1"/>
  <c r="CW30" i="52" s="1"/>
  <c r="DT30" i="52" s="1"/>
  <c r="FN30" i="52" s="1"/>
  <c r="AR15" i="51"/>
  <c r="W30" i="52" s="1"/>
  <c r="BU30" i="52" s="1"/>
  <c r="CT30" i="52" s="1"/>
  <c r="DQ30" i="52" s="1"/>
  <c r="AV21" i="51"/>
  <c r="AA32" i="52" s="1"/>
  <c r="BY32" i="52" s="1"/>
  <c r="CX32" i="52" s="1"/>
  <c r="DU32" i="52" s="1"/>
  <c r="AJ18" i="51"/>
  <c r="O31" i="52" s="1"/>
  <c r="BM31" i="52" s="1"/>
  <c r="CL31" i="52" s="1"/>
  <c r="DI31" i="52" s="1"/>
  <c r="AH18" i="51"/>
  <c r="M31" i="52" s="1"/>
  <c r="BK31" i="52" s="1"/>
  <c r="CJ31" i="52" s="1"/>
  <c r="DG31" i="52" s="1"/>
  <c r="BB18" i="51"/>
  <c r="AG31" i="52" s="1"/>
  <c r="CE31" i="52" s="1"/>
  <c r="DD31" i="52" s="1"/>
  <c r="EA31" i="52" s="1"/>
  <c r="EX31" i="52" s="1"/>
  <c r="AH9" i="51"/>
  <c r="AH15" i="51"/>
  <c r="M30" i="52" s="1"/>
  <c r="BK30" i="52" s="1"/>
  <c r="CJ30" i="52" s="1"/>
  <c r="DG30" i="52" s="1"/>
  <c r="AM21" i="51"/>
  <c r="R32" i="52" s="1"/>
  <c r="BP32" i="52" s="1"/>
  <c r="CO32" i="52" s="1"/>
  <c r="DL32" i="52" s="1"/>
  <c r="FF32" i="52" s="1"/>
  <c r="AK9" i="51"/>
  <c r="P28" i="52" s="1"/>
  <c r="BN28" i="52" s="1"/>
  <c r="CM28" i="52" s="1"/>
  <c r="DJ28" i="52" s="1"/>
  <c r="AI21" i="51"/>
  <c r="N32" i="52" s="1"/>
  <c r="BL32" i="52" s="1"/>
  <c r="CK32" i="52" s="1"/>
  <c r="DH32" i="52" s="1"/>
  <c r="AI12" i="51"/>
  <c r="N29" i="52" s="1"/>
  <c r="BL29" i="52" s="1"/>
  <c r="CK29" i="52" s="1"/>
  <c r="DH29" i="52" s="1"/>
  <c r="EE29" i="52" s="1"/>
  <c r="AW18" i="51"/>
  <c r="AB31" i="52" s="1"/>
  <c r="BZ31" i="52" s="1"/>
  <c r="CY31" i="52" s="1"/>
  <c r="DV31" i="52" s="1"/>
  <c r="ES31" i="52" s="1"/>
  <c r="AP18" i="51"/>
  <c r="U31" i="52" s="1"/>
  <c r="BS31" i="52" s="1"/>
  <c r="CR31" i="52" s="1"/>
  <c r="DO31" i="52" s="1"/>
  <c r="AV56" i="50"/>
  <c r="AB10" i="53" s="1"/>
  <c r="AI14" i="54" s="1"/>
  <c r="AI8" i="54" s="1"/>
  <c r="DH36" i="49"/>
  <c r="EE36" i="49" s="1"/>
  <c r="DX42" i="49"/>
  <c r="FD40" i="49"/>
  <c r="FB43" i="49"/>
  <c r="DF36" i="49"/>
  <c r="FL40" i="49"/>
  <c r="FL41" i="49" s="1"/>
  <c r="FD36" i="49"/>
  <c r="FD41" i="49" s="1"/>
  <c r="FK42" i="49"/>
  <c r="FK47" i="49" s="1"/>
  <c r="DK40" i="49"/>
  <c r="FT36" i="49"/>
  <c r="FC44" i="49"/>
  <c r="FP42" i="49"/>
  <c r="DQ41" i="49"/>
  <c r="DG40" i="49"/>
  <c r="DJ42" i="49"/>
  <c r="DJ47" i="49" s="1"/>
  <c r="DW44" i="49"/>
  <c r="ET44" i="49" s="1"/>
  <c r="FH43" i="49"/>
  <c r="FS44" i="49"/>
  <c r="FS47" i="49" s="1"/>
  <c r="FO43" i="49"/>
  <c r="FH44" i="49"/>
  <c r="FK36" i="49"/>
  <c r="FH40" i="49"/>
  <c r="DH40" i="49"/>
  <c r="EM21" i="49"/>
  <c r="ES21" i="49"/>
  <c r="EG22" i="49"/>
  <c r="EE21" i="49"/>
  <c r="FD23" i="49"/>
  <c r="EU21" i="49"/>
  <c r="EP23" i="49"/>
  <c r="FE17" i="49"/>
  <c r="EO17" i="49"/>
  <c r="EU18" i="49"/>
  <c r="FQ18" i="49"/>
  <c r="EE18" i="49"/>
  <c r="FK18" i="49"/>
  <c r="EG17" i="49"/>
  <c r="EK18" i="49"/>
  <c r="ES18" i="49"/>
  <c r="ED14" i="49"/>
  <c r="FL13" i="49"/>
  <c r="EL10" i="49"/>
  <c r="EF6" i="49"/>
  <c r="EZ13" i="49"/>
  <c r="FH9" i="49"/>
  <c r="ES14" i="49"/>
  <c r="EF14" i="49"/>
  <c r="EN13" i="49"/>
  <c r="ES12" i="49"/>
  <c r="FB13" i="49"/>
  <c r="EQ13" i="49"/>
  <c r="EY10" i="49"/>
  <c r="FP8" i="49"/>
  <c r="FD6" i="49"/>
  <c r="EI11" i="49"/>
  <c r="ED10" i="49"/>
  <c r="EZ12" i="49"/>
  <c r="FE12" i="49"/>
  <c r="FI13" i="49"/>
  <c r="FP13" i="49"/>
  <c r="FN10" i="49"/>
  <c r="FN12" i="49"/>
  <c r="FV12" i="49"/>
  <c r="FH6" i="49"/>
  <c r="FC13" i="49"/>
  <c r="EY15" i="49"/>
  <c r="FT13" i="49"/>
  <c r="EM12" i="49"/>
  <c r="FV8" i="49"/>
  <c r="EP14" i="49"/>
  <c r="FU14" i="49"/>
  <c r="FQ9" i="49"/>
  <c r="FH8" i="49"/>
  <c r="FP6" i="49"/>
  <c r="EU12" i="49"/>
  <c r="ED12" i="49"/>
  <c r="EP11" i="49"/>
  <c r="EH9" i="49"/>
  <c r="EY7" i="49"/>
  <c r="FS12" i="49"/>
  <c r="EQ11" i="49"/>
  <c r="EZ14" i="49"/>
  <c r="FH11" i="49"/>
  <c r="EP13" i="49"/>
  <c r="FP11" i="49"/>
  <c r="FQ48" i="49"/>
  <c r="FQ50" i="49" s="1"/>
  <c r="AU55" i="48"/>
  <c r="AI55" i="48"/>
  <c r="FD48" i="49"/>
  <c r="AW49" i="49"/>
  <c r="BT49" i="49" s="1"/>
  <c r="CS49" i="49" s="1"/>
  <c r="FJ49" i="49" s="1"/>
  <c r="AQ55" i="48"/>
  <c r="AM49" i="49"/>
  <c r="BJ49" i="49" s="1"/>
  <c r="CI49" i="49" s="1"/>
  <c r="EZ49" i="49" s="1"/>
  <c r="AG55" i="48"/>
  <c r="AX57" i="48"/>
  <c r="AK57" i="48"/>
  <c r="FN25" i="49"/>
  <c r="FA27" i="49"/>
  <c r="FD19" i="49"/>
  <c r="FG27" i="49"/>
  <c r="EF25" i="49"/>
  <c r="EZ19" i="49"/>
  <c r="ED19" i="49"/>
  <c r="FB26" i="49"/>
  <c r="EI27" i="49"/>
  <c r="FP32" i="49"/>
  <c r="ES32" i="49"/>
  <c r="FP28" i="49"/>
  <c r="ES28" i="49"/>
  <c r="FR30" i="49"/>
  <c r="EU30" i="49"/>
  <c r="FJ30" i="49"/>
  <c r="EM30" i="49"/>
  <c r="BC21" i="48"/>
  <c r="AH32" i="49" s="1"/>
  <c r="CF32" i="49" s="1"/>
  <c r="DE32" i="49" s="1"/>
  <c r="EB32" i="49" s="1"/>
  <c r="FI30" i="49"/>
  <c r="AH9" i="48"/>
  <c r="FQ31" i="49"/>
  <c r="AL18" i="48"/>
  <c r="Q31" i="49" s="1"/>
  <c r="BO31" i="49" s="1"/>
  <c r="CN31" i="49" s="1"/>
  <c r="DK31" i="49" s="1"/>
  <c r="AH12" i="48"/>
  <c r="M29" i="49" s="1"/>
  <c r="BK29" i="49" s="1"/>
  <c r="CJ29" i="49" s="1"/>
  <c r="DG29" i="49" s="1"/>
  <c r="AI18" i="48"/>
  <c r="N31" i="49" s="1"/>
  <c r="BL31" i="49" s="1"/>
  <c r="CK31" i="49" s="1"/>
  <c r="DH31" i="49" s="1"/>
  <c r="FB31" i="49" s="1"/>
  <c r="AQ9" i="48"/>
  <c r="V28" i="49" s="1"/>
  <c r="BT28" i="49" s="1"/>
  <c r="CS28" i="49" s="1"/>
  <c r="DP28" i="49" s="1"/>
  <c r="EM28" i="49" s="1"/>
  <c r="H22" i="54"/>
  <c r="FR28" i="49"/>
  <c r="D40" i="54"/>
  <c r="H40" i="54"/>
  <c r="I23" i="54"/>
  <c r="Z13" i="53"/>
  <c r="AB21" i="54"/>
  <c r="R13" i="53"/>
  <c r="AE21" i="54"/>
  <c r="EM29" i="49"/>
  <c r="EJ41" i="49"/>
  <c r="W21" i="54"/>
  <c r="AD21" i="54"/>
  <c r="AA21" i="54"/>
  <c r="U21" i="54"/>
  <c r="X21" i="54"/>
  <c r="AH21" i="54"/>
  <c r="AI21" i="54"/>
  <c r="DM47" i="49"/>
  <c r="ET29" i="49"/>
  <c r="AC15" i="53"/>
  <c r="AC17" i="53"/>
  <c r="J56" i="53"/>
  <c r="AC16" i="53"/>
  <c r="AJ22" i="54"/>
  <c r="AD17" i="53"/>
  <c r="AD15" i="53"/>
  <c r="AE17" i="53"/>
  <c r="AE26" i="53" s="1"/>
  <c r="AE15" i="53"/>
  <c r="AK21" i="54"/>
  <c r="AK6" i="54" s="1"/>
  <c r="Q62" i="53"/>
  <c r="J62" i="53" s="1"/>
  <c r="AJ21" i="54"/>
  <c r="AJ6" i="54" s="1"/>
  <c r="AL22" i="54"/>
  <c r="AL7" i="54" s="1"/>
  <c r="AD16" i="53"/>
  <c r="AK22" i="54"/>
  <c r="AK7" i="54" s="1"/>
  <c r="AD26" i="53"/>
  <c r="DM41" i="49"/>
  <c r="FC29" i="49"/>
  <c r="ED31" i="49"/>
  <c r="FK28" i="49"/>
  <c r="FC41" i="49"/>
  <c r="EL14" i="49"/>
  <c r="EW28" i="49"/>
  <c r="FB29" i="49"/>
  <c r="EV29" i="49"/>
  <c r="DI41" i="49"/>
  <c r="EO41" i="49"/>
  <c r="EG28" i="49"/>
  <c r="FA30" i="49"/>
  <c r="FI31" i="49"/>
  <c r="FS28" i="49"/>
  <c r="EF41" i="49"/>
  <c r="FR29" i="49"/>
  <c r="EO28" i="49"/>
  <c r="FQ30" i="49"/>
  <c r="EQ47" i="49"/>
  <c r="DT41" i="49"/>
  <c r="EE30" i="49"/>
  <c r="FP30" i="49"/>
  <c r="EJ47" i="49"/>
  <c r="DT47" i="49"/>
  <c r="AV12" i="48"/>
  <c r="AA29" i="49" s="1"/>
  <c r="BY29" i="49" s="1"/>
  <c r="CX29" i="49" s="1"/>
  <c r="DU29" i="49" s="1"/>
  <c r="FO29" i="49" s="1"/>
  <c r="AN9" i="48"/>
  <c r="S28" i="49" s="1"/>
  <c r="BQ28" i="49" s="1"/>
  <c r="CP28" i="49" s="1"/>
  <c r="DM28" i="49" s="1"/>
  <c r="EJ28" i="49" s="1"/>
  <c r="AW31" i="48"/>
  <c r="AB16" i="49" s="1"/>
  <c r="BZ16" i="49" s="1"/>
  <c r="CY16" i="49" s="1"/>
  <c r="DV16" i="49" s="1"/>
  <c r="DV35" i="49" s="1"/>
  <c r="AN12" i="48"/>
  <c r="S29" i="49" s="1"/>
  <c r="BQ29" i="49" s="1"/>
  <c r="CP29" i="49" s="1"/>
  <c r="DM29" i="49" s="1"/>
  <c r="FG29" i="49" s="1"/>
  <c r="AJ21" i="48"/>
  <c r="O32" i="49" s="1"/>
  <c r="BM32" i="49" s="1"/>
  <c r="CL32" i="49" s="1"/>
  <c r="DI32" i="49" s="1"/>
  <c r="EF32" i="49" s="1"/>
  <c r="AO31" i="48"/>
  <c r="T16" i="49" s="1"/>
  <c r="BR16" i="49" s="1"/>
  <c r="CQ16" i="49" s="1"/>
  <c r="DN16" i="49" s="1"/>
  <c r="FH16" i="49" s="1"/>
  <c r="AY21" i="48"/>
  <c r="AD32" i="49" s="1"/>
  <c r="CB32" i="49" s="1"/>
  <c r="DA32" i="49" s="1"/>
  <c r="DX32" i="49" s="1"/>
  <c r="FR32" i="49" s="1"/>
  <c r="AJ18" i="48"/>
  <c r="O31" i="49" s="1"/>
  <c r="BM31" i="49" s="1"/>
  <c r="CL31" i="49" s="1"/>
  <c r="DI31" i="49" s="1"/>
  <c r="BC15" i="48"/>
  <c r="AH30" i="49" s="1"/>
  <c r="CF30" i="49" s="1"/>
  <c r="DE30" i="49" s="1"/>
  <c r="EB30" i="49" s="1"/>
  <c r="EY30" i="49" s="1"/>
  <c r="FJ41" i="49"/>
  <c r="DU47" i="49"/>
  <c r="EB47" i="49"/>
  <c r="EE41" i="49"/>
  <c r="EN29" i="49"/>
  <c r="FN47" i="49"/>
  <c r="FB47" i="49"/>
  <c r="FB41" i="49"/>
  <c r="FF41" i="49"/>
  <c r="FC28" i="49"/>
  <c r="AJ31" i="48"/>
  <c r="O16" i="49" s="1"/>
  <c r="BM16" i="49" s="1"/>
  <c r="CL16" i="49" s="1"/>
  <c r="DI16" i="49" s="1"/>
  <c r="FC16" i="49" s="1"/>
  <c r="AR21" i="48"/>
  <c r="W32" i="49" s="1"/>
  <c r="BU32" i="49" s="1"/>
  <c r="CT32" i="49" s="1"/>
  <c r="DQ32" i="49" s="1"/>
  <c r="FK32" i="49" s="1"/>
  <c r="AR18" i="48"/>
  <c r="W31" i="49" s="1"/>
  <c r="BU31" i="49" s="1"/>
  <c r="CT31" i="49" s="1"/>
  <c r="DQ31" i="49" s="1"/>
  <c r="EN31" i="49" s="1"/>
  <c r="AV31" i="48"/>
  <c r="AA16" i="49" s="1"/>
  <c r="BY16" i="49" s="1"/>
  <c r="CX16" i="49" s="1"/>
  <c r="DU16" i="49" s="1"/>
  <c r="ER16" i="49" s="1"/>
  <c r="AU21" i="48"/>
  <c r="Z32" i="49" s="1"/>
  <c r="BX32" i="49" s="1"/>
  <c r="CW32" i="49" s="1"/>
  <c r="DT32" i="49" s="1"/>
  <c r="FN32" i="49" s="1"/>
  <c r="BC12" i="48"/>
  <c r="AH29" i="49" s="1"/>
  <c r="CF29" i="49" s="1"/>
  <c r="DE29" i="49" s="1"/>
  <c r="EB29" i="49" s="1"/>
  <c r="EY29" i="49" s="1"/>
  <c r="AU9" i="48"/>
  <c r="Z28" i="49" s="1"/>
  <c r="BX28" i="49" s="1"/>
  <c r="CW28" i="49" s="1"/>
  <c r="DT28" i="49" s="1"/>
  <c r="FN28" i="49" s="1"/>
  <c r="FG41" i="49"/>
  <c r="AM21" i="48"/>
  <c r="R32" i="49" s="1"/>
  <c r="BP32" i="49" s="1"/>
  <c r="CO32" i="49" s="1"/>
  <c r="DL32" i="49" s="1"/>
  <c r="EI32" i="49" s="1"/>
  <c r="AN15" i="48"/>
  <c r="S30" i="49" s="1"/>
  <c r="BQ30" i="49" s="1"/>
  <c r="CP30" i="49" s="1"/>
  <c r="DM30" i="49" s="1"/>
  <c r="EJ30" i="49" s="1"/>
  <c r="AP9" i="48"/>
  <c r="U28" i="49" s="1"/>
  <c r="BS28" i="49" s="1"/>
  <c r="CR28" i="49" s="1"/>
  <c r="DO28" i="49" s="1"/>
  <c r="EL28" i="49" s="1"/>
  <c r="AU12" i="48"/>
  <c r="Z29" i="49" s="1"/>
  <c r="BX29" i="49" s="1"/>
  <c r="CW29" i="49" s="1"/>
  <c r="DT29" i="49" s="1"/>
  <c r="EQ29" i="49" s="1"/>
  <c r="AG31" i="48"/>
  <c r="L16" i="49" s="1"/>
  <c r="BJ16" i="49" s="1"/>
  <c r="CI16" i="49" s="1"/>
  <c r="DF16" i="49" s="1"/>
  <c r="EZ16" i="49" s="1"/>
  <c r="AQ21" i="48"/>
  <c r="V32" i="49" s="1"/>
  <c r="BT32" i="49" s="1"/>
  <c r="CS32" i="49" s="1"/>
  <c r="DP32" i="49" s="1"/>
  <c r="EM32" i="49" s="1"/>
  <c r="AM9" i="48"/>
  <c r="R28" i="49" s="1"/>
  <c r="BP28" i="49" s="1"/>
  <c r="CO28" i="49" s="1"/>
  <c r="DL28" i="49" s="1"/>
  <c r="EI28" i="49" s="1"/>
  <c r="AM31" i="48"/>
  <c r="R16" i="49" s="1"/>
  <c r="BP16" i="49" s="1"/>
  <c r="CO16" i="49" s="1"/>
  <c r="DL16" i="49" s="1"/>
  <c r="EI16" i="49" s="1"/>
  <c r="FH47" i="49"/>
  <c r="FO41" i="49"/>
  <c r="FV41" i="49"/>
  <c r="DW41" i="49"/>
  <c r="FR47" i="49"/>
  <c r="ET41" i="49"/>
  <c r="FR41" i="49"/>
  <c r="FJ47" i="49"/>
  <c r="ES41" i="49"/>
  <c r="FG47" i="49"/>
  <c r="EQ41" i="49"/>
  <c r="DV41" i="49"/>
  <c r="FM20" i="49"/>
  <c r="FC47" i="49"/>
  <c r="FO47" i="49"/>
  <c r="EZ47" i="49"/>
  <c r="FD47" i="49"/>
  <c r="FI41" i="49"/>
  <c r="FE16" i="52"/>
  <c r="EH16" i="52"/>
  <c r="EN28" i="52"/>
  <c r="FK28" i="52"/>
  <c r="EC31" i="49"/>
  <c r="EZ31" i="49"/>
  <c r="EY32" i="49"/>
  <c r="FV32" i="49"/>
  <c r="FE31" i="49"/>
  <c r="EH31" i="49"/>
  <c r="EG29" i="49"/>
  <c r="FD29" i="49"/>
  <c r="EO16" i="52"/>
  <c r="FL16" i="52"/>
  <c r="EF28" i="52"/>
  <c r="FC28" i="52"/>
  <c r="EN30" i="49"/>
  <c r="FK30" i="49"/>
  <c r="ET16" i="52"/>
  <c r="FQ16" i="52"/>
  <c r="EP16" i="52"/>
  <c r="EG28" i="52"/>
  <c r="FD28" i="52"/>
  <c r="ER31" i="49"/>
  <c r="FO31" i="49"/>
  <c r="FV28" i="49"/>
  <c r="EY28" i="49"/>
  <c r="FR31" i="49"/>
  <c r="EU31" i="49"/>
  <c r="EF30" i="49"/>
  <c r="FC30" i="49"/>
  <c r="FU16" i="52"/>
  <c r="EX16" i="52"/>
  <c r="FD30" i="52"/>
  <c r="EG30" i="52"/>
  <c r="EX28" i="52"/>
  <c r="FU28" i="52"/>
  <c r="EG16" i="52"/>
  <c r="FD16" i="52"/>
  <c r="EU28" i="52"/>
  <c r="FR28" i="52"/>
  <c r="FJ31" i="49"/>
  <c r="EM31" i="49"/>
  <c r="FL30" i="52"/>
  <c r="EO30" i="52"/>
  <c r="EP28" i="52"/>
  <c r="FM28" i="52"/>
  <c r="K10" i="53"/>
  <c r="K17" i="53" s="1"/>
  <c r="K26" i="53" s="1"/>
  <c r="L10" i="53"/>
  <c r="S14" i="54" s="1"/>
  <c r="S8" i="54" s="1"/>
  <c r="ET32" i="49"/>
  <c r="FQ32" i="49"/>
  <c r="FH16" i="52"/>
  <c r="EK16" i="52"/>
  <c r="EH28" i="52"/>
  <c r="FE28" i="52"/>
  <c r="ET29" i="52"/>
  <c r="FQ29" i="52"/>
  <c r="FH28" i="49"/>
  <c r="EK28" i="49"/>
  <c r="FI32" i="49"/>
  <c r="EL32" i="49"/>
  <c r="EP28" i="49"/>
  <c r="FM28" i="49"/>
  <c r="FN16" i="52"/>
  <c r="EQ16" i="52"/>
  <c r="FP16" i="52"/>
  <c r="ES16" i="52"/>
  <c r="FI29" i="52"/>
  <c r="EL29" i="52"/>
  <c r="EX31" i="49"/>
  <c r="FU31" i="49"/>
  <c r="FP16" i="49"/>
  <c r="ES16" i="49"/>
  <c r="ED32" i="49"/>
  <c r="FA32" i="49"/>
  <c r="EW29" i="49"/>
  <c r="FT29" i="49"/>
  <c r="EH28" i="49"/>
  <c r="FE28" i="49"/>
  <c r="FF16" i="52"/>
  <c r="EI16" i="52"/>
  <c r="FD29" i="52"/>
  <c r="EG29" i="52"/>
  <c r="EV28" i="52"/>
  <c r="FS28" i="52"/>
  <c r="EK31" i="49"/>
  <c r="FH31" i="49"/>
  <c r="FM31" i="49"/>
  <c r="EP31" i="49"/>
  <c r="EO29" i="49"/>
  <c r="FL29" i="49"/>
  <c r="FU44" i="52"/>
  <c r="EA44" i="52"/>
  <c r="EX44" i="52" s="1"/>
  <c r="EZ43" i="52"/>
  <c r="DF43" i="52"/>
  <c r="EC43" i="52" s="1"/>
  <c r="EV42" i="52"/>
  <c r="ET36" i="52"/>
  <c r="FQ18" i="52"/>
  <c r="ET18" i="52"/>
  <c r="FS8" i="52"/>
  <c r="EV8" i="52"/>
  <c r="EN14" i="52"/>
  <c r="FK14" i="52"/>
  <c r="BB49" i="52"/>
  <c r="BY49" i="52" s="1"/>
  <c r="CX49" i="52" s="1"/>
  <c r="FO49" i="52" s="1"/>
  <c r="AV55" i="51"/>
  <c r="EI19" i="52"/>
  <c r="FF19" i="52"/>
  <c r="FA29" i="52"/>
  <c r="ED29" i="52"/>
  <c r="FA31" i="52"/>
  <c r="ED31" i="52"/>
  <c r="FR19" i="52"/>
  <c r="EU19" i="52"/>
  <c r="EP36" i="49"/>
  <c r="EP41" i="49" s="1"/>
  <c r="DS41" i="49"/>
  <c r="ET28" i="49"/>
  <c r="FQ28" i="49"/>
  <c r="BI48" i="49"/>
  <c r="CF48" i="49" s="1"/>
  <c r="DE48" i="49" s="1"/>
  <c r="BC57" i="48"/>
  <c r="ET19" i="49"/>
  <c r="FQ19" i="49"/>
  <c r="F13" i="54"/>
  <c r="DP39" i="52"/>
  <c r="EM39" i="52" s="1"/>
  <c r="FJ39" i="52"/>
  <c r="EN36" i="52"/>
  <c r="EI30" i="52"/>
  <c r="FF30" i="52"/>
  <c r="EY18" i="52"/>
  <c r="FV18" i="52"/>
  <c r="AY31" i="51"/>
  <c r="AD16" i="52" s="1"/>
  <c r="CB16" i="52" s="1"/>
  <c r="DA16" i="52" s="1"/>
  <c r="DX16" i="52" s="1"/>
  <c r="FV27" i="52"/>
  <c r="EY27" i="52"/>
  <c r="EX32" i="52"/>
  <c r="FU32" i="52"/>
  <c r="FV28" i="52"/>
  <c r="EY28" i="52"/>
  <c r="EV30" i="52"/>
  <c r="FS30" i="52"/>
  <c r="AV49" i="52"/>
  <c r="BS49" i="52" s="1"/>
  <c r="CR49" i="52" s="1"/>
  <c r="FI49" i="52" s="1"/>
  <c r="AP55" i="51"/>
  <c r="AQ49" i="52"/>
  <c r="BN49" i="52" s="1"/>
  <c r="CM49" i="52" s="1"/>
  <c r="FD49" i="52" s="1"/>
  <c r="AK55" i="51"/>
  <c r="BI49" i="52"/>
  <c r="CF49" i="52" s="1"/>
  <c r="DE49" i="52" s="1"/>
  <c r="FV49" i="52" s="1"/>
  <c r="BC55" i="51"/>
  <c r="EU30" i="52"/>
  <c r="FR30" i="52"/>
  <c r="EF29" i="52"/>
  <c r="FC29" i="52"/>
  <c r="EE32" i="52"/>
  <c r="FB32" i="52"/>
  <c r="FB29" i="52"/>
  <c r="EW28" i="52"/>
  <c r="FT28" i="52"/>
  <c r="FJ31" i="52"/>
  <c r="EM31" i="52"/>
  <c r="EW16" i="52"/>
  <c r="FT16" i="52"/>
  <c r="EA42" i="49"/>
  <c r="FU42" i="49"/>
  <c r="EW19" i="52"/>
  <c r="FT19" i="52"/>
  <c r="FS19" i="52"/>
  <c r="EV19" i="52"/>
  <c r="EO28" i="52"/>
  <c r="FL28" i="52"/>
  <c r="FP43" i="49"/>
  <c r="FP47" i="49" s="1"/>
  <c r="DV43" i="49"/>
  <c r="ES43" i="49" s="1"/>
  <c r="DP47" i="49"/>
  <c r="EM42" i="49"/>
  <c r="EM47" i="49" s="1"/>
  <c r="EC20" i="49"/>
  <c r="EZ20" i="49"/>
  <c r="EZ41" i="49"/>
  <c r="EM41" i="49"/>
  <c r="EL23" i="49"/>
  <c r="FI23" i="49"/>
  <c r="EB41" i="49"/>
  <c r="EY36" i="49"/>
  <c r="EY41" i="49" s="1"/>
  <c r="FM41" i="49"/>
  <c r="ES24" i="49"/>
  <c r="FP24" i="49"/>
  <c r="FL22" i="49"/>
  <c r="EO22" i="49"/>
  <c r="EX20" i="49"/>
  <c r="FU20" i="49"/>
  <c r="EX36" i="49"/>
  <c r="EX41" i="49" s="1"/>
  <c r="EA41" i="49"/>
  <c r="FT27" i="49"/>
  <c r="EW27" i="49"/>
  <c r="EK14" i="49"/>
  <c r="FH14" i="49"/>
  <c r="FA20" i="49"/>
  <c r="ED20" i="49"/>
  <c r="FU19" i="49"/>
  <c r="EX19" i="49"/>
  <c r="FI24" i="49"/>
  <c r="EL24" i="49"/>
  <c r="EO19" i="49"/>
  <c r="FL19" i="49"/>
  <c r="FU16" i="49"/>
  <c r="EX16" i="49"/>
  <c r="EL29" i="49"/>
  <c r="FI29" i="49"/>
  <c r="AM48" i="49"/>
  <c r="BJ48" i="49" s="1"/>
  <c r="CI48" i="49" s="1"/>
  <c r="AG57" i="48"/>
  <c r="FQ26" i="49"/>
  <c r="ET26" i="49"/>
  <c r="FG30" i="49"/>
  <c r="AW48" i="49"/>
  <c r="BT48" i="49" s="1"/>
  <c r="CS48" i="49" s="1"/>
  <c r="AQ57" i="48"/>
  <c r="ER27" i="49"/>
  <c r="FO27" i="49"/>
  <c r="EJ29" i="49"/>
  <c r="EU8" i="49"/>
  <c r="FR8" i="49"/>
  <c r="AY31" i="48"/>
  <c r="AD16" i="49" s="1"/>
  <c r="CB16" i="49" s="1"/>
  <c r="DA16" i="49" s="1"/>
  <c r="DX16" i="49" s="1"/>
  <c r="FA7" i="49"/>
  <c r="ED7" i="49"/>
  <c r="AV49" i="49"/>
  <c r="BS49" i="49" s="1"/>
  <c r="CR49" i="49" s="1"/>
  <c r="FI49" i="49" s="1"/>
  <c r="AP55" i="48"/>
  <c r="FQ25" i="49"/>
  <c r="ET25" i="49"/>
  <c r="EV30" i="49"/>
  <c r="FS30" i="49"/>
  <c r="FP42" i="52"/>
  <c r="DV42" i="52"/>
  <c r="EO42" i="52"/>
  <c r="FR25" i="52"/>
  <c r="EU25" i="52"/>
  <c r="EM12" i="52"/>
  <c r="FJ12" i="52"/>
  <c r="AN49" i="52"/>
  <c r="BK49" i="52" s="1"/>
  <c r="CJ49" i="52" s="1"/>
  <c r="FA49" i="52" s="1"/>
  <c r="AH55" i="51"/>
  <c r="BF49" i="52"/>
  <c r="CC49" i="52" s="1"/>
  <c r="DB49" i="52" s="1"/>
  <c r="FS49" i="52" s="1"/>
  <c r="FS50" i="52" s="1"/>
  <c r="AZ55" i="51"/>
  <c r="FL29" i="52"/>
  <c r="EO29" i="52"/>
  <c r="DU48" i="52"/>
  <c r="FO48" i="52"/>
  <c r="FF24" i="49"/>
  <c r="EI24" i="49"/>
  <c r="FA24" i="49"/>
  <c r="ED24" i="49"/>
  <c r="EG20" i="49"/>
  <c r="FD20" i="49"/>
  <c r="ER30" i="49"/>
  <c r="FO30" i="49"/>
  <c r="AO48" i="49"/>
  <c r="BL48" i="49" s="1"/>
  <c r="CK48" i="49" s="1"/>
  <c r="AI57" i="48"/>
  <c r="FN26" i="49"/>
  <c r="EQ26" i="49"/>
  <c r="ES29" i="49"/>
  <c r="FP29" i="49"/>
  <c r="FM44" i="52"/>
  <c r="DS44" i="52"/>
  <c r="EP44" i="52" s="1"/>
  <c r="EE18" i="52"/>
  <c r="FB18" i="52"/>
  <c r="AS48" i="52"/>
  <c r="BP48" i="52" s="1"/>
  <c r="CO48" i="52" s="1"/>
  <c r="AM57" i="51"/>
  <c r="ET25" i="52"/>
  <c r="FQ25" i="52"/>
  <c r="EP17" i="52"/>
  <c r="FM17" i="52"/>
  <c r="EO32" i="52"/>
  <c r="FL32" i="52"/>
  <c r="EK19" i="52"/>
  <c r="FH19" i="52"/>
  <c r="G13" i="54"/>
  <c r="FE44" i="52"/>
  <c r="DK44" i="52"/>
  <c r="EH44" i="52" s="1"/>
  <c r="DR40" i="52"/>
  <c r="FL40" i="52"/>
  <c r="FT43" i="52"/>
  <c r="DZ43" i="52"/>
  <c r="EZ42" i="52"/>
  <c r="DF42" i="52"/>
  <c r="FB39" i="52"/>
  <c r="DH39" i="52"/>
  <c r="DN39" i="52"/>
  <c r="EK39" i="52" s="1"/>
  <c r="FH39" i="52"/>
  <c r="FH41" i="52" s="1"/>
  <c r="DU47" i="52"/>
  <c r="ER42" i="52"/>
  <c r="ER47" i="52" s="1"/>
  <c r="DW37" i="52"/>
  <c r="ET37" i="52" s="1"/>
  <c r="FQ37" i="52"/>
  <c r="EF42" i="52"/>
  <c r="FI43" i="52"/>
  <c r="DO43" i="52"/>
  <c r="EL43" i="52" s="1"/>
  <c r="EN42" i="52"/>
  <c r="EA41" i="52"/>
  <c r="EX36" i="52"/>
  <c r="EX41" i="52" s="1"/>
  <c r="EZ41" i="52"/>
  <c r="FI41" i="52"/>
  <c r="FQ24" i="52"/>
  <c r="ET24" i="52"/>
  <c r="FA18" i="52"/>
  <c r="ED18" i="52"/>
  <c r="FC8" i="52"/>
  <c r="EF8" i="52"/>
  <c r="EF18" i="52"/>
  <c r="FC18" i="52"/>
  <c r="EX27" i="52"/>
  <c r="FU27" i="52"/>
  <c r="BH48" i="52"/>
  <c r="CE48" i="52" s="1"/>
  <c r="DD48" i="52" s="1"/>
  <c r="BB57" i="51"/>
  <c r="FF18" i="52"/>
  <c r="EI18" i="52"/>
  <c r="EW10" i="52"/>
  <c r="FT10" i="52"/>
  <c r="EW18" i="52"/>
  <c r="FT18" i="52"/>
  <c r="FP10" i="52"/>
  <c r="ES10" i="52"/>
  <c r="ES26" i="52"/>
  <c r="FP26" i="52"/>
  <c r="DV48" i="52"/>
  <c r="FP48" i="52"/>
  <c r="FT32" i="52"/>
  <c r="EW32" i="52"/>
  <c r="EG27" i="52"/>
  <c r="FD27" i="52"/>
  <c r="EC19" i="52"/>
  <c r="EZ19" i="52"/>
  <c r="AN21" i="51"/>
  <c r="S32" i="52" s="1"/>
  <c r="BQ32" i="52" s="1"/>
  <c r="CP32" i="52" s="1"/>
  <c r="DM32" i="52" s="1"/>
  <c r="FN28" i="52"/>
  <c r="EQ28" i="52"/>
  <c r="FI30" i="52"/>
  <c r="EL30" i="52"/>
  <c r="BD49" i="52"/>
  <c r="CA49" i="52" s="1"/>
  <c r="CZ49" i="52" s="1"/>
  <c r="FQ49" i="52" s="1"/>
  <c r="AX55" i="51"/>
  <c r="AY49" i="52"/>
  <c r="BV49" i="52" s="1"/>
  <c r="CU49" i="52" s="1"/>
  <c r="FL49" i="52" s="1"/>
  <c r="AS55" i="51"/>
  <c r="EM27" i="52"/>
  <c r="FJ27" i="52"/>
  <c r="AO15" i="51"/>
  <c r="T30" i="52" s="1"/>
  <c r="BR30" i="52" s="1"/>
  <c r="CQ30" i="52" s="1"/>
  <c r="DN30" i="52" s="1"/>
  <c r="DF48" i="52"/>
  <c r="EZ48" i="52"/>
  <c r="FQ30" i="52"/>
  <c r="ET30" i="52"/>
  <c r="EZ29" i="52"/>
  <c r="EC29" i="52"/>
  <c r="FV32" i="52"/>
  <c r="EY32" i="52"/>
  <c r="AM18" i="51"/>
  <c r="R31" i="52" s="1"/>
  <c r="BP31" i="52" s="1"/>
  <c r="CO31" i="52" s="1"/>
  <c r="DL31" i="52" s="1"/>
  <c r="AX18" i="51"/>
  <c r="AC31" i="52" s="1"/>
  <c r="CA31" i="52" s="1"/>
  <c r="CZ31" i="52" s="1"/>
  <c r="DW31" i="52" s="1"/>
  <c r="DS42" i="49"/>
  <c r="FM42" i="49"/>
  <c r="FM47" i="49" s="1"/>
  <c r="AN56" i="50"/>
  <c r="T10" i="53" s="1"/>
  <c r="AA14" i="54" s="1"/>
  <c r="AA8" i="54" s="1"/>
  <c r="EX19" i="52"/>
  <c r="FU19" i="52"/>
  <c r="FU43" i="49"/>
  <c r="EA43" i="49"/>
  <c r="EX43" i="49" s="1"/>
  <c r="AT56" i="50"/>
  <c r="Z10" i="53" s="1"/>
  <c r="AG14" i="54" s="1"/>
  <c r="DU41" i="49"/>
  <c r="ER36" i="49"/>
  <c r="ER41" i="49" s="1"/>
  <c r="EM28" i="52"/>
  <c r="FJ28" i="52"/>
  <c r="EL36" i="49"/>
  <c r="EL41" i="49" s="1"/>
  <c r="DO41" i="49"/>
  <c r="FP15" i="49"/>
  <c r="ES15" i="49"/>
  <c r="DF41" i="49"/>
  <c r="EC36" i="49"/>
  <c r="EC41" i="49" s="1"/>
  <c r="DP41" i="49"/>
  <c r="EN47" i="49"/>
  <c r="EH36" i="49"/>
  <c r="EH41" i="49" s="1"/>
  <c r="DK41" i="49"/>
  <c r="EK24" i="49"/>
  <c r="FH24" i="49"/>
  <c r="FU24" i="49"/>
  <c r="EX24" i="49"/>
  <c r="EH20" i="49"/>
  <c r="FE20" i="49"/>
  <c r="FU41" i="49"/>
  <c r="EM22" i="49"/>
  <c r="FJ22" i="49"/>
  <c r="FL27" i="49"/>
  <c r="EO27" i="49"/>
  <c r="EW20" i="49"/>
  <c r="FT20" i="49"/>
  <c r="EY14" i="49"/>
  <c r="FV14" i="49"/>
  <c r="FM19" i="49"/>
  <c r="EP19" i="49"/>
  <c r="EM24" i="49"/>
  <c r="FJ24" i="49"/>
  <c r="EX8" i="49"/>
  <c r="FU8" i="49"/>
  <c r="BB48" i="49"/>
  <c r="BY48" i="49" s="1"/>
  <c r="CX48" i="49" s="1"/>
  <c r="AV57" i="48"/>
  <c r="AT31" i="48"/>
  <c r="Y16" i="49" s="1"/>
  <c r="BW16" i="49" s="1"/>
  <c r="CV16" i="49" s="1"/>
  <c r="DS16" i="49" s="1"/>
  <c r="ED29" i="49"/>
  <c r="FA29" i="49"/>
  <c r="FT25" i="49"/>
  <c r="EW25" i="49"/>
  <c r="FV31" i="49"/>
  <c r="EY31" i="49"/>
  <c r="AK56" i="50"/>
  <c r="Q10" i="53" s="1"/>
  <c r="X14" i="54" s="1"/>
  <c r="X8" i="54" s="1"/>
  <c r="BE48" i="49"/>
  <c r="CB48" i="49" s="1"/>
  <c r="DA48" i="49" s="1"/>
  <c r="AY57" i="48"/>
  <c r="FP26" i="49"/>
  <c r="ES26" i="49"/>
  <c r="FJ8" i="49"/>
  <c r="EM8" i="49"/>
  <c r="FN27" i="49"/>
  <c r="EQ27" i="49"/>
  <c r="AQ31" i="48"/>
  <c r="V16" i="49" s="1"/>
  <c r="BT16" i="49" s="1"/>
  <c r="CS16" i="49" s="1"/>
  <c r="DP16" i="49" s="1"/>
  <c r="EY6" i="49"/>
  <c r="FV6" i="49"/>
  <c r="AQ49" i="49"/>
  <c r="BN49" i="49" s="1"/>
  <c r="CM49" i="49" s="1"/>
  <c r="FD49" i="49" s="1"/>
  <c r="FD50" i="49" s="1"/>
  <c r="AK55" i="48"/>
  <c r="FP19" i="49"/>
  <c r="ES19" i="49"/>
  <c r="EM18" i="52"/>
  <c r="FJ18" i="52"/>
  <c r="FR26" i="52"/>
  <c r="EU26" i="52"/>
  <c r="BA49" i="52"/>
  <c r="BX49" i="52" s="1"/>
  <c r="CW49" i="52" s="1"/>
  <c r="FN49" i="52" s="1"/>
  <c r="AU55" i="51"/>
  <c r="FO32" i="52"/>
  <c r="ER32" i="52"/>
  <c r="AK31" i="48"/>
  <c r="P16" i="49" s="1"/>
  <c r="BN16" i="49" s="1"/>
  <c r="CM16" i="49" s="1"/>
  <c r="DJ16" i="49" s="1"/>
  <c r="DZ40" i="52"/>
  <c r="FT40" i="52"/>
  <c r="FQ43" i="52"/>
  <c r="DW43" i="52"/>
  <c r="ET43" i="52" s="1"/>
  <c r="DO41" i="52"/>
  <c r="EL36" i="52"/>
  <c r="EL41" i="52" s="1"/>
  <c r="EL18" i="52"/>
  <c r="FI18" i="52"/>
  <c r="EF14" i="52"/>
  <c r="FC14" i="52"/>
  <c r="FB12" i="52"/>
  <c r="EE12" i="52"/>
  <c r="FI31" i="52"/>
  <c r="EL31" i="52"/>
  <c r="FF47" i="52"/>
  <c r="H13" i="54"/>
  <c r="EA43" i="52"/>
  <c r="EX43" i="52" s="1"/>
  <c r="FU43" i="52"/>
  <c r="FD40" i="52"/>
  <c r="DJ40" i="52"/>
  <c r="FL43" i="52"/>
  <c r="DR43" i="52"/>
  <c r="EO43" i="52" s="1"/>
  <c r="FP44" i="52"/>
  <c r="DV44" i="52"/>
  <c r="ES44" i="52" s="1"/>
  <c r="EZ39" i="52"/>
  <c r="DF39" i="52"/>
  <c r="EC39" i="52" s="1"/>
  <c r="FO47" i="52"/>
  <c r="EA47" i="52"/>
  <c r="EX42" i="52"/>
  <c r="EX47" i="52" s="1"/>
  <c r="FA43" i="52"/>
  <c r="DG43" i="52"/>
  <c r="ED43" i="52" s="1"/>
  <c r="FU41" i="52"/>
  <c r="DU41" i="52"/>
  <c r="ER36" i="52"/>
  <c r="ER41" i="52" s="1"/>
  <c r="FH24" i="52"/>
  <c r="EK24" i="52"/>
  <c r="DS41" i="52"/>
  <c r="EP36" i="52"/>
  <c r="FE17" i="52"/>
  <c r="EH17" i="52"/>
  <c r="AT48" i="52"/>
  <c r="BQ48" i="52" s="1"/>
  <c r="CP48" i="52" s="1"/>
  <c r="AN57" i="51"/>
  <c r="FP18" i="52"/>
  <c r="ES18" i="52"/>
  <c r="EP27" i="52"/>
  <c r="FM27" i="52"/>
  <c r="AZ48" i="52"/>
  <c r="BW48" i="52" s="1"/>
  <c r="CV48" i="52" s="1"/>
  <c r="AT57" i="51"/>
  <c r="FR17" i="52"/>
  <c r="EU17" i="52"/>
  <c r="FH10" i="52"/>
  <c r="EK10" i="52"/>
  <c r="EG18" i="52"/>
  <c r="FD18" i="52"/>
  <c r="ER25" i="52"/>
  <c r="FO25" i="52"/>
  <c r="ES27" i="52"/>
  <c r="FP27" i="52"/>
  <c r="AO21" i="51"/>
  <c r="T32" i="52" s="1"/>
  <c r="BR32" i="52" s="1"/>
  <c r="CQ32" i="52" s="1"/>
  <c r="DN32" i="52" s="1"/>
  <c r="BC31" i="51"/>
  <c r="AH16" i="52" s="1"/>
  <c r="CF16" i="52" s="1"/>
  <c r="DE16" i="52" s="1"/>
  <c r="EB16" i="52" s="1"/>
  <c r="AR31" i="51"/>
  <c r="W16" i="52" s="1"/>
  <c r="BU16" i="52" s="1"/>
  <c r="CT16" i="52" s="1"/>
  <c r="DQ16" i="52" s="1"/>
  <c r="AU12" i="51"/>
  <c r="Z29" i="52" s="1"/>
  <c r="BX29" i="52" s="1"/>
  <c r="CW29" i="52" s="1"/>
  <c r="DT29" i="52" s="1"/>
  <c r="BB12" i="51"/>
  <c r="AG29" i="52" s="1"/>
  <c r="CE29" i="52" s="1"/>
  <c r="DD29" i="52" s="1"/>
  <c r="EA29" i="52" s="1"/>
  <c r="AM9" i="51"/>
  <c r="R28" i="52" s="1"/>
  <c r="BP28" i="52" s="1"/>
  <c r="CO28" i="52" s="1"/>
  <c r="DL28" i="52" s="1"/>
  <c r="AO49" i="52"/>
  <c r="BL49" i="52" s="1"/>
  <c r="CK49" i="52" s="1"/>
  <c r="FB49" i="52" s="1"/>
  <c r="AI55" i="51"/>
  <c r="BG49" i="52"/>
  <c r="CD49" i="52" s="1"/>
  <c r="DC49" i="52" s="1"/>
  <c r="FT49" i="52" s="1"/>
  <c r="BA55" i="51"/>
  <c r="EE27" i="52"/>
  <c r="FB27" i="52"/>
  <c r="FV30" i="52"/>
  <c r="EY30" i="52"/>
  <c r="FI27" i="52"/>
  <c r="EL27" i="52"/>
  <c r="AN15" i="51"/>
  <c r="S30" i="52" s="1"/>
  <c r="BQ30" i="52" s="1"/>
  <c r="CP30" i="52" s="1"/>
  <c r="DM30" i="52" s="1"/>
  <c r="AT52" i="50"/>
  <c r="AT54" i="50" s="1"/>
  <c r="AP54" i="50"/>
  <c r="AR18" i="51"/>
  <c r="W31" i="52" s="1"/>
  <c r="BU31" i="52" s="1"/>
  <c r="CT31" i="52" s="1"/>
  <c r="DQ31" i="52" s="1"/>
  <c r="AY18" i="51"/>
  <c r="AD31" i="52" s="1"/>
  <c r="CB31" i="52" s="1"/>
  <c r="DA31" i="52" s="1"/>
  <c r="DX31" i="52" s="1"/>
  <c r="AK18" i="51"/>
  <c r="P31" i="52" s="1"/>
  <c r="BN31" i="52" s="1"/>
  <c r="CM31" i="52" s="1"/>
  <c r="DJ31" i="52" s="1"/>
  <c r="FE42" i="49"/>
  <c r="FE47" i="49" s="1"/>
  <c r="DK42" i="49"/>
  <c r="EO19" i="52"/>
  <c r="FL19" i="52"/>
  <c r="FF47" i="49"/>
  <c r="FV47" i="49"/>
  <c r="FK41" i="49"/>
  <c r="AU56" i="50"/>
  <c r="AA10" i="53" s="1"/>
  <c r="AH14" i="54" s="1"/>
  <c r="AL56" i="50"/>
  <c r="R10" i="53" s="1"/>
  <c r="Y14" i="54" s="1"/>
  <c r="Y8" i="54" s="1"/>
  <c r="DH41" i="49"/>
  <c r="EK42" i="49"/>
  <c r="EK47" i="49" s="1"/>
  <c r="DN47" i="49"/>
  <c r="EC42" i="49"/>
  <c r="EC47" i="49" s="1"/>
  <c r="DF47" i="49"/>
  <c r="ED36" i="49"/>
  <c r="ED41" i="49" s="1"/>
  <c r="DG41" i="49"/>
  <c r="EK15" i="49"/>
  <c r="FH15" i="49"/>
  <c r="DQ47" i="49"/>
  <c r="DL41" i="49"/>
  <c r="EI36" i="49"/>
  <c r="EI41" i="49" s="1"/>
  <c r="FE41" i="49"/>
  <c r="EC24" i="49"/>
  <c r="EZ24" i="49"/>
  <c r="ES22" i="49"/>
  <c r="FP22" i="49"/>
  <c r="EP24" i="49"/>
  <c r="FM24" i="49"/>
  <c r="FT41" i="49"/>
  <c r="FM22" i="49"/>
  <c r="EP22" i="49"/>
  <c r="FS26" i="49"/>
  <c r="EV26" i="49"/>
  <c r="FK20" i="49"/>
  <c r="EN20" i="49"/>
  <c r="EX22" i="49"/>
  <c r="FU22" i="49"/>
  <c r="EW15" i="49"/>
  <c r="FT15" i="49"/>
  <c r="AN31" i="48"/>
  <c r="S16" i="49" s="1"/>
  <c r="BQ16" i="49" s="1"/>
  <c r="CP16" i="49" s="1"/>
  <c r="DM16" i="49" s="1"/>
  <c r="EU24" i="49"/>
  <c r="FR24" i="49"/>
  <c r="EP8" i="49"/>
  <c r="FM8" i="49"/>
  <c r="AN48" i="49"/>
  <c r="BK48" i="49" s="1"/>
  <c r="CJ48" i="49" s="1"/>
  <c r="AH57" i="48"/>
  <c r="AL31" i="48"/>
  <c r="Q16" i="49" s="1"/>
  <c r="BO16" i="49" s="1"/>
  <c r="CN16" i="49" s="1"/>
  <c r="DK16" i="49" s="1"/>
  <c r="AN18" i="48"/>
  <c r="S31" i="49" s="1"/>
  <c r="BQ31" i="49" s="1"/>
  <c r="CP31" i="49" s="1"/>
  <c r="DM31" i="49" s="1"/>
  <c r="FI8" i="49"/>
  <c r="EL8" i="49"/>
  <c r="EO25" i="49"/>
  <c r="FL25" i="49"/>
  <c r="AU18" i="48"/>
  <c r="Z31" i="49" s="1"/>
  <c r="BX31" i="49" s="1"/>
  <c r="CW31" i="49" s="1"/>
  <c r="DT31" i="49" s="1"/>
  <c r="AR48" i="49"/>
  <c r="BO48" i="49" s="1"/>
  <c r="CN48" i="49" s="1"/>
  <c r="AL57" i="48"/>
  <c r="FF26" i="49"/>
  <c r="EI26" i="49"/>
  <c r="AU15" i="48"/>
  <c r="Z30" i="49" s="1"/>
  <c r="BX30" i="49" s="1"/>
  <c r="CW30" i="49" s="1"/>
  <c r="DT30" i="49" s="1"/>
  <c r="FB8" i="49"/>
  <c r="EE8" i="49"/>
  <c r="ER26" i="49"/>
  <c r="FO26" i="49"/>
  <c r="AI31" i="48"/>
  <c r="N16" i="49" s="1"/>
  <c r="BL16" i="49" s="1"/>
  <c r="CK16" i="49" s="1"/>
  <c r="DH16" i="49" s="1"/>
  <c r="EX30" i="49"/>
  <c r="FU30" i="49"/>
  <c r="AM12" i="48"/>
  <c r="R29" i="49" s="1"/>
  <c r="BP29" i="49" s="1"/>
  <c r="CO29" i="49" s="1"/>
  <c r="DL29" i="49" s="1"/>
  <c r="EQ6" i="49"/>
  <c r="FN6" i="49"/>
  <c r="AY49" i="49"/>
  <c r="BV49" i="49" s="1"/>
  <c r="CU49" i="49" s="1"/>
  <c r="FL49" i="49" s="1"/>
  <c r="AS55" i="48"/>
  <c r="AX31" i="48"/>
  <c r="AC16" i="49" s="1"/>
  <c r="CA16" i="49" s="1"/>
  <c r="CZ16" i="49" s="1"/>
  <c r="DW16" i="49" s="1"/>
  <c r="AI21" i="48"/>
  <c r="N32" i="49" s="1"/>
  <c r="BL32" i="49" s="1"/>
  <c r="CK32" i="49" s="1"/>
  <c r="DH32" i="49" s="1"/>
  <c r="BB12" i="48"/>
  <c r="AG29" i="49" s="1"/>
  <c r="CE29" i="49" s="1"/>
  <c r="DD29" i="49" s="1"/>
  <c r="EA29" i="49" s="1"/>
  <c r="EX28" i="49"/>
  <c r="FU28" i="49"/>
  <c r="FD39" i="52"/>
  <c r="DJ39" i="52"/>
  <c r="EG39" i="52" s="1"/>
  <c r="FB19" i="52"/>
  <c r="EE19" i="52"/>
  <c r="EH32" i="52"/>
  <c r="FE32" i="52"/>
  <c r="FC31" i="52"/>
  <c r="EF31" i="52"/>
  <c r="ER19" i="52"/>
  <c r="FO19" i="52"/>
  <c r="EO26" i="49"/>
  <c r="FL26" i="49"/>
  <c r="AY48" i="49"/>
  <c r="BV48" i="49" s="1"/>
  <c r="CU48" i="49" s="1"/>
  <c r="AS57" i="48"/>
  <c r="EC36" i="52"/>
  <c r="EC41" i="52" s="1"/>
  <c r="DF41" i="52"/>
  <c r="EN8" i="52"/>
  <c r="FK8" i="52"/>
  <c r="FQ27" i="52"/>
  <c r="ET27" i="52"/>
  <c r="J26" i="53"/>
  <c r="J27" i="53"/>
  <c r="DS43" i="52"/>
  <c r="EP43" i="52" s="1"/>
  <c r="FM43" i="52"/>
  <c r="FM47" i="52" s="1"/>
  <c r="FV37" i="52"/>
  <c r="FV41" i="52" s="1"/>
  <c r="EB37" i="52"/>
  <c r="FD43" i="52"/>
  <c r="DJ43" i="52"/>
  <c r="EG43" i="52" s="1"/>
  <c r="FH44" i="52"/>
  <c r="DN44" i="52"/>
  <c r="EK44" i="52" s="1"/>
  <c r="DZ38" i="52"/>
  <c r="EW38" i="52" s="1"/>
  <c r="FT38" i="52"/>
  <c r="FU47" i="52"/>
  <c r="DZ37" i="52"/>
  <c r="FT37" i="52"/>
  <c r="FT41" i="52" s="1"/>
  <c r="EH36" i="52"/>
  <c r="ED36" i="52"/>
  <c r="FO41" i="52"/>
  <c r="EU20" i="52"/>
  <c r="FR20" i="52"/>
  <c r="ET20" i="52"/>
  <c r="FQ20" i="52"/>
  <c r="FA17" i="52"/>
  <c r="ED17" i="52"/>
  <c r="FN27" i="52"/>
  <c r="EQ27" i="52"/>
  <c r="EK18" i="52"/>
  <c r="FH18" i="52"/>
  <c r="FR8" i="52"/>
  <c r="EU8" i="52"/>
  <c r="EO26" i="52"/>
  <c r="FL26" i="52"/>
  <c r="AR48" i="52"/>
  <c r="BO48" i="52" s="1"/>
  <c r="CN48" i="52" s="1"/>
  <c r="AL57" i="51"/>
  <c r="BB15" i="51"/>
  <c r="AG30" i="52" s="1"/>
  <c r="CE30" i="52" s="1"/>
  <c r="DD30" i="52" s="1"/>
  <c r="EA30" i="52" s="1"/>
  <c r="EY17" i="52"/>
  <c r="FV17" i="52"/>
  <c r="BG48" i="52"/>
  <c r="CD48" i="52" s="1"/>
  <c r="DC48" i="52" s="1"/>
  <c r="BA57" i="51"/>
  <c r="EM17" i="52"/>
  <c r="FJ17" i="52"/>
  <c r="EU27" i="52"/>
  <c r="FR27" i="52"/>
  <c r="FF27" i="52"/>
  <c r="EI27" i="52"/>
  <c r="FP32" i="52"/>
  <c r="ES32" i="52"/>
  <c r="EE30" i="52"/>
  <c r="FB30" i="52"/>
  <c r="AP31" i="51"/>
  <c r="U16" i="52" s="1"/>
  <c r="BS16" i="52" s="1"/>
  <c r="CR16" i="52" s="1"/>
  <c r="DO16" i="52" s="1"/>
  <c r="FS16" i="52"/>
  <c r="EV16" i="52"/>
  <c r="AM12" i="51"/>
  <c r="R29" i="52" s="1"/>
  <c r="BP29" i="52" s="1"/>
  <c r="CO29" i="52" s="1"/>
  <c r="DL29" i="52" s="1"/>
  <c r="AT12" i="51"/>
  <c r="Y29" i="52" s="1"/>
  <c r="BW29" i="52" s="1"/>
  <c r="CV29" i="52" s="1"/>
  <c r="DS29" i="52" s="1"/>
  <c r="DS35" i="52" s="1"/>
  <c r="AT49" i="52"/>
  <c r="BQ49" i="52" s="1"/>
  <c r="CP49" i="52" s="1"/>
  <c r="FG49" i="52" s="1"/>
  <c r="AN55" i="51"/>
  <c r="AW49" i="52"/>
  <c r="BT49" i="52" s="1"/>
  <c r="CS49" i="52" s="1"/>
  <c r="FJ49" i="52" s="1"/>
  <c r="AQ55" i="51"/>
  <c r="AR49" i="52"/>
  <c r="BO49" i="52" s="1"/>
  <c r="CN49" i="52" s="1"/>
  <c r="FE49" i="52" s="1"/>
  <c r="AL55" i="51"/>
  <c r="FA27" i="52"/>
  <c r="ED27" i="52"/>
  <c r="FM19" i="52"/>
  <c r="EP19" i="52"/>
  <c r="AG18" i="51"/>
  <c r="L31" i="52" s="1"/>
  <c r="BJ31" i="52" s="1"/>
  <c r="CI31" i="52" s="1"/>
  <c r="DF31" i="52" s="1"/>
  <c r="FG31" i="52"/>
  <c r="EJ31" i="52"/>
  <c r="AS18" i="51"/>
  <c r="X31" i="52" s="1"/>
  <c r="BV31" i="52" s="1"/>
  <c r="CU31" i="52" s="1"/>
  <c r="DR31" i="52" s="1"/>
  <c r="AM51" i="50"/>
  <c r="FN19" i="52"/>
  <c r="EQ19" i="52"/>
  <c r="DL47" i="49"/>
  <c r="EI42" i="49"/>
  <c r="EI47" i="49" s="1"/>
  <c r="DX47" i="49"/>
  <c r="EU42" i="49"/>
  <c r="EU47" i="49" s="1"/>
  <c r="DX41" i="49"/>
  <c r="EU36" i="49"/>
  <c r="EU41" i="49" s="1"/>
  <c r="EL42" i="49"/>
  <c r="FA41" i="49"/>
  <c r="FV22" i="49"/>
  <c r="EY22" i="49"/>
  <c r="EC15" i="49"/>
  <c r="EZ15" i="49"/>
  <c r="EK22" i="49"/>
  <c r="FH22" i="49"/>
  <c r="EH24" i="49"/>
  <c r="FE24" i="49"/>
  <c r="EV17" i="49"/>
  <c r="FS17" i="49"/>
  <c r="EW36" i="49"/>
  <c r="EW41" i="49" s="1"/>
  <c r="DZ41" i="49"/>
  <c r="EH22" i="49"/>
  <c r="FE22" i="49"/>
  <c r="FE15" i="49"/>
  <c r="EH15" i="49"/>
  <c r="EG15" i="49"/>
  <c r="FD15" i="49"/>
  <c r="EL27" i="49"/>
  <c r="FI27" i="49"/>
  <c r="FU26" i="49"/>
  <c r="EX26" i="49"/>
  <c r="FO32" i="49"/>
  <c r="ER32" i="49"/>
  <c r="FS24" i="49"/>
  <c r="EV24" i="49"/>
  <c r="EH8" i="49"/>
  <c r="FE8" i="49"/>
  <c r="EW8" i="49"/>
  <c r="FT8" i="49"/>
  <c r="EV19" i="49"/>
  <c r="FS19" i="49"/>
  <c r="BB21" i="48"/>
  <c r="AG32" i="49" s="1"/>
  <c r="CE32" i="49" s="1"/>
  <c r="DD32" i="49" s="1"/>
  <c r="EA32" i="49" s="1"/>
  <c r="AM18" i="48"/>
  <c r="R31" i="49" s="1"/>
  <c r="BP31" i="49" s="1"/>
  <c r="CO31" i="49" s="1"/>
  <c r="DL31" i="49" s="1"/>
  <c r="AO12" i="48"/>
  <c r="T29" i="49" s="1"/>
  <c r="BR29" i="49" s="1"/>
  <c r="CQ29" i="49" s="1"/>
  <c r="DN29" i="49" s="1"/>
  <c r="DY48" i="49"/>
  <c r="FS48" i="49"/>
  <c r="FS8" i="49"/>
  <c r="EV8" i="49"/>
  <c r="AZ48" i="49"/>
  <c r="BW48" i="49" s="1"/>
  <c r="CV48" i="49" s="1"/>
  <c r="AT57" i="48"/>
  <c r="EW26" i="49"/>
  <c r="FT26" i="49"/>
  <c r="BA21" i="48"/>
  <c r="AF32" i="49" s="1"/>
  <c r="CD32" i="49" s="1"/>
  <c r="DC32" i="49" s="1"/>
  <c r="DZ32" i="49" s="1"/>
  <c r="AM15" i="48"/>
  <c r="R30" i="49" s="1"/>
  <c r="BP30" i="49" s="1"/>
  <c r="CO30" i="49" s="1"/>
  <c r="DL30" i="49" s="1"/>
  <c r="FE7" i="49"/>
  <c r="EH7" i="49"/>
  <c r="FE26" i="49"/>
  <c r="EH26" i="49"/>
  <c r="EP30" i="49"/>
  <c r="FM30" i="49"/>
  <c r="EW10" i="49"/>
  <c r="FT10" i="49"/>
  <c r="EI6" i="49"/>
  <c r="FF6" i="49"/>
  <c r="BG49" i="49"/>
  <c r="CD49" i="49" s="1"/>
  <c r="DC49" i="49" s="1"/>
  <c r="FT49" i="49" s="1"/>
  <c r="BA55" i="48"/>
  <c r="AP31" i="48"/>
  <c r="U16" i="49" s="1"/>
  <c r="BS16" i="49" s="1"/>
  <c r="CR16" i="49" s="1"/>
  <c r="DO16" i="49" s="1"/>
  <c r="AT12" i="48"/>
  <c r="Y29" i="49" s="1"/>
  <c r="BW29" i="49" s="1"/>
  <c r="CV29" i="49" s="1"/>
  <c r="DS29" i="49" s="1"/>
  <c r="AM54" i="50"/>
  <c r="AQ52" i="50"/>
  <c r="DO48" i="49"/>
  <c r="FI48" i="49"/>
  <c r="DX39" i="52"/>
  <c r="EU39" i="52" s="1"/>
  <c r="FR39" i="52"/>
  <c r="FS37" i="52"/>
  <c r="DY37" i="52"/>
  <c r="EV37" i="52" s="1"/>
  <c r="FC43" i="52"/>
  <c r="FC47" i="52" s="1"/>
  <c r="DI43" i="52"/>
  <c r="EF43" i="52" s="1"/>
  <c r="EV17" i="52"/>
  <c r="FS17" i="52"/>
  <c r="AO48" i="52"/>
  <c r="BL48" i="52" s="1"/>
  <c r="CK48" i="52" s="1"/>
  <c r="AI57" i="51"/>
  <c r="FD32" i="52"/>
  <c r="EG32" i="52"/>
  <c r="FJ29" i="52"/>
  <c r="EM29" i="52"/>
  <c r="ER29" i="52"/>
  <c r="FO29" i="52"/>
  <c r="AG51" i="50"/>
  <c r="EK20" i="49"/>
  <c r="FH20" i="49"/>
  <c r="FC24" i="49"/>
  <c r="EF24" i="49"/>
  <c r="EG24" i="49"/>
  <c r="FD24" i="49"/>
  <c r="DT44" i="52"/>
  <c r="EQ44" i="52" s="1"/>
  <c r="FN44" i="52"/>
  <c r="DM47" i="52"/>
  <c r="EJ42" i="52"/>
  <c r="EJ47" i="52" s="1"/>
  <c r="DK43" i="52"/>
  <c r="EH43" i="52" s="1"/>
  <c r="FE43" i="52"/>
  <c r="FE47" i="52" s="1"/>
  <c r="FN37" i="52"/>
  <c r="FN41" i="52" s="1"/>
  <c r="DT37" i="52"/>
  <c r="EQ37" i="52" s="1"/>
  <c r="DW42" i="52"/>
  <c r="FQ42" i="52"/>
  <c r="FQ47" i="52" s="1"/>
  <c r="DX44" i="52"/>
  <c r="EU44" i="52" s="1"/>
  <c r="FR44" i="52"/>
  <c r="EZ44" i="52"/>
  <c r="DF44" i="52"/>
  <c r="EC44" i="52" s="1"/>
  <c r="DR38" i="52"/>
  <c r="EO38" i="52" s="1"/>
  <c r="FL38" i="52"/>
  <c r="EB43" i="52"/>
  <c r="FV43" i="52"/>
  <c r="EQ36" i="52"/>
  <c r="EP42" i="52"/>
  <c r="DQ44" i="52"/>
  <c r="EN44" i="52" s="1"/>
  <c r="FK44" i="52"/>
  <c r="EQ42" i="52"/>
  <c r="EM36" i="52"/>
  <c r="DH43" i="52"/>
  <c r="EE43" i="52" s="1"/>
  <c r="FB43" i="52"/>
  <c r="FR24" i="52"/>
  <c r="EU24" i="52"/>
  <c r="FJ20" i="52"/>
  <c r="EM20" i="52"/>
  <c r="EL20" i="52"/>
  <c r="FI20" i="52"/>
  <c r="EP26" i="52"/>
  <c r="FM26" i="52"/>
  <c r="EZ18" i="52"/>
  <c r="EC18" i="52"/>
  <c r="FJ8" i="52"/>
  <c r="EM8" i="52"/>
  <c r="EV25" i="52"/>
  <c r="FS25" i="52"/>
  <c r="EW27" i="52"/>
  <c r="FT27" i="52"/>
  <c r="EP30" i="52"/>
  <c r="FM30" i="52"/>
  <c r="EQ17" i="52"/>
  <c r="FN17" i="52"/>
  <c r="AY48" i="52"/>
  <c r="BV48" i="52" s="1"/>
  <c r="CU48" i="52" s="1"/>
  <c r="AS57" i="51"/>
  <c r="FQ26" i="52"/>
  <c r="ET26" i="52"/>
  <c r="FT17" i="52"/>
  <c r="EW17" i="52"/>
  <c r="AJ21" i="51"/>
  <c r="O32" i="52" s="1"/>
  <c r="BM32" i="52" s="1"/>
  <c r="CL32" i="52" s="1"/>
  <c r="DI32" i="52" s="1"/>
  <c r="EL19" i="52"/>
  <c r="FI19" i="52"/>
  <c r="AN31" i="51"/>
  <c r="S16" i="52" s="1"/>
  <c r="BQ16" i="52" s="1"/>
  <c r="CP16" i="52" s="1"/>
  <c r="DM16" i="52" s="1"/>
  <c r="BA15" i="51"/>
  <c r="AF30" i="52" s="1"/>
  <c r="CD30" i="52" s="1"/>
  <c r="DC30" i="52" s="1"/>
  <c r="DZ30" i="52" s="1"/>
  <c r="AL12" i="51"/>
  <c r="Q29" i="52" s="1"/>
  <c r="BO29" i="52" s="1"/>
  <c r="CN29" i="52" s="1"/>
  <c r="DK29" i="52" s="1"/>
  <c r="EN27" i="52"/>
  <c r="FK27" i="52"/>
  <c r="AM49" i="52"/>
  <c r="BJ49" i="52" s="1"/>
  <c r="CI49" i="52" s="1"/>
  <c r="EZ49" i="52" s="1"/>
  <c r="AG55" i="51"/>
  <c r="BE49" i="52"/>
  <c r="CB49" i="52" s="1"/>
  <c r="DA49" i="52" s="1"/>
  <c r="FR49" i="52" s="1"/>
  <c r="AY55" i="51"/>
  <c r="AZ49" i="52"/>
  <c r="BW49" i="52" s="1"/>
  <c r="CV49" i="52" s="1"/>
  <c r="FM49" i="52" s="1"/>
  <c r="AT55" i="51"/>
  <c r="DV35" i="52"/>
  <c r="AU18" i="51"/>
  <c r="Z31" i="52" s="1"/>
  <c r="BX31" i="52" s="1"/>
  <c r="CW31" i="52" s="1"/>
  <c r="DT31" i="52" s="1"/>
  <c r="AZ18" i="51"/>
  <c r="AE31" i="52" s="1"/>
  <c r="CC31" i="52" s="1"/>
  <c r="DB31" i="52" s="1"/>
  <c r="DY31" i="52" s="1"/>
  <c r="BA18" i="51"/>
  <c r="AF31" i="52" s="1"/>
  <c r="CD31" i="52" s="1"/>
  <c r="DC31" i="52" s="1"/>
  <c r="DZ31" i="52" s="1"/>
  <c r="EY19" i="52"/>
  <c r="FV19" i="52"/>
  <c r="FT42" i="49"/>
  <c r="FT47" i="49" s="1"/>
  <c r="DZ42" i="49"/>
  <c r="EV42" i="49"/>
  <c r="EV47" i="49" s="1"/>
  <c r="DY47" i="49"/>
  <c r="DY53" i="49" s="1"/>
  <c r="EV53" i="49" s="1"/>
  <c r="ED42" i="49"/>
  <c r="FQ41" i="49"/>
  <c r="FN22" i="49"/>
  <c r="EQ22" i="49"/>
  <c r="FH41" i="49"/>
  <c r="EC22" i="49"/>
  <c r="EZ22" i="49"/>
  <c r="EN17" i="49"/>
  <c r="FK17" i="49"/>
  <c r="FS22" i="49"/>
  <c r="EV22" i="49"/>
  <c r="EU15" i="49"/>
  <c r="FR15" i="49"/>
  <c r="FQ15" i="49"/>
  <c r="ET15" i="49"/>
  <c r="EM26" i="49"/>
  <c r="FJ26" i="49"/>
  <c r="EK32" i="49"/>
  <c r="FH32" i="49"/>
  <c r="AN21" i="48"/>
  <c r="S32" i="49" s="1"/>
  <c r="BQ32" i="49" s="1"/>
  <c r="CP32" i="49" s="1"/>
  <c r="DM32" i="49" s="1"/>
  <c r="FT24" i="49"/>
  <c r="EW24" i="49"/>
  <c r="FR6" i="49"/>
  <c r="EU6" i="49"/>
  <c r="ET27" i="49"/>
  <c r="FQ27" i="49"/>
  <c r="EK30" i="49"/>
  <c r="FH30" i="49"/>
  <c r="EO8" i="49"/>
  <c r="FL8" i="49"/>
  <c r="AT21" i="48"/>
  <c r="Y32" i="49" s="1"/>
  <c r="BW32" i="49" s="1"/>
  <c r="CV32" i="49" s="1"/>
  <c r="DS32" i="49" s="1"/>
  <c r="AG12" i="48"/>
  <c r="L29" i="49" s="1"/>
  <c r="BJ29" i="49" s="1"/>
  <c r="CI29" i="49" s="1"/>
  <c r="DF29" i="49" s="1"/>
  <c r="FK8" i="49"/>
  <c r="EN8" i="49"/>
  <c r="BH48" i="49"/>
  <c r="CE48" i="49" s="1"/>
  <c r="DD48" i="49" s="1"/>
  <c r="BB57" i="48"/>
  <c r="EG26" i="49"/>
  <c r="FD26" i="49"/>
  <c r="AS21" i="48"/>
  <c r="X32" i="49" s="1"/>
  <c r="BV32" i="49" s="1"/>
  <c r="CU32" i="49" s="1"/>
  <c r="DR32" i="49" s="1"/>
  <c r="DM48" i="49"/>
  <c r="FG48" i="49"/>
  <c r="FG50" i="49" s="1"/>
  <c r="EX10" i="49"/>
  <c r="FU10" i="49"/>
  <c r="EU7" i="49"/>
  <c r="FR7" i="49"/>
  <c r="FK26" i="49"/>
  <c r="EN26" i="49"/>
  <c r="BA18" i="48"/>
  <c r="AF31" i="49" s="1"/>
  <c r="CD31" i="49" s="1"/>
  <c r="DC31" i="49" s="1"/>
  <c r="DZ31" i="49" s="1"/>
  <c r="EH30" i="49"/>
  <c r="FE30" i="49"/>
  <c r="EO10" i="49"/>
  <c r="FL10" i="49"/>
  <c r="BG48" i="49"/>
  <c r="CD48" i="49" s="1"/>
  <c r="DC48" i="49" s="1"/>
  <c r="BA57" i="48"/>
  <c r="AR49" i="49"/>
  <c r="BO49" i="49" s="1"/>
  <c r="CN49" i="49" s="1"/>
  <c r="FE49" i="49" s="1"/>
  <c r="AL55" i="48"/>
  <c r="AH31" i="48"/>
  <c r="M16" i="49" s="1"/>
  <c r="BK16" i="49" s="1"/>
  <c r="CJ16" i="49" s="1"/>
  <c r="DG16" i="49" s="1"/>
  <c r="BA15" i="48"/>
  <c r="AF30" i="49" s="1"/>
  <c r="CD30" i="49" s="1"/>
  <c r="DC30" i="49" s="1"/>
  <c r="DZ30" i="49" s="1"/>
  <c r="AL12" i="48"/>
  <c r="Q29" i="49" s="1"/>
  <c r="BO29" i="49" s="1"/>
  <c r="CN29" i="49" s="1"/>
  <c r="DK29" i="49" s="1"/>
  <c r="DH42" i="52"/>
  <c r="FB42" i="52"/>
  <c r="EI36" i="52"/>
  <c r="EI41" i="52" s="1"/>
  <c r="FS41" i="52"/>
  <c r="EM16" i="52"/>
  <c r="FJ16" i="52"/>
  <c r="FD27" i="49"/>
  <c r="EG27" i="49"/>
  <c r="EL7" i="49"/>
  <c r="FI7" i="49"/>
  <c r="BF49" i="49"/>
  <c r="CC49" i="49" s="1"/>
  <c r="DB49" i="49" s="1"/>
  <c r="FS49" i="49" s="1"/>
  <c r="AZ55" i="48"/>
  <c r="EE31" i="49"/>
  <c r="FD44" i="52"/>
  <c r="DJ44" i="52"/>
  <c r="EG44" i="52" s="1"/>
  <c r="DN42" i="52"/>
  <c r="FH42" i="52"/>
  <c r="DK37" i="52"/>
  <c r="EH37" i="52" s="1"/>
  <c r="FE37" i="52"/>
  <c r="FE41" i="52" s="1"/>
  <c r="FS43" i="52"/>
  <c r="DY43" i="52"/>
  <c r="EV43" i="52" s="1"/>
  <c r="EM32" i="52"/>
  <c r="FJ32" i="52"/>
  <c r="DX42" i="52"/>
  <c r="FR42" i="52"/>
  <c r="DL37" i="52"/>
  <c r="EI37" i="52" s="1"/>
  <c r="FF37" i="52"/>
  <c r="FF41" i="52" s="1"/>
  <c r="DO42" i="52"/>
  <c r="FI42" i="52"/>
  <c r="FI47" i="52" s="1"/>
  <c r="DP44" i="52"/>
  <c r="EM44" i="52" s="1"/>
  <c r="FJ44" i="52"/>
  <c r="FP43" i="52"/>
  <c r="DV43" i="52"/>
  <c r="ES43" i="52" s="1"/>
  <c r="FD38" i="52"/>
  <c r="DJ38" i="52"/>
  <c r="EG38" i="52" s="1"/>
  <c r="DT43" i="52"/>
  <c r="EQ43" i="52" s="1"/>
  <c r="FN43" i="52"/>
  <c r="FN47" i="52" s="1"/>
  <c r="FR41" i="52"/>
  <c r="FC39" i="52"/>
  <c r="DI39" i="52"/>
  <c r="EF39" i="52" s="1"/>
  <c r="EF41" i="52" s="1"/>
  <c r="EG42" i="52"/>
  <c r="FM37" i="52"/>
  <c r="FM41" i="52" s="1"/>
  <c r="DS37" i="52"/>
  <c r="EP37" i="52" s="1"/>
  <c r="FJ43" i="52"/>
  <c r="DP43" i="52"/>
  <c r="EM43" i="52" s="1"/>
  <c r="FK43" i="52"/>
  <c r="DQ43" i="52"/>
  <c r="EN43" i="52" s="1"/>
  <c r="EM24" i="52"/>
  <c r="FJ24" i="52"/>
  <c r="FP24" i="52"/>
  <c r="ES24" i="52"/>
  <c r="FB20" i="52"/>
  <c r="EE20" i="52"/>
  <c r="FA20" i="52"/>
  <c r="ED20" i="52"/>
  <c r="FL25" i="52"/>
  <c r="EO25" i="52"/>
  <c r="EX17" i="52"/>
  <c r="FU17" i="52"/>
  <c r="FB8" i="52"/>
  <c r="EE8" i="52"/>
  <c r="EO27" i="52"/>
  <c r="FL27" i="52"/>
  <c r="EI17" i="52"/>
  <c r="FF17" i="52"/>
  <c r="AQ48" i="52"/>
  <c r="BN48" i="52" s="1"/>
  <c r="CM48" i="52" s="1"/>
  <c r="AK57" i="51"/>
  <c r="FU18" i="52"/>
  <c r="EX18" i="52"/>
  <c r="FQ10" i="52"/>
  <c r="ET10" i="52"/>
  <c r="EO17" i="52"/>
  <c r="FL17" i="52"/>
  <c r="FN12" i="52"/>
  <c r="EQ12" i="52"/>
  <c r="BE48" i="52"/>
  <c r="CB48" i="52" s="1"/>
  <c r="DA48" i="52" s="1"/>
  <c r="AY57" i="51"/>
  <c r="ER26" i="52"/>
  <c r="FO26" i="52"/>
  <c r="FK32" i="52"/>
  <c r="EN32" i="52"/>
  <c r="EH27" i="52"/>
  <c r="FE27" i="52"/>
  <c r="ED19" i="52"/>
  <c r="FA19" i="52"/>
  <c r="FO16" i="52"/>
  <c r="ER16" i="52"/>
  <c r="AP21" i="51"/>
  <c r="U32" i="52" s="1"/>
  <c r="BS32" i="52" s="1"/>
  <c r="CR32" i="52" s="1"/>
  <c r="DO32" i="52" s="1"/>
  <c r="EM30" i="52"/>
  <c r="FJ30" i="52"/>
  <c r="EF27" i="52"/>
  <c r="FC27" i="52"/>
  <c r="AU49" i="52"/>
  <c r="BR49" i="52" s="1"/>
  <c r="CQ49" i="52" s="1"/>
  <c r="FH49" i="52" s="1"/>
  <c r="AO55" i="51"/>
  <c r="AP49" i="52"/>
  <c r="BM49" i="52" s="1"/>
  <c r="CL49" i="52" s="1"/>
  <c r="FC49" i="52" s="1"/>
  <c r="FC50" i="52" s="1"/>
  <c r="AJ55" i="51"/>
  <c r="BH49" i="52"/>
  <c r="CE49" i="52" s="1"/>
  <c r="DD49" i="52" s="1"/>
  <c r="FU49" i="52" s="1"/>
  <c r="BB55" i="51"/>
  <c r="DP35" i="52"/>
  <c r="EP32" i="52"/>
  <c r="FM32" i="52"/>
  <c r="EE31" i="52"/>
  <c r="FB31" i="52"/>
  <c r="AO18" i="51"/>
  <c r="T31" i="52" s="1"/>
  <c r="BR31" i="52" s="1"/>
  <c r="CQ31" i="52" s="1"/>
  <c r="DN31" i="52" s="1"/>
  <c r="AL18" i="51"/>
  <c r="Q31" i="52" s="1"/>
  <c r="BO31" i="52" s="1"/>
  <c r="CN31" i="52" s="1"/>
  <c r="DK31" i="52" s="1"/>
  <c r="DW43" i="49"/>
  <c r="FQ43" i="49"/>
  <c r="FQ47" i="49" s="1"/>
  <c r="ES19" i="52"/>
  <c r="FP19" i="52"/>
  <c r="ES42" i="49"/>
  <c r="FL47" i="49"/>
  <c r="DR41" i="49"/>
  <c r="EF42" i="49"/>
  <c r="EF47" i="49" s="1"/>
  <c r="DI47" i="49"/>
  <c r="FF22" i="49"/>
  <c r="EI22" i="49"/>
  <c r="EK36" i="49"/>
  <c r="EK41" i="49" s="1"/>
  <c r="DN41" i="49"/>
  <c r="FP41" i="49"/>
  <c r="FV24" i="49"/>
  <c r="EY24" i="49"/>
  <c r="EF17" i="49"/>
  <c r="FC17" i="49"/>
  <c r="EG36" i="49"/>
  <c r="EG41" i="49" s="1"/>
  <c r="DJ41" i="49"/>
  <c r="FC22" i="49"/>
  <c r="EF22" i="49"/>
  <c r="EM15" i="49"/>
  <c r="FJ15" i="49"/>
  <c r="FA15" i="49"/>
  <c r="ED15" i="49"/>
  <c r="EQ19" i="49"/>
  <c r="FN19" i="49"/>
  <c r="EZ32" i="49"/>
  <c r="EC32" i="49"/>
  <c r="BC31" i="48"/>
  <c r="AH16" i="49" s="1"/>
  <c r="CF16" i="49" s="1"/>
  <c r="DE16" i="49" s="1"/>
  <c r="EB16" i="49" s="1"/>
  <c r="EE24" i="49"/>
  <c r="FB24" i="49"/>
  <c r="EM6" i="49"/>
  <c r="FJ6" i="49"/>
  <c r="EH27" i="49"/>
  <c r="FE27" i="49"/>
  <c r="EC30" i="49"/>
  <c r="EZ30" i="49"/>
  <c r="EG8" i="49"/>
  <c r="FD8" i="49"/>
  <c r="FP27" i="49"/>
  <c r="ES27" i="49"/>
  <c r="BA31" i="48"/>
  <c r="AF16" i="49" s="1"/>
  <c r="CD16" i="49" s="1"/>
  <c r="DC16" i="49" s="1"/>
  <c r="DZ16" i="49" s="1"/>
  <c r="AL21" i="48"/>
  <c r="Q32" i="49" s="1"/>
  <c r="BO32" i="49" s="1"/>
  <c r="CN32" i="49" s="1"/>
  <c r="DK32" i="49" s="1"/>
  <c r="FC8" i="49"/>
  <c r="EF8" i="49"/>
  <c r="AS48" i="49"/>
  <c r="BP48" i="49" s="1"/>
  <c r="CO48" i="49" s="1"/>
  <c r="AM57" i="48"/>
  <c r="FS25" i="49"/>
  <c r="EV25" i="49"/>
  <c r="AZ31" i="48"/>
  <c r="AE16" i="49" s="1"/>
  <c r="CC16" i="49" s="1"/>
  <c r="DB16" i="49" s="1"/>
  <c r="DY16" i="49" s="1"/>
  <c r="AK21" i="48"/>
  <c r="P32" i="49" s="1"/>
  <c r="BN32" i="49" s="1"/>
  <c r="CM32" i="49" s="1"/>
  <c r="DJ32" i="49" s="1"/>
  <c r="FO19" i="49"/>
  <c r="ER19" i="49"/>
  <c r="EP10" i="49"/>
  <c r="FM10" i="49"/>
  <c r="EM7" i="49"/>
  <c r="FJ7" i="49"/>
  <c r="FC26" i="49"/>
  <c r="EF26" i="49"/>
  <c r="AS18" i="48"/>
  <c r="X31" i="49" s="1"/>
  <c r="BV31" i="49" s="1"/>
  <c r="CU31" i="49" s="1"/>
  <c r="DR31" i="49" s="1"/>
  <c r="EG10" i="49"/>
  <c r="FD10" i="49"/>
  <c r="AU48" i="49"/>
  <c r="BR48" i="49" s="1"/>
  <c r="CQ48" i="49" s="1"/>
  <c r="AO57" i="48"/>
  <c r="AZ49" i="49"/>
  <c r="BW49" i="49" s="1"/>
  <c r="CV49" i="49" s="1"/>
  <c r="FM49" i="49" s="1"/>
  <c r="AT55" i="48"/>
  <c r="AS15" i="48"/>
  <c r="X30" i="49" s="1"/>
  <c r="BV30" i="49" s="1"/>
  <c r="CU30" i="49" s="1"/>
  <c r="DR30" i="49" s="1"/>
  <c r="FL44" i="52"/>
  <c r="DR44" i="52"/>
  <c r="EO44" i="52" s="1"/>
  <c r="FD37" i="52"/>
  <c r="DJ37" i="52"/>
  <c r="BA48" i="52"/>
  <c r="BX48" i="52" s="1"/>
  <c r="CW48" i="52" s="1"/>
  <c r="AU57" i="51"/>
  <c r="ES17" i="52"/>
  <c r="FP17" i="52"/>
  <c r="FT29" i="52"/>
  <c r="EW29" i="52"/>
  <c r="EN29" i="52"/>
  <c r="FK29" i="52"/>
  <c r="DG43" i="49"/>
  <c r="ED43" i="49" s="1"/>
  <c r="FA43" i="49"/>
  <c r="FA47" i="49" s="1"/>
  <c r="DH47" i="49"/>
  <c r="EE42" i="49"/>
  <c r="EE47" i="49" s="1"/>
  <c r="EO15" i="49"/>
  <c r="FL15" i="49"/>
  <c r="FQ20" i="49"/>
  <c r="ET20" i="49"/>
  <c r="EP25" i="49"/>
  <c r="FM25" i="49"/>
  <c r="FP39" i="52"/>
  <c r="FP41" i="52" s="1"/>
  <c r="DV39" i="52"/>
  <c r="ES39" i="52" s="1"/>
  <c r="FE39" i="52"/>
  <c r="DK39" i="52"/>
  <c r="EH39" i="52" s="1"/>
  <c r="EL10" i="52"/>
  <c r="FI10" i="52"/>
  <c r="DP42" i="52"/>
  <c r="FJ42" i="52"/>
  <c r="FT44" i="52"/>
  <c r="DZ44" i="52"/>
  <c r="EW44" i="52" s="1"/>
  <c r="DG42" i="52"/>
  <c r="FA42" i="52"/>
  <c r="DH44" i="52"/>
  <c r="EE44" i="52" s="1"/>
  <c r="FB44" i="52"/>
  <c r="FH43" i="52"/>
  <c r="DN43" i="52"/>
  <c r="EK43" i="52" s="1"/>
  <c r="DL43" i="52"/>
  <c r="FF43" i="52"/>
  <c r="EU36" i="52"/>
  <c r="EU41" i="52" s="1"/>
  <c r="DX41" i="52"/>
  <c r="EH42" i="52"/>
  <c r="FM39" i="52"/>
  <c r="DS39" i="52"/>
  <c r="EP39" i="52" s="1"/>
  <c r="FL37" i="52"/>
  <c r="DR37" i="52"/>
  <c r="FS47" i="52"/>
  <c r="FK37" i="52"/>
  <c r="FK41" i="52" s="1"/>
  <c r="DQ37" i="52"/>
  <c r="EN37" i="52" s="1"/>
  <c r="DN41" i="52"/>
  <c r="EK36" i="52"/>
  <c r="EK41" i="52" s="1"/>
  <c r="DX43" i="52"/>
  <c r="EU43" i="52" s="1"/>
  <c r="FR43" i="52"/>
  <c r="DI41" i="52"/>
  <c r="EE24" i="52"/>
  <c r="FB24" i="52"/>
  <c r="EU18" i="52"/>
  <c r="FR18" i="52"/>
  <c r="EV36" i="52"/>
  <c r="DY41" i="52"/>
  <c r="EV14" i="52"/>
  <c r="FS14" i="52"/>
  <c r="BI48" i="52"/>
  <c r="CF48" i="52" s="1"/>
  <c r="DE48" i="52" s="1"/>
  <c r="BC57" i="51"/>
  <c r="FS26" i="52"/>
  <c r="EV26" i="52"/>
  <c r="EV27" i="52"/>
  <c r="FS27" i="52"/>
  <c r="FE18" i="52"/>
  <c r="EH18" i="52"/>
  <c r="FD17" i="52"/>
  <c r="EG17" i="52"/>
  <c r="FR12" i="52"/>
  <c r="EU12" i="52"/>
  <c r="AW48" i="52"/>
  <c r="BT48" i="52" s="1"/>
  <c r="CS48" i="52" s="1"/>
  <c r="AQ57" i="51"/>
  <c r="FJ19" i="52"/>
  <c r="EM19" i="52"/>
  <c r="AZ21" i="51"/>
  <c r="AE32" i="52" s="1"/>
  <c r="CC32" i="52" s="1"/>
  <c r="DB32" i="52" s="1"/>
  <c r="DY32" i="52" s="1"/>
  <c r="AI31" i="51"/>
  <c r="N16" i="52" s="1"/>
  <c r="BL16" i="52" s="1"/>
  <c r="CK16" i="52" s="1"/>
  <c r="DH16" i="52" s="1"/>
  <c r="EN30" i="52"/>
  <c r="FK30" i="52"/>
  <c r="AN9" i="51"/>
  <c r="S28" i="52" s="1"/>
  <c r="BQ28" i="52" s="1"/>
  <c r="CP28" i="52" s="1"/>
  <c r="DM28" i="52" s="1"/>
  <c r="DN48" i="52"/>
  <c r="FH48" i="52"/>
  <c r="EC30" i="52"/>
  <c r="EZ30" i="52"/>
  <c r="AY21" i="51"/>
  <c r="AD32" i="52" s="1"/>
  <c r="CB32" i="52" s="1"/>
  <c r="DA32" i="52" s="1"/>
  <c r="DX32" i="52" s="1"/>
  <c r="BC49" i="52"/>
  <c r="BZ49" i="52" s="1"/>
  <c r="CY49" i="52" s="1"/>
  <c r="FP49" i="52" s="1"/>
  <c r="AW55" i="51"/>
  <c r="AX49" i="52"/>
  <c r="BU49" i="52" s="1"/>
  <c r="CT49" i="52" s="1"/>
  <c r="FK49" i="52" s="1"/>
  <c r="FK50" i="52" s="1"/>
  <c r="AR55" i="51"/>
  <c r="AS49" i="52"/>
  <c r="BP49" i="52" s="1"/>
  <c r="CO49" i="52" s="1"/>
  <c r="FF49" i="52" s="1"/>
  <c r="AM55" i="51"/>
  <c r="ET32" i="52"/>
  <c r="FQ32" i="52"/>
  <c r="EV29" i="52"/>
  <c r="FS29" i="52"/>
  <c r="AY12" i="51"/>
  <c r="AD29" i="52" s="1"/>
  <c r="CB29" i="52" s="1"/>
  <c r="DA29" i="52" s="1"/>
  <c r="DX29" i="52" s="1"/>
  <c r="DX35" i="52" s="1"/>
  <c r="AS52" i="50"/>
  <c r="AS54" i="50" s="1"/>
  <c r="AO54" i="50"/>
  <c r="AV18" i="51"/>
  <c r="AA31" i="52" s="1"/>
  <c r="BY31" i="52" s="1"/>
  <c r="CX31" i="52" s="1"/>
  <c r="DU31" i="52" s="1"/>
  <c r="BC18" i="51"/>
  <c r="AH31" i="52" s="1"/>
  <c r="CF31" i="52" s="1"/>
  <c r="DE31" i="52" s="1"/>
  <c r="EB31" i="52" s="1"/>
  <c r="AT18" i="51"/>
  <c r="Y31" i="52" s="1"/>
  <c r="BW31" i="52" s="1"/>
  <c r="CV31" i="52" s="1"/>
  <c r="DS31" i="52" s="1"/>
  <c r="ET28" i="52"/>
  <c r="FQ28" i="52"/>
  <c r="DO43" i="49"/>
  <c r="EL43" i="49" s="1"/>
  <c r="FI43" i="49"/>
  <c r="FI47" i="49" s="1"/>
  <c r="ET19" i="52"/>
  <c r="FQ19" i="52"/>
  <c r="ER47" i="49"/>
  <c r="EY47" i="49"/>
  <c r="DR47" i="49"/>
  <c r="EO42" i="49"/>
  <c r="EO47" i="49" s="1"/>
  <c r="FS41" i="49"/>
  <c r="ES20" i="49"/>
  <c r="FP20" i="49"/>
  <c r="FN24" i="49"/>
  <c r="EQ24" i="49"/>
  <c r="FM27" i="49"/>
  <c r="EP27" i="49"/>
  <c r="FK24" i="49"/>
  <c r="EN24" i="49"/>
  <c r="FR17" i="49"/>
  <c r="EU17" i="49"/>
  <c r="FQ24" i="49"/>
  <c r="ET24" i="49"/>
  <c r="FS20" i="49"/>
  <c r="EV20" i="49"/>
  <c r="EE15" i="49"/>
  <c r="FB15" i="49"/>
  <c r="FQ14" i="49"/>
  <c r="ET14" i="49"/>
  <c r="AU31" i="48"/>
  <c r="Z16" i="49" s="1"/>
  <c r="BX16" i="49" s="1"/>
  <c r="CW16" i="49" s="1"/>
  <c r="DT16" i="49" s="1"/>
  <c r="DI48" i="49"/>
  <c r="FC48" i="49"/>
  <c r="FC50" i="49" s="1"/>
  <c r="FL24" i="49"/>
  <c r="EO24" i="49"/>
  <c r="FB6" i="49"/>
  <c r="EE6" i="49"/>
  <c r="EU26" i="49"/>
  <c r="FR26" i="49"/>
  <c r="AS56" i="50"/>
  <c r="Y10" i="53" s="1"/>
  <c r="AF14" i="54" s="1"/>
  <c r="AF8" i="54" s="1"/>
  <c r="EX27" i="49"/>
  <c r="FU27" i="49"/>
  <c r="AS31" i="48"/>
  <c r="X16" i="49" s="1"/>
  <c r="BV16" i="49" s="1"/>
  <c r="CU16" i="49" s="1"/>
  <c r="DR16" i="49" s="1"/>
  <c r="AX48" i="49"/>
  <c r="BU48" i="49" s="1"/>
  <c r="CT48" i="49" s="1"/>
  <c r="AR57" i="48"/>
  <c r="BA48" i="49"/>
  <c r="BX48" i="49" s="1"/>
  <c r="CW48" i="49" s="1"/>
  <c r="AU57" i="48"/>
  <c r="FR19" i="49"/>
  <c r="EU19" i="49"/>
  <c r="AR31" i="48"/>
  <c r="W16" i="49" s="1"/>
  <c r="BU16" i="49" s="1"/>
  <c r="CT16" i="49" s="1"/>
  <c r="DQ16" i="49" s="1"/>
  <c r="EH10" i="49"/>
  <c r="FE10" i="49"/>
  <c r="EE7" i="49"/>
  <c r="FB7" i="49"/>
  <c r="FR25" i="49"/>
  <c r="EU25" i="49"/>
  <c r="AZ21" i="48"/>
  <c r="AE32" i="49" s="1"/>
  <c r="CC32" i="49" s="1"/>
  <c r="DB32" i="49" s="1"/>
  <c r="DY32" i="49" s="1"/>
  <c r="AK18" i="48"/>
  <c r="P31" i="49" s="1"/>
  <c r="BN31" i="49" s="1"/>
  <c r="CM31" i="49" s="1"/>
  <c r="DJ31" i="49" s="1"/>
  <c r="AV9" i="48"/>
  <c r="AA28" i="49" s="1"/>
  <c r="BY28" i="49" s="1"/>
  <c r="CX28" i="49" s="1"/>
  <c r="DU28" i="49" s="1"/>
  <c r="ET7" i="49"/>
  <c r="FQ7" i="49"/>
  <c r="BH49" i="49"/>
  <c r="CE49" i="49" s="1"/>
  <c r="DD49" i="49" s="1"/>
  <c r="FU49" i="49" s="1"/>
  <c r="BB55" i="48"/>
  <c r="AZ18" i="48"/>
  <c r="AE31" i="49" s="1"/>
  <c r="CC31" i="49" s="1"/>
  <c r="DB31" i="49" s="1"/>
  <c r="DY31" i="49" s="1"/>
  <c r="AK15" i="48"/>
  <c r="P30" i="49" s="1"/>
  <c r="BN30" i="49" s="1"/>
  <c r="CM30" i="49" s="1"/>
  <c r="DJ30" i="49" s="1"/>
  <c r="DS47" i="52" l="1"/>
  <c r="EP47" i="52"/>
  <c r="DL41" i="52"/>
  <c r="ES41" i="52"/>
  <c r="FL41" i="52"/>
  <c r="FC41" i="52"/>
  <c r="EJ36" i="52"/>
  <c r="EJ41" i="52" s="1"/>
  <c r="EV41" i="52"/>
  <c r="FJ47" i="52"/>
  <c r="DT41" i="52"/>
  <c r="ED41" i="52"/>
  <c r="EM41" i="52"/>
  <c r="EQ41" i="52"/>
  <c r="DG41" i="52"/>
  <c r="DP41" i="52"/>
  <c r="FV47" i="52"/>
  <c r="DK47" i="52"/>
  <c r="EH47" i="52"/>
  <c r="FD41" i="52"/>
  <c r="DS53" i="52"/>
  <c r="EP53" i="52" s="1"/>
  <c r="DK41" i="52"/>
  <c r="FB41" i="52"/>
  <c r="EZ50" i="52"/>
  <c r="FO50" i="52"/>
  <c r="FQ48" i="52"/>
  <c r="FQ50" i="52" s="1"/>
  <c r="DW48" i="52"/>
  <c r="FH50" i="52"/>
  <c r="FA48" i="52"/>
  <c r="FA50" i="52" s="1"/>
  <c r="DG48" i="52"/>
  <c r="FI50" i="52"/>
  <c r="FI48" i="52"/>
  <c r="DO48" i="52"/>
  <c r="ED16" i="52"/>
  <c r="DG35" i="52"/>
  <c r="EC16" i="52"/>
  <c r="DI35" i="52"/>
  <c r="DJ35" i="52"/>
  <c r="EF16" i="52"/>
  <c r="DQ35" i="52"/>
  <c r="EQ30" i="52"/>
  <c r="FA32" i="52"/>
  <c r="ED32" i="52"/>
  <c r="EH30" i="52"/>
  <c r="FU31" i="52"/>
  <c r="ED30" i="52"/>
  <c r="FP31" i="52"/>
  <c r="EI32" i="52"/>
  <c r="EZ32" i="52"/>
  <c r="FA30" i="52"/>
  <c r="EM35" i="52"/>
  <c r="FG29" i="52"/>
  <c r="EA35" i="52"/>
  <c r="EA53" i="52" s="1"/>
  <c r="EX53" i="52" s="1"/>
  <c r="EG42" i="49"/>
  <c r="EG47" i="49" s="1"/>
  <c r="EF16" i="49"/>
  <c r="DP35" i="49"/>
  <c r="FJ28" i="49"/>
  <c r="FG28" i="49"/>
  <c r="DH35" i="49"/>
  <c r="DH53" i="49" s="1"/>
  <c r="EE53" i="49" s="1"/>
  <c r="ER29" i="49"/>
  <c r="FV30" i="49"/>
  <c r="FL47" i="52"/>
  <c r="FK47" i="52"/>
  <c r="AG8" i="54"/>
  <c r="F22" i="54"/>
  <c r="AH8" i="54"/>
  <c r="G22" i="54"/>
  <c r="AC57" i="53"/>
  <c r="AJ9" i="54"/>
  <c r="I9" i="54"/>
  <c r="Y21" i="54"/>
  <c r="FN29" i="49"/>
  <c r="AG21" i="54"/>
  <c r="AJ7" i="54"/>
  <c r="AC26" i="53"/>
  <c r="DO35" i="49"/>
  <c r="DV47" i="49"/>
  <c r="DV53" i="49" s="1"/>
  <c r="ES53" i="49" s="1"/>
  <c r="DN35" i="49"/>
  <c r="DN53" i="49" s="1"/>
  <c r="EK53" i="49" s="1"/>
  <c r="FC32" i="49"/>
  <c r="FC35" i="49" s="1"/>
  <c r="FC53" i="49" s="1"/>
  <c r="FI28" i="49"/>
  <c r="FO16" i="49"/>
  <c r="ES47" i="49"/>
  <c r="EB53" i="49"/>
  <c r="EY53" i="49" s="1"/>
  <c r="DI35" i="49"/>
  <c r="DI53" i="49" s="1"/>
  <c r="EF53" i="49" s="1"/>
  <c r="FJ32" i="49"/>
  <c r="FC31" i="49"/>
  <c r="FA35" i="52"/>
  <c r="EF31" i="49"/>
  <c r="EQ32" i="49"/>
  <c r="EN32" i="49"/>
  <c r="EU32" i="49"/>
  <c r="FV29" i="49"/>
  <c r="FK31" i="49"/>
  <c r="DF35" i="49"/>
  <c r="DF53" i="49" s="1"/>
  <c r="EC53" i="49" s="1"/>
  <c r="FF32" i="49"/>
  <c r="EK16" i="49"/>
  <c r="FF16" i="49"/>
  <c r="FF28" i="49"/>
  <c r="FI50" i="49"/>
  <c r="EC16" i="49"/>
  <c r="DP53" i="49"/>
  <c r="EM53" i="49" s="1"/>
  <c r="ES35" i="52"/>
  <c r="FP35" i="52"/>
  <c r="EF35" i="49"/>
  <c r="ES35" i="49"/>
  <c r="EQ28" i="49"/>
  <c r="FJ35" i="52"/>
  <c r="DX53" i="49"/>
  <c r="EU53" i="49" s="1"/>
  <c r="FP35" i="49"/>
  <c r="FP53" i="49" s="1"/>
  <c r="V8" i="53" s="1"/>
  <c r="ED35" i="52"/>
  <c r="FI35" i="52"/>
  <c r="FI53" i="52" s="1"/>
  <c r="O9" i="53" s="1"/>
  <c r="FB35" i="52"/>
  <c r="FN16" i="49"/>
  <c r="EQ16" i="49"/>
  <c r="EH29" i="52"/>
  <c r="FE29" i="52"/>
  <c r="FE35" i="52" s="1"/>
  <c r="FH32" i="52"/>
  <c r="EK32" i="52"/>
  <c r="ER28" i="49"/>
  <c r="ER35" i="49" s="1"/>
  <c r="FO28" i="49"/>
  <c r="EO16" i="49"/>
  <c r="FL16" i="49"/>
  <c r="EE16" i="52"/>
  <c r="EE35" i="52" s="1"/>
  <c r="FB16" i="52"/>
  <c r="DH35" i="52"/>
  <c r="DL48" i="49"/>
  <c r="FF48" i="49"/>
  <c r="FF50" i="49" s="1"/>
  <c r="DJ48" i="52"/>
  <c r="FD48" i="52"/>
  <c r="FD50" i="52" s="1"/>
  <c r="FT30" i="49"/>
  <c r="EW30" i="49"/>
  <c r="FG32" i="49"/>
  <c r="EJ32" i="49"/>
  <c r="FT30" i="52"/>
  <c r="FT35" i="52" s="1"/>
  <c r="EW30" i="52"/>
  <c r="FU32" i="49"/>
  <c r="EX32" i="49"/>
  <c r="FU30" i="52"/>
  <c r="EX30" i="52"/>
  <c r="DT35" i="49"/>
  <c r="DT53" i="49" s="1"/>
  <c r="EQ53" i="49" s="1"/>
  <c r="FF28" i="52"/>
  <c r="FF35" i="52" s="1"/>
  <c r="FF53" i="52" s="1"/>
  <c r="L9" i="53" s="1"/>
  <c r="EI28" i="52"/>
  <c r="EI35" i="52" s="1"/>
  <c r="FD16" i="49"/>
  <c r="EG16" i="49"/>
  <c r="DJ35" i="49"/>
  <c r="DJ53" i="49" s="1"/>
  <c r="EG53" i="49" s="1"/>
  <c r="DU48" i="49"/>
  <c r="FO48" i="49"/>
  <c r="FO50" i="49" s="1"/>
  <c r="FF31" i="52"/>
  <c r="EI31" i="52"/>
  <c r="FT47" i="52"/>
  <c r="DL48" i="52"/>
  <c r="FF48" i="52"/>
  <c r="FF50" i="52" s="1"/>
  <c r="EO47" i="52"/>
  <c r="DL35" i="52"/>
  <c r="FO31" i="52"/>
  <c r="FO35" i="52" s="1"/>
  <c r="FO53" i="52" s="1"/>
  <c r="U9" i="53" s="1"/>
  <c r="ER31" i="52"/>
  <c r="ER35" i="52" s="1"/>
  <c r="DU35" i="52"/>
  <c r="DU53" i="52" s="1"/>
  <c r="ER53" i="52" s="1"/>
  <c r="FQ31" i="52"/>
  <c r="FQ35" i="52" s="1"/>
  <c r="ET31" i="52"/>
  <c r="EW43" i="52"/>
  <c r="EW47" i="52" s="1"/>
  <c r="DZ47" i="52"/>
  <c r="DR47" i="52"/>
  <c r="FD31" i="49"/>
  <c r="EG31" i="49"/>
  <c r="FK16" i="49"/>
  <c r="EN16" i="49"/>
  <c r="FS32" i="52"/>
  <c r="EV32" i="52"/>
  <c r="DP47" i="52"/>
  <c r="DP53" i="52" s="1"/>
  <c r="EM53" i="52" s="1"/>
  <c r="EM42" i="52"/>
  <c r="EM47" i="52" s="1"/>
  <c r="FI32" i="52"/>
  <c r="EL32" i="52"/>
  <c r="FH47" i="52"/>
  <c r="FB47" i="52"/>
  <c r="ED16" i="49"/>
  <c r="ED35" i="49" s="1"/>
  <c r="FA16" i="49"/>
  <c r="FA35" i="49" s="1"/>
  <c r="FT31" i="52"/>
  <c r="EW31" i="52"/>
  <c r="FM48" i="49"/>
  <c r="FM50" i="49" s="1"/>
  <c r="DS48" i="49"/>
  <c r="EO31" i="52"/>
  <c r="EO35" i="52" s="1"/>
  <c r="FL31" i="52"/>
  <c r="FL35" i="52" s="1"/>
  <c r="FL53" i="52" s="1"/>
  <c r="R9" i="53" s="1"/>
  <c r="EW37" i="52"/>
  <c r="EW41" i="52" s="1"/>
  <c r="DZ41" i="52"/>
  <c r="FD47" i="52"/>
  <c r="FU29" i="49"/>
  <c r="EX29" i="49"/>
  <c r="EI29" i="49"/>
  <c r="FF29" i="49"/>
  <c r="EQ30" i="49"/>
  <c r="FN30" i="49"/>
  <c r="FU29" i="52"/>
  <c r="EX29" i="52"/>
  <c r="EK30" i="52"/>
  <c r="FH30" i="52"/>
  <c r="FP50" i="52"/>
  <c r="DV47" i="52"/>
  <c r="ES42" i="52"/>
  <c r="ES47" i="52" s="1"/>
  <c r="DG35" i="49"/>
  <c r="FU47" i="49"/>
  <c r="DN35" i="52"/>
  <c r="FE29" i="49"/>
  <c r="EH29" i="49"/>
  <c r="FD30" i="49"/>
  <c r="EG30" i="49"/>
  <c r="EV32" i="49"/>
  <c r="FS32" i="49"/>
  <c r="DT48" i="52"/>
  <c r="FN48" i="52"/>
  <c r="FN50" i="52" s="1"/>
  <c r="EO31" i="49"/>
  <c r="FL31" i="49"/>
  <c r="EY16" i="49"/>
  <c r="FV16" i="49"/>
  <c r="DN47" i="52"/>
  <c r="EK42" i="52"/>
  <c r="EK47" i="52" s="1"/>
  <c r="DH47" i="52"/>
  <c r="EE42" i="52"/>
  <c r="EE47" i="52" s="1"/>
  <c r="FT31" i="49"/>
  <c r="EW31" i="49"/>
  <c r="EC29" i="49"/>
  <c r="EZ29" i="49"/>
  <c r="EZ35" i="49" s="1"/>
  <c r="EV31" i="52"/>
  <c r="FS31" i="52"/>
  <c r="FS35" i="52" s="1"/>
  <c r="FS53" i="52" s="1"/>
  <c r="Y9" i="53" s="1"/>
  <c r="EJ16" i="52"/>
  <c r="FG16" i="52"/>
  <c r="DM35" i="52"/>
  <c r="DM53" i="52" s="1"/>
  <c r="EJ53" i="52" s="1"/>
  <c r="EQ47" i="52"/>
  <c r="FM29" i="52"/>
  <c r="FM35" i="52" s="1"/>
  <c r="EP29" i="52"/>
  <c r="EP35" i="52" s="1"/>
  <c r="DK48" i="52"/>
  <c r="FE48" i="52"/>
  <c r="FE50" i="52" s="1"/>
  <c r="EY37" i="52"/>
  <c r="EY41" i="52" s="1"/>
  <c r="EB41" i="52"/>
  <c r="FB32" i="49"/>
  <c r="EE32" i="49"/>
  <c r="DK47" i="49"/>
  <c r="EH42" i="49"/>
  <c r="EH47" i="49" s="1"/>
  <c r="FG30" i="52"/>
  <c r="EJ30" i="52"/>
  <c r="EF47" i="52"/>
  <c r="DH48" i="49"/>
  <c r="FB48" i="49"/>
  <c r="FB50" i="49" s="1"/>
  <c r="FP47" i="52"/>
  <c r="EA47" i="49"/>
  <c r="EA53" i="49" s="1"/>
  <c r="EX53" i="49" s="1"/>
  <c r="EX42" i="49"/>
  <c r="EX47" i="49" s="1"/>
  <c r="EN41" i="52"/>
  <c r="EV31" i="49"/>
  <c r="FS31" i="49"/>
  <c r="FR29" i="52"/>
  <c r="EU29" i="52"/>
  <c r="EB48" i="52"/>
  <c r="FV48" i="52"/>
  <c r="FV50" i="52" s="1"/>
  <c r="EG37" i="52"/>
  <c r="EG41" i="52" s="1"/>
  <c r="DJ41" i="52"/>
  <c r="FL30" i="49"/>
  <c r="EO30" i="49"/>
  <c r="EG32" i="49"/>
  <c r="FD32" i="49"/>
  <c r="FE32" i="49"/>
  <c r="EH32" i="49"/>
  <c r="DO47" i="52"/>
  <c r="EL42" i="52"/>
  <c r="EL47" i="52" s="1"/>
  <c r="FL32" i="49"/>
  <c r="EO32" i="49"/>
  <c r="EP32" i="49"/>
  <c r="FM32" i="49"/>
  <c r="FN31" i="52"/>
  <c r="EQ31" i="52"/>
  <c r="DT47" i="52"/>
  <c r="AU52" i="50"/>
  <c r="AU54" i="50" s="1"/>
  <c r="AQ54" i="50"/>
  <c r="DL35" i="49"/>
  <c r="DL53" i="49" s="1"/>
  <c r="EI53" i="49" s="1"/>
  <c r="ET16" i="49"/>
  <c r="FQ16" i="49"/>
  <c r="FQ35" i="49" s="1"/>
  <c r="FQ53" i="49" s="1"/>
  <c r="W8" i="53" s="1"/>
  <c r="FG31" i="49"/>
  <c r="EJ31" i="49"/>
  <c r="EJ16" i="49"/>
  <c r="FG16" i="49"/>
  <c r="DM35" i="49"/>
  <c r="DM53" i="49" s="1"/>
  <c r="EJ53" i="49" s="1"/>
  <c r="EQ29" i="52"/>
  <c r="FN29" i="52"/>
  <c r="DM48" i="52"/>
  <c r="FG48" i="52"/>
  <c r="FG50" i="52" s="1"/>
  <c r="DI47" i="52"/>
  <c r="EE39" i="52"/>
  <c r="EE41" i="52" s="1"/>
  <c r="DH41" i="52"/>
  <c r="FR16" i="49"/>
  <c r="FR35" i="49" s="1"/>
  <c r="EU16" i="49"/>
  <c r="DP48" i="49"/>
  <c r="FJ48" i="49"/>
  <c r="FJ50" i="49" s="1"/>
  <c r="EZ48" i="49"/>
  <c r="EZ50" i="49" s="1"/>
  <c r="DF48" i="49"/>
  <c r="EU16" i="52"/>
  <c r="FR16" i="52"/>
  <c r="FR35" i="52" s="1"/>
  <c r="DQ41" i="52"/>
  <c r="ET41" i="52"/>
  <c r="DT35" i="52"/>
  <c r="DW35" i="52"/>
  <c r="DK35" i="52"/>
  <c r="DK53" i="52" s="1"/>
  <c r="EH53" i="52" s="1"/>
  <c r="DQ48" i="49"/>
  <c r="FK48" i="49"/>
  <c r="FK50" i="49" s="1"/>
  <c r="EI43" i="52"/>
  <c r="EI47" i="52" s="1"/>
  <c r="DL47" i="52"/>
  <c r="FH48" i="49"/>
  <c r="FH50" i="49" s="1"/>
  <c r="DN48" i="49"/>
  <c r="DX47" i="52"/>
  <c r="DX53" i="52" s="1"/>
  <c r="EU53" i="52" s="1"/>
  <c r="EU42" i="52"/>
  <c r="EU47" i="52" s="1"/>
  <c r="EI31" i="49"/>
  <c r="FF31" i="49"/>
  <c r="FA47" i="52"/>
  <c r="FS16" i="49"/>
  <c r="EV16" i="49"/>
  <c r="EW16" i="49"/>
  <c r="FT16" i="49"/>
  <c r="ET43" i="49"/>
  <c r="ET47" i="49" s="1"/>
  <c r="DW47" i="49"/>
  <c r="DW53" i="49" s="1"/>
  <c r="ET53" i="49" s="1"/>
  <c r="EG47" i="52"/>
  <c r="DK35" i="49"/>
  <c r="EY43" i="52"/>
  <c r="EY47" i="52" s="1"/>
  <c r="EB47" i="52"/>
  <c r="DW47" i="52"/>
  <c r="ET42" i="52"/>
  <c r="ET47" i="52" s="1"/>
  <c r="DH48" i="52"/>
  <c r="FB48" i="52"/>
  <c r="FB50" i="52" s="1"/>
  <c r="EI30" i="49"/>
  <c r="FF30" i="49"/>
  <c r="FS50" i="49"/>
  <c r="EC31" i="52"/>
  <c r="EC35" i="52" s="1"/>
  <c r="EZ31" i="52"/>
  <c r="EZ35" i="52" s="1"/>
  <c r="EI29" i="52"/>
  <c r="FF29" i="52"/>
  <c r="DR48" i="49"/>
  <c r="FL48" i="49"/>
  <c r="FL50" i="49" s="1"/>
  <c r="FB16" i="49"/>
  <c r="EE16" i="49"/>
  <c r="FE16" i="49"/>
  <c r="EH16" i="49"/>
  <c r="FD31" i="52"/>
  <c r="FD35" i="52" s="1"/>
  <c r="EG31" i="52"/>
  <c r="EG35" i="52" s="1"/>
  <c r="FK16" i="52"/>
  <c r="EN16" i="52"/>
  <c r="EN35" i="52" s="1"/>
  <c r="FJ16" i="49"/>
  <c r="EM16" i="49"/>
  <c r="EM35" i="49" s="1"/>
  <c r="DW41" i="52"/>
  <c r="DU35" i="49"/>
  <c r="DU53" i="49" s="1"/>
  <c r="ER53" i="49" s="1"/>
  <c r="DR35" i="52"/>
  <c r="DR53" i="52" s="1"/>
  <c r="EO53" i="52" s="1"/>
  <c r="EU32" i="52"/>
  <c r="FR32" i="52"/>
  <c r="EL16" i="52"/>
  <c r="EL35" i="52" s="1"/>
  <c r="FI16" i="52"/>
  <c r="DT48" i="49"/>
  <c r="FN48" i="49"/>
  <c r="FN50" i="49" s="1"/>
  <c r="EP31" i="52"/>
  <c r="FM31" i="52"/>
  <c r="EJ28" i="52"/>
  <c r="FG28" i="52"/>
  <c r="DG47" i="52"/>
  <c r="ED42" i="52"/>
  <c r="ED47" i="52" s="1"/>
  <c r="EH31" i="52"/>
  <c r="FE31" i="52"/>
  <c r="DJ47" i="52"/>
  <c r="DZ48" i="49"/>
  <c r="FT48" i="49"/>
  <c r="FT50" i="49" s="1"/>
  <c r="DG47" i="49"/>
  <c r="DZ47" i="49"/>
  <c r="DZ53" i="49" s="1"/>
  <c r="EW53" i="49" s="1"/>
  <c r="EW42" i="49"/>
  <c r="EW47" i="49" s="1"/>
  <c r="FM29" i="49"/>
  <c r="EP29" i="49"/>
  <c r="FT32" i="49"/>
  <c r="EW32" i="49"/>
  <c r="DO47" i="49"/>
  <c r="DZ48" i="52"/>
  <c r="FT48" i="52"/>
  <c r="FT50" i="52" s="1"/>
  <c r="FE48" i="49"/>
  <c r="FE50" i="49" s="1"/>
  <c r="DK48" i="49"/>
  <c r="EU31" i="52"/>
  <c r="FR31" i="52"/>
  <c r="FV16" i="52"/>
  <c r="EY16" i="52"/>
  <c r="EB35" i="52"/>
  <c r="DS48" i="52"/>
  <c r="FM48" i="52"/>
  <c r="FM50" i="52" s="1"/>
  <c r="EJ32" i="52"/>
  <c r="FG32" i="52"/>
  <c r="EN47" i="52"/>
  <c r="DF47" i="52"/>
  <c r="EC42" i="52"/>
  <c r="EC47" i="52" s="1"/>
  <c r="DY35" i="52"/>
  <c r="EB48" i="49"/>
  <c r="FV48" i="49"/>
  <c r="FV50" i="49" s="1"/>
  <c r="EV47" i="52"/>
  <c r="DF35" i="52"/>
  <c r="DQ35" i="49"/>
  <c r="DQ53" i="49" s="1"/>
  <c r="EN53" i="49" s="1"/>
  <c r="FU48" i="49"/>
  <c r="FU50" i="49" s="1"/>
  <c r="EA48" i="49"/>
  <c r="FV31" i="52"/>
  <c r="EY31" i="52"/>
  <c r="DP48" i="52"/>
  <c r="FJ48" i="52"/>
  <c r="FJ50" i="52" s="1"/>
  <c r="EO37" i="52"/>
  <c r="EO41" i="52" s="1"/>
  <c r="DR41" i="52"/>
  <c r="EK31" i="52"/>
  <c r="FH31" i="52"/>
  <c r="FR48" i="52"/>
  <c r="FR50" i="52" s="1"/>
  <c r="DX48" i="52"/>
  <c r="FR47" i="52"/>
  <c r="DV41" i="52"/>
  <c r="DV53" i="52" s="1"/>
  <c r="ES53" i="52" s="1"/>
  <c r="ED47" i="49"/>
  <c r="DZ35" i="52"/>
  <c r="FC32" i="52"/>
  <c r="FC35" i="52" s="1"/>
  <c r="FC53" i="52" s="1"/>
  <c r="EF32" i="52"/>
  <c r="DR48" i="52"/>
  <c r="FL48" i="52"/>
  <c r="FL50" i="52" s="1"/>
  <c r="EL16" i="49"/>
  <c r="EL35" i="49" s="1"/>
  <c r="FI16" i="49"/>
  <c r="EK29" i="49"/>
  <c r="EK35" i="49" s="1"/>
  <c r="FH29" i="49"/>
  <c r="FH35" i="49" s="1"/>
  <c r="EL47" i="49"/>
  <c r="EH41" i="52"/>
  <c r="FN31" i="49"/>
  <c r="EQ31" i="49"/>
  <c r="DG48" i="49"/>
  <c r="FA48" i="49"/>
  <c r="FA50" i="49" s="1"/>
  <c r="EN31" i="52"/>
  <c r="FK31" i="52"/>
  <c r="FK35" i="52" s="1"/>
  <c r="FK53" i="52" s="1"/>
  <c r="Q9" i="53" s="1"/>
  <c r="EP41" i="52"/>
  <c r="H20" i="54"/>
  <c r="DX48" i="49"/>
  <c r="FR48" i="49"/>
  <c r="FR50" i="49" s="1"/>
  <c r="EP16" i="49"/>
  <c r="FM16" i="49"/>
  <c r="DS47" i="49"/>
  <c r="EP42" i="49"/>
  <c r="EP47" i="49" s="1"/>
  <c r="EA48" i="52"/>
  <c r="FU48" i="52"/>
  <c r="FU50" i="52" s="1"/>
  <c r="DQ47" i="52"/>
  <c r="EZ47" i="52"/>
  <c r="G20" i="54"/>
  <c r="F20" i="54"/>
  <c r="DY47" i="52"/>
  <c r="DR35" i="49"/>
  <c r="DR53" i="49" s="1"/>
  <c r="EO53" i="49" s="1"/>
  <c r="DS35" i="49"/>
  <c r="DO35" i="52"/>
  <c r="DJ53" i="52" l="1"/>
  <c r="EG53" i="52" s="1"/>
  <c r="DG53" i="52"/>
  <c r="ED53" i="52" s="1"/>
  <c r="EB53" i="52"/>
  <c r="EY53" i="52" s="1"/>
  <c r="DI53" i="52"/>
  <c r="EF53" i="52" s="1"/>
  <c r="FQ53" i="52"/>
  <c r="W9" i="53" s="1"/>
  <c r="W18" i="53" s="1"/>
  <c r="W27" i="53" s="1"/>
  <c r="FM53" i="52"/>
  <c r="S9" i="53" s="1"/>
  <c r="FE53" i="52"/>
  <c r="FD53" i="52"/>
  <c r="EZ53" i="52"/>
  <c r="FA53" i="52"/>
  <c r="DQ53" i="52"/>
  <c r="EN53" i="52" s="1"/>
  <c r="EF35" i="52"/>
  <c r="FH35" i="52"/>
  <c r="FH53" i="52" s="1"/>
  <c r="N9" i="53" s="1"/>
  <c r="U13" i="54" s="1"/>
  <c r="U7" i="54" s="1"/>
  <c r="FV35" i="52"/>
  <c r="FV53" i="52" s="1"/>
  <c r="AB9" i="53" s="1"/>
  <c r="EK35" i="52"/>
  <c r="FN35" i="52"/>
  <c r="FN53" i="52" s="1"/>
  <c r="T9" i="53" s="1"/>
  <c r="AA13" i="54" s="1"/>
  <c r="AA7" i="54" s="1"/>
  <c r="EQ35" i="52"/>
  <c r="FU35" i="52"/>
  <c r="FU53" i="52" s="1"/>
  <c r="AA9" i="53" s="1"/>
  <c r="AH13" i="54" s="1"/>
  <c r="EH35" i="52"/>
  <c r="FT53" i="52"/>
  <c r="Z9" i="53" s="1"/>
  <c r="AG13" i="54" s="1"/>
  <c r="FR53" i="52"/>
  <c r="X9" i="53" s="1"/>
  <c r="AE13" i="54" s="1"/>
  <c r="AE7" i="54" s="1"/>
  <c r="DO53" i="52"/>
  <c r="EL53" i="52" s="1"/>
  <c r="DT53" i="52"/>
  <c r="EQ53" i="52" s="1"/>
  <c r="AC63" i="53"/>
  <c r="AJ16" i="54"/>
  <c r="I29" i="54"/>
  <c r="EC35" i="49"/>
  <c r="S13" i="54"/>
  <c r="S7" i="54" s="1"/>
  <c r="AB13" i="54"/>
  <c r="AB7" i="54" s="1"/>
  <c r="Z13" i="54"/>
  <c r="Z7" i="54" s="1"/>
  <c r="X13" i="54"/>
  <c r="X7" i="54" s="1"/>
  <c r="I16" i="54"/>
  <c r="FK35" i="49"/>
  <c r="AF13" i="54"/>
  <c r="AF7" i="54" s="1"/>
  <c r="V13" i="54"/>
  <c r="V7" i="54" s="1"/>
  <c r="DO53" i="49"/>
  <c r="EL53" i="49" s="1"/>
  <c r="Y13" i="54"/>
  <c r="Y7" i="54" s="1"/>
  <c r="AC12" i="54"/>
  <c r="AC6" i="54" s="1"/>
  <c r="FI35" i="49"/>
  <c r="FI53" i="49" s="1"/>
  <c r="O8" i="53" s="1"/>
  <c r="FO35" i="49"/>
  <c r="FO53" i="49" s="1"/>
  <c r="U8" i="53" s="1"/>
  <c r="U18" i="53" s="1"/>
  <c r="U27" i="53" s="1"/>
  <c r="FJ35" i="49"/>
  <c r="FJ53" i="49" s="1"/>
  <c r="P8" i="53" s="1"/>
  <c r="FV35" i="49"/>
  <c r="FV53" i="49" s="1"/>
  <c r="AB8" i="53" s="1"/>
  <c r="EN35" i="49"/>
  <c r="FP53" i="52"/>
  <c r="V9" i="53" s="1"/>
  <c r="V18" i="53" s="1"/>
  <c r="V27" i="53" s="1"/>
  <c r="FM35" i="49"/>
  <c r="FM53" i="49" s="1"/>
  <c r="S8" i="53" s="1"/>
  <c r="FH53" i="49"/>
  <c r="N8" i="53" s="1"/>
  <c r="EP35" i="49"/>
  <c r="FJ53" i="52"/>
  <c r="P9" i="53" s="1"/>
  <c r="EE35" i="49"/>
  <c r="FA53" i="49"/>
  <c r="EO35" i="49"/>
  <c r="FN35" i="49"/>
  <c r="FN53" i="49" s="1"/>
  <c r="T8" i="53" s="1"/>
  <c r="FB35" i="49"/>
  <c r="FB53" i="49" s="1"/>
  <c r="DK53" i="49"/>
  <c r="EH53" i="49" s="1"/>
  <c r="FG35" i="49"/>
  <c r="FG53" i="49" s="1"/>
  <c r="M8" i="53" s="1"/>
  <c r="FD35" i="49"/>
  <c r="FD53" i="49" s="1"/>
  <c r="EZ53" i="49"/>
  <c r="EG35" i="49"/>
  <c r="FK53" i="49"/>
  <c r="Q8" i="53" s="1"/>
  <c r="FU35" i="49"/>
  <c r="FU53" i="49" s="1"/>
  <c r="AA8" i="53" s="1"/>
  <c r="EH35" i="49"/>
  <c r="FF35" i="49"/>
  <c r="FF53" i="49" s="1"/>
  <c r="L8" i="53" s="1"/>
  <c r="EQ35" i="49"/>
  <c r="EI35" i="49"/>
  <c r="FE35" i="49"/>
  <c r="FE53" i="49" s="1"/>
  <c r="FL35" i="49"/>
  <c r="FL53" i="49" s="1"/>
  <c r="R8" i="53" s="1"/>
  <c r="AD12" i="54"/>
  <c r="AD6" i="54" s="1"/>
  <c r="DG53" i="49"/>
  <c r="ED53" i="49" s="1"/>
  <c r="DH53" i="52"/>
  <c r="EE53" i="52" s="1"/>
  <c r="F27" i="54"/>
  <c r="F23" i="54"/>
  <c r="G27" i="54"/>
  <c r="B49" i="54" s="1"/>
  <c r="G23" i="54"/>
  <c r="FT35" i="49"/>
  <c r="FT53" i="49" s="1"/>
  <c r="Z8" i="53" s="1"/>
  <c r="DW53" i="52"/>
  <c r="ET53" i="52" s="1"/>
  <c r="DL53" i="52"/>
  <c r="EI53" i="52" s="1"/>
  <c r="FB53" i="52"/>
  <c r="DS53" i="49"/>
  <c r="EP53" i="49" s="1"/>
  <c r="DZ53" i="52"/>
  <c r="EW53" i="52" s="1"/>
  <c r="DY53" i="52"/>
  <c r="EV53" i="52" s="1"/>
  <c r="FR53" i="49"/>
  <c r="X8" i="53" s="1"/>
  <c r="FS35" i="49"/>
  <c r="FS53" i="49" s="1"/>
  <c r="Y8" i="53" s="1"/>
  <c r="FG35" i="52"/>
  <c r="FG53" i="52" s="1"/>
  <c r="M9" i="53" s="1"/>
  <c r="H27" i="54"/>
  <c r="B50" i="54" s="1"/>
  <c r="H23" i="54"/>
  <c r="EJ35" i="52"/>
  <c r="DF53" i="52"/>
  <c r="EC53" i="52" s="1"/>
  <c r="EJ35" i="49"/>
  <c r="DN53" i="52"/>
  <c r="EK53" i="52" s="1"/>
  <c r="S18" i="53" l="1"/>
  <c r="S27" i="53" s="1"/>
  <c r="W17" i="53"/>
  <c r="AD15" i="54" s="1"/>
  <c r="AD13" i="54"/>
  <c r="AD7" i="54" s="1"/>
  <c r="T18" i="53"/>
  <c r="T27" i="53" s="1"/>
  <c r="N17" i="53"/>
  <c r="U15" i="54" s="1"/>
  <c r="AG7" i="54"/>
  <c r="F15" i="54"/>
  <c r="F16" i="54" s="1"/>
  <c r="AH7" i="54"/>
  <c r="G15" i="54"/>
  <c r="G16" i="54" s="1"/>
  <c r="D51" i="54"/>
  <c r="D39" i="54"/>
  <c r="I30" i="54"/>
  <c r="O17" i="53"/>
  <c r="V15" i="54" s="1"/>
  <c r="V17" i="53"/>
  <c r="AI13" i="54"/>
  <c r="T13" i="54"/>
  <c r="T7" i="54" s="1"/>
  <c r="L17" i="53"/>
  <c r="T12" i="54"/>
  <c r="T6" i="54" s="1"/>
  <c r="W13" i="54"/>
  <c r="W7" i="54" s="1"/>
  <c r="Y18" i="53"/>
  <c r="Y27" i="53" s="1"/>
  <c r="Z18" i="53"/>
  <c r="Z27" i="53" s="1"/>
  <c r="AA12" i="54"/>
  <c r="AA6" i="54" s="1"/>
  <c r="X18" i="53"/>
  <c r="X27" i="53" s="1"/>
  <c r="U12" i="54"/>
  <c r="U6" i="54" s="1"/>
  <c r="Y12" i="54"/>
  <c r="Y6" i="54" s="1"/>
  <c r="AI12" i="54"/>
  <c r="X12" i="54"/>
  <c r="X6" i="54" s="1"/>
  <c r="AB18" i="53"/>
  <c r="AH12" i="54"/>
  <c r="AA18" i="53"/>
  <c r="AA27" i="53" s="1"/>
  <c r="AA64" i="53" s="1"/>
  <c r="T17" i="53"/>
  <c r="AC13" i="54"/>
  <c r="AC7" i="54" s="1"/>
  <c r="AA17" i="53"/>
  <c r="P17" i="53"/>
  <c r="W15" i="54" s="1"/>
  <c r="V12" i="54"/>
  <c r="V6" i="54" s="1"/>
  <c r="Z12" i="54"/>
  <c r="Z6" i="54" s="1"/>
  <c r="S17" i="53"/>
  <c r="Z15" i="54" s="1"/>
  <c r="W12" i="54"/>
  <c r="W6" i="54" s="1"/>
  <c r="Q17" i="53"/>
  <c r="R17" i="53"/>
  <c r="S12" i="54"/>
  <c r="S6" i="54" s="1"/>
  <c r="AF12" i="54"/>
  <c r="AF6" i="54" s="1"/>
  <c r="Y17" i="53"/>
  <c r="U17" i="53"/>
  <c r="AB15" i="54" s="1"/>
  <c r="AB12" i="54"/>
  <c r="AB6" i="54" s="1"/>
  <c r="AE12" i="54"/>
  <c r="AE6" i="54" s="1"/>
  <c r="X17" i="53"/>
  <c r="AG12" i="54"/>
  <c r="Z17" i="53"/>
  <c r="M17" i="53"/>
  <c r="T15" i="54" s="1"/>
  <c r="B48" i="54"/>
  <c r="F40" i="54"/>
  <c r="G40" i="54" s="1"/>
  <c r="I40" i="54"/>
  <c r="J40" i="54" s="1"/>
  <c r="AB17" i="53"/>
  <c r="AI15" i="54" s="1"/>
  <c r="N26" i="53" l="1"/>
  <c r="U16" i="54" s="1"/>
  <c r="W26" i="53"/>
  <c r="AD16" i="54" s="1"/>
  <c r="S26" i="53"/>
  <c r="Z16" i="54" s="1"/>
  <c r="L26" i="53"/>
  <c r="S16" i="54" s="1"/>
  <c r="S15" i="54"/>
  <c r="AI7" i="54"/>
  <c r="H15" i="54"/>
  <c r="H16" i="54" s="1"/>
  <c r="O26" i="53"/>
  <c r="V16" i="54" s="1"/>
  <c r="P26" i="53"/>
  <c r="W16" i="54" s="1"/>
  <c r="Q26" i="53"/>
  <c r="X16" i="54" s="1"/>
  <c r="X15" i="54"/>
  <c r="R26" i="53"/>
  <c r="Y16" i="54" s="1"/>
  <c r="Y15" i="54"/>
  <c r="AI6" i="54"/>
  <c r="H8" i="54"/>
  <c r="H9" i="54" s="1"/>
  <c r="AH6" i="54"/>
  <c r="G8" i="54"/>
  <c r="G29" i="54" s="1"/>
  <c r="D49" i="54" s="1"/>
  <c r="Y26" i="53"/>
  <c r="AF16" i="54" s="1"/>
  <c r="AF15" i="54"/>
  <c r="AG6" i="54"/>
  <c r="F8" i="54"/>
  <c r="F29" i="54" s="1"/>
  <c r="AA26" i="53"/>
  <c r="AH15" i="54"/>
  <c r="T26" i="53"/>
  <c r="AA16" i="54" s="1"/>
  <c r="AA15" i="54"/>
  <c r="V26" i="53"/>
  <c r="AC16" i="54" s="1"/>
  <c r="AC15" i="54"/>
  <c r="Z26" i="53"/>
  <c r="AG16" i="54" s="1"/>
  <c r="AG15" i="54"/>
  <c r="X26" i="53"/>
  <c r="AE16" i="54" s="1"/>
  <c r="AE15" i="54"/>
  <c r="H51" i="54"/>
  <c r="H39" i="54"/>
  <c r="AA57" i="53"/>
  <c r="AA58" i="53"/>
  <c r="M26" i="53"/>
  <c r="T16" i="54" s="1"/>
  <c r="AB58" i="53"/>
  <c r="AB27" i="53"/>
  <c r="AB64" i="53" s="1"/>
  <c r="J65" i="53" s="1"/>
  <c r="AB26" i="53"/>
  <c r="AB57" i="53"/>
  <c r="U26" i="53"/>
  <c r="AB16" i="54" s="1"/>
  <c r="AB63" i="53" l="1"/>
  <c r="AI16" i="54"/>
  <c r="AC35" i="53"/>
  <c r="F9" i="54"/>
  <c r="G9" i="54"/>
  <c r="J57" i="53"/>
  <c r="AC19" i="53" s="1"/>
  <c r="J59" i="53"/>
  <c r="AC20" i="53" s="1"/>
  <c r="AA63" i="53"/>
  <c r="J64" i="53" s="1"/>
  <c r="AF35" i="53" s="1"/>
  <c r="AH16" i="54"/>
  <c r="G30" i="54"/>
  <c r="H49" i="54" s="1"/>
  <c r="H29" i="54"/>
  <c r="D38" i="54" s="1"/>
  <c r="AC36" i="53"/>
  <c r="L37" i="53" s="1"/>
  <c r="J58" i="53"/>
  <c r="F30" i="54"/>
  <c r="H48" i="54" s="1"/>
  <c r="D48" i="54"/>
  <c r="F49" i="54" s="1"/>
  <c r="G49" i="54" s="1"/>
  <c r="J63" i="53" l="1"/>
  <c r="AF36" i="53" s="1"/>
  <c r="I49" i="54"/>
  <c r="J49" i="54" s="1"/>
  <c r="F38" i="54"/>
  <c r="G38" i="54" s="1"/>
  <c r="F39" i="54"/>
  <c r="G39" i="54" s="1"/>
  <c r="D50" i="54"/>
  <c r="H30" i="54"/>
  <c r="AF19" i="53"/>
  <c r="AF20" i="53"/>
  <c r="H38" i="54" l="1"/>
  <c r="I38" i="54" s="1"/>
  <c r="J38" i="54" s="1"/>
  <c r="G41" i="54"/>
  <c r="I39" i="54"/>
  <c r="J39" i="54" s="1"/>
  <c r="H50" i="54"/>
  <c r="F51" i="54"/>
  <c r="G51" i="54" s="1"/>
  <c r="F50" i="54"/>
  <c r="G50" i="54" s="1"/>
  <c r="G97" i="35"/>
  <c r="F97" i="35"/>
  <c r="D97" i="35"/>
  <c r="G96" i="35"/>
  <c r="F96" i="35"/>
  <c r="D96" i="35"/>
  <c r="G95" i="35"/>
  <c r="F95" i="35"/>
  <c r="G94" i="35"/>
  <c r="F94" i="35"/>
  <c r="G93" i="35"/>
  <c r="F93" i="35"/>
  <c r="D93" i="35"/>
  <c r="G92" i="35"/>
  <c r="F92" i="35"/>
  <c r="D92" i="35"/>
  <c r="G91" i="35"/>
  <c r="F91" i="35"/>
  <c r="G90" i="35"/>
  <c r="F90" i="35"/>
  <c r="G89" i="35"/>
  <c r="F89" i="35"/>
  <c r="G88" i="35"/>
  <c r="F88" i="35"/>
  <c r="G87" i="35"/>
  <c r="F87" i="35"/>
  <c r="G86" i="35"/>
  <c r="F86" i="35"/>
  <c r="G85" i="35"/>
  <c r="F85" i="35"/>
  <c r="G84" i="35"/>
  <c r="F84" i="35"/>
  <c r="D84" i="35"/>
  <c r="G83" i="35"/>
  <c r="F83" i="35"/>
  <c r="D83" i="35"/>
  <c r="G82" i="35"/>
  <c r="F82" i="35"/>
  <c r="G81" i="35"/>
  <c r="F81" i="35"/>
  <c r="G80" i="35"/>
  <c r="F80" i="35"/>
  <c r="G79" i="35"/>
  <c r="F79" i="35"/>
  <c r="G78" i="35"/>
  <c r="F78" i="35"/>
  <c r="G77" i="35"/>
  <c r="F77" i="35"/>
  <c r="G76" i="35"/>
  <c r="F76" i="35"/>
  <c r="G75" i="35"/>
  <c r="F75" i="35"/>
  <c r="G74" i="35"/>
  <c r="G35" i="35"/>
  <c r="D35" i="35"/>
  <c r="G34" i="35"/>
  <c r="D34" i="35"/>
  <c r="K2" i="35"/>
  <c r="I97" i="34"/>
  <c r="D97" i="34"/>
  <c r="I96" i="34"/>
  <c r="D96" i="34"/>
  <c r="I95" i="34"/>
  <c r="I94" i="34"/>
  <c r="I93" i="34"/>
  <c r="D93" i="34"/>
  <c r="I92" i="34"/>
  <c r="D92" i="34"/>
  <c r="I91" i="34"/>
  <c r="I90" i="34"/>
  <c r="I89" i="34"/>
  <c r="I87" i="34"/>
  <c r="I86" i="34"/>
  <c r="I84" i="34"/>
  <c r="D84" i="34"/>
  <c r="I83" i="34"/>
  <c r="D83" i="34"/>
  <c r="I82" i="34"/>
  <c r="I81" i="34"/>
  <c r="I80" i="34"/>
  <c r="I79" i="34"/>
  <c r="I78" i="34"/>
  <c r="I77" i="34"/>
  <c r="I76" i="34"/>
  <c r="I75" i="34"/>
  <c r="G35" i="34"/>
  <c r="D35" i="34"/>
  <c r="G34" i="34"/>
  <c r="D34" i="34"/>
  <c r="K2" i="34"/>
  <c r="BI72" i="13"/>
  <c r="BI71" i="13"/>
  <c r="BI70" i="13"/>
  <c r="BI69" i="13"/>
  <c r="BI68" i="13"/>
  <c r="BI67" i="13"/>
  <c r="BI66" i="13"/>
  <c r="BI65" i="13"/>
  <c r="BI64" i="13"/>
  <c r="BI63" i="13"/>
  <c r="BI62" i="13"/>
  <c r="BI61" i="13"/>
  <c r="BI60" i="13"/>
  <c r="BI59" i="13"/>
  <c r="BI58" i="13"/>
  <c r="BI57" i="13"/>
  <c r="BI56" i="13"/>
  <c r="BI55" i="13"/>
  <c r="BI54" i="13"/>
  <c r="BI53" i="13"/>
  <c r="BI52" i="13"/>
  <c r="BI51" i="13"/>
  <c r="BI50" i="13"/>
  <c r="BI49" i="13"/>
  <c r="BI48" i="13"/>
  <c r="P31" i="33"/>
  <c r="N31" i="33"/>
  <c r="J31" i="33"/>
  <c r="H31" i="33"/>
  <c r="G31" i="33"/>
  <c r="N30" i="33"/>
  <c r="J30" i="33"/>
  <c r="H30" i="33"/>
  <c r="G30" i="33"/>
  <c r="P30" i="33" s="1"/>
  <c r="N29" i="33"/>
  <c r="G29" i="33"/>
  <c r="P29" i="33" s="1"/>
  <c r="P28" i="33"/>
  <c r="N28" i="33"/>
  <c r="G28" i="33"/>
  <c r="N27" i="33"/>
  <c r="J27" i="33"/>
  <c r="H27" i="33"/>
  <c r="G27" i="33"/>
  <c r="P27" i="33" s="1"/>
  <c r="N26" i="33"/>
  <c r="J26" i="33"/>
  <c r="H26" i="33"/>
  <c r="G26" i="33"/>
  <c r="P26" i="33" s="1"/>
  <c r="N25" i="33"/>
  <c r="G25" i="33"/>
  <c r="P25" i="33" s="1"/>
  <c r="N24" i="33"/>
  <c r="G24" i="33"/>
  <c r="P24" i="33" s="1"/>
  <c r="N23" i="33"/>
  <c r="G23" i="33"/>
  <c r="P23" i="33" s="1"/>
  <c r="N22" i="33"/>
  <c r="G22" i="33"/>
  <c r="N21" i="33"/>
  <c r="G21" i="33"/>
  <c r="P21" i="33" s="1"/>
  <c r="N20" i="33"/>
  <c r="G20" i="33"/>
  <c r="P20" i="33" s="1"/>
  <c r="N19" i="33"/>
  <c r="G19" i="33"/>
  <c r="P18" i="33"/>
  <c r="N18" i="33"/>
  <c r="L18" i="33"/>
  <c r="J18" i="33"/>
  <c r="H18" i="33"/>
  <c r="G18" i="33"/>
  <c r="Q18" i="33" s="1"/>
  <c r="P17" i="33"/>
  <c r="N17" i="33"/>
  <c r="L17" i="33"/>
  <c r="J17" i="33"/>
  <c r="H17" i="33"/>
  <c r="G17" i="33"/>
  <c r="Q17" i="33" s="1"/>
  <c r="P16" i="33"/>
  <c r="N16" i="33"/>
  <c r="G16" i="33"/>
  <c r="Q16" i="33" s="1"/>
  <c r="Q15" i="33"/>
  <c r="N15" i="33"/>
  <c r="G15" i="33"/>
  <c r="P15" i="33" s="1"/>
  <c r="Q14" i="33"/>
  <c r="P14" i="33"/>
  <c r="N14" i="33"/>
  <c r="G14" i="33"/>
  <c r="N13" i="33"/>
  <c r="G13" i="33"/>
  <c r="Q13" i="33" s="1"/>
  <c r="Q12" i="33"/>
  <c r="P12" i="33"/>
  <c r="N12" i="33"/>
  <c r="G12" i="33"/>
  <c r="N11" i="33"/>
  <c r="G11" i="33"/>
  <c r="Q11" i="33" s="1"/>
  <c r="N10" i="33"/>
  <c r="G10" i="33"/>
  <c r="Q10" i="33" s="1"/>
  <c r="Q9" i="33"/>
  <c r="P9" i="33"/>
  <c r="N9" i="33"/>
  <c r="G9" i="33"/>
  <c r="N8" i="33"/>
  <c r="G8" i="33"/>
  <c r="K2" i="33"/>
  <c r="J41" i="54" l="1"/>
  <c r="G52" i="54"/>
  <c r="I50" i="54"/>
  <c r="J50" i="54" s="1"/>
  <c r="I51" i="54"/>
  <c r="J51" i="54" s="1"/>
  <c r="Q8" i="33"/>
  <c r="F74" i="34"/>
  <c r="P22" i="33"/>
  <c r="H88" i="34" s="1"/>
  <c r="I88" i="34" s="1"/>
  <c r="F88" i="34"/>
  <c r="P19" i="33"/>
  <c r="H85" i="34" s="1"/>
  <c r="F85" i="34"/>
  <c r="P11" i="33"/>
  <c r="P8" i="33"/>
  <c r="H74" i="34" s="1"/>
  <c r="I74" i="34" s="1"/>
  <c r="P13" i="33"/>
  <c r="P10" i="33"/>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J50" i="13"/>
  <c r="J52" i="13"/>
  <c r="R58" i="7"/>
  <c r="R57" i="7"/>
  <c r="R56" i="7"/>
  <c r="R55" i="7"/>
  <c r="R54" i="7"/>
  <c r="R53" i="7"/>
  <c r="R52" i="7"/>
  <c r="R51" i="7"/>
  <c r="R50" i="7"/>
  <c r="R49" i="7"/>
  <c r="R48" i="7"/>
  <c r="R47" i="7"/>
  <c r="R46" i="7"/>
  <c r="R45" i="7"/>
  <c r="R44" i="7"/>
  <c r="R43"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R13" i="7"/>
  <c r="R12" i="7"/>
  <c r="R11" i="7"/>
  <c r="R10" i="7"/>
  <c r="R9" i="7"/>
  <c r="R8" i="7"/>
  <c r="R7" i="7"/>
  <c r="R6" i="7"/>
  <c r="J52" i="54" l="1"/>
  <c r="I85" i="34"/>
  <c r="I98" i="34" s="1"/>
  <c r="H98" i="34"/>
  <c r="AQ72" i="13"/>
  <c r="AQ71" i="13"/>
  <c r="AQ70" i="13"/>
  <c r="AQ69" i="13"/>
  <c r="AQ68" i="13"/>
  <c r="AQ67" i="13"/>
  <c r="AQ66" i="13"/>
  <c r="AQ65" i="13"/>
  <c r="AQ64" i="13"/>
  <c r="AQ63" i="13"/>
  <c r="AQ62" i="13"/>
  <c r="AQ61" i="13"/>
  <c r="AQ60" i="13"/>
  <c r="AQ59" i="13"/>
  <c r="AQ58" i="13"/>
  <c r="AQ57" i="13"/>
  <c r="AQ56" i="13"/>
  <c r="AQ55" i="13"/>
  <c r="AQ54" i="13"/>
  <c r="AQ53" i="13"/>
  <c r="AQ52" i="13"/>
  <c r="AQ51" i="13"/>
  <c r="AQ50" i="13"/>
  <c r="AQ49" i="13"/>
  <c r="AQ48" i="13"/>
  <c r="AQ46" i="13"/>
  <c r="AQ45" i="13"/>
  <c r="AQ44" i="13"/>
  <c r="AQ43" i="13"/>
  <c r="AQ42" i="13"/>
  <c r="AQ41" i="13"/>
  <c r="AQ40" i="13"/>
  <c r="AQ39" i="13"/>
  <c r="AQ38" i="13"/>
  <c r="AQ37" i="13"/>
  <c r="AQ36" i="13"/>
  <c r="AQ35" i="13"/>
  <c r="AQ34" i="13"/>
  <c r="AQ33" i="13"/>
  <c r="AQ32" i="13"/>
  <c r="AQ31" i="13"/>
  <c r="AQ30" i="13"/>
  <c r="AQ29" i="13"/>
  <c r="AQ28" i="13"/>
  <c r="AQ27" i="13"/>
  <c r="AQ26" i="13"/>
  <c r="AQ25" i="13"/>
  <c r="AQ24" i="13"/>
  <c r="AQ23" i="13"/>
  <c r="AQ22" i="13"/>
  <c r="AQ21" i="13"/>
  <c r="AQ20" i="13"/>
  <c r="AQ19" i="13"/>
  <c r="AQ18" i="13"/>
  <c r="AQ17" i="13"/>
  <c r="AQ16" i="13"/>
  <c r="AQ15" i="13"/>
  <c r="AQ14" i="13"/>
  <c r="AQ13" i="13"/>
  <c r="AQ12" i="13"/>
  <c r="AQ11" i="13"/>
  <c r="AQ10" i="13"/>
  <c r="AQ9" i="13"/>
  <c r="AQ8" i="13"/>
  <c r="AQ7" i="13"/>
  <c r="AB32" i="14"/>
  <c r="AB33" i="14"/>
  <c r="AB34" i="14"/>
  <c r="AB35" i="14"/>
  <c r="AB36" i="14"/>
  <c r="AB37" i="14"/>
  <c r="AB38" i="14"/>
  <c r="AB39" i="14"/>
  <c r="AB40" i="14"/>
  <c r="AB41" i="14"/>
  <c r="AB42" i="14"/>
  <c r="AB43" i="14"/>
  <c r="AB44" i="14"/>
  <c r="AB45" i="14"/>
  <c r="AB46" i="14"/>
  <c r="AB47" i="14"/>
  <c r="AB48" i="14"/>
  <c r="AB49" i="14"/>
  <c r="AB50" i="14"/>
  <c r="AB51" i="14"/>
  <c r="AB52" i="14"/>
  <c r="AB53" i="14"/>
  <c r="AB31" i="14"/>
  <c r="AO7" i="14"/>
  <c r="J64" i="14" l="1"/>
  <c r="AM64" i="14"/>
  <c r="AM63" i="14"/>
  <c r="AM62" i="14"/>
  <c r="AM61" i="14"/>
  <c r="AM60" i="14"/>
  <c r="AM59" i="14"/>
  <c r="AM58" i="14"/>
  <c r="AM57" i="14"/>
  <c r="AM56" i="14"/>
  <c r="AM55" i="14"/>
  <c r="AM53" i="14"/>
  <c r="AM52" i="14"/>
  <c r="AM51" i="14"/>
  <c r="AM50" i="14"/>
  <c r="AM49" i="14"/>
  <c r="AM48" i="14"/>
  <c r="AM47" i="14"/>
  <c r="AM46" i="14"/>
  <c r="AM45" i="14"/>
  <c r="AM44" i="14"/>
  <c r="AM43" i="14"/>
  <c r="AM42" i="14"/>
  <c r="AM41" i="14"/>
  <c r="AM40" i="14"/>
  <c r="AM39" i="14"/>
  <c r="AM38" i="14"/>
  <c r="AM37" i="14"/>
  <c r="AM36" i="14"/>
  <c r="AM35" i="14"/>
  <c r="AM34" i="14"/>
  <c r="AM33" i="14"/>
  <c r="AM32" i="14"/>
  <c r="AM31" i="14"/>
  <c r="AM29" i="14"/>
  <c r="AM28" i="14"/>
  <c r="AM27" i="14"/>
  <c r="AM26" i="14"/>
  <c r="AM25" i="14"/>
  <c r="AM24" i="14"/>
  <c r="AM23" i="14"/>
  <c r="AM22" i="14"/>
  <c r="AM21" i="14"/>
  <c r="AM20" i="14"/>
  <c r="AM19" i="14"/>
  <c r="AM18" i="14"/>
  <c r="AM17" i="14"/>
  <c r="AM16" i="14"/>
  <c r="AM15" i="14"/>
  <c r="AM14" i="14"/>
  <c r="AM13" i="14"/>
  <c r="AM12" i="14"/>
  <c r="AM11" i="14"/>
  <c r="AM10" i="14"/>
  <c r="AM9" i="14"/>
  <c r="AM8" i="14"/>
  <c r="AM7" i="14"/>
  <c r="AJ7" i="13"/>
  <c r="AJ72" i="13"/>
  <c r="AJ71" i="13"/>
  <c r="AJ70" i="13"/>
  <c r="AJ69" i="13"/>
  <c r="AJ68" i="13"/>
  <c r="AJ67" i="13"/>
  <c r="AJ66" i="13"/>
  <c r="AJ65" i="13"/>
  <c r="AJ64" i="13"/>
  <c r="AJ63" i="13"/>
  <c r="AJ62" i="13"/>
  <c r="AJ61" i="13"/>
  <c r="AJ60" i="13"/>
  <c r="AJ59" i="13"/>
  <c r="AJ58" i="13"/>
  <c r="AJ57" i="13"/>
  <c r="AJ56" i="13"/>
  <c r="AJ55" i="13"/>
  <c r="AJ54" i="13"/>
  <c r="AJ53" i="13"/>
  <c r="AJ52" i="13"/>
  <c r="AJ51" i="13"/>
  <c r="AJ50" i="13"/>
  <c r="AJ49" i="13"/>
  <c r="AJ48" i="13"/>
  <c r="AJ46" i="13"/>
  <c r="AJ45" i="13"/>
  <c r="AJ44" i="13"/>
  <c r="AJ43" i="13"/>
  <c r="AJ42" i="13"/>
  <c r="AJ41" i="13"/>
  <c r="AJ40" i="13"/>
  <c r="AJ39" i="13"/>
  <c r="AJ38" i="13"/>
  <c r="AJ37" i="13"/>
  <c r="AJ36" i="13"/>
  <c r="AJ35" i="13"/>
  <c r="AJ34" i="13"/>
  <c r="AJ33" i="13"/>
  <c r="AJ32" i="13"/>
  <c r="AJ31" i="13"/>
  <c r="AJ30" i="13"/>
  <c r="AJ29" i="13"/>
  <c r="AJ28" i="13"/>
  <c r="AJ27" i="13"/>
  <c r="AJ26" i="13"/>
  <c r="AJ25" i="13"/>
  <c r="AJ24" i="13"/>
  <c r="AJ23" i="13"/>
  <c r="AJ22" i="13"/>
  <c r="AJ21" i="13"/>
  <c r="AJ20" i="13"/>
  <c r="AJ19" i="13"/>
  <c r="AJ18" i="13"/>
  <c r="AJ17" i="13"/>
  <c r="AJ16" i="13"/>
  <c r="AJ15" i="13"/>
  <c r="AJ14" i="13"/>
  <c r="AJ13" i="13"/>
  <c r="AJ12" i="13"/>
  <c r="AJ11" i="13"/>
  <c r="AJ10" i="13"/>
  <c r="AJ9" i="13"/>
  <c r="AJ8" i="13"/>
  <c r="AY64" i="14" l="1"/>
  <c r="AX64" i="14"/>
  <c r="AY63" i="14"/>
  <c r="AX63" i="14"/>
  <c r="AY62" i="14"/>
  <c r="AX62" i="14"/>
  <c r="AY61" i="14"/>
  <c r="AX61" i="14"/>
  <c r="AY60" i="14"/>
  <c r="AX60" i="14"/>
  <c r="AY59" i="14"/>
  <c r="AX59" i="14"/>
  <c r="AY58" i="14"/>
  <c r="AX58" i="14"/>
  <c r="AY57" i="14"/>
  <c r="AX57" i="14"/>
  <c r="AY56" i="14"/>
  <c r="AX56" i="14"/>
  <c r="AY55" i="14"/>
  <c r="AX55" i="14"/>
  <c r="AY53" i="14"/>
  <c r="AX53" i="14"/>
  <c r="AY52" i="14"/>
  <c r="AX52" i="14"/>
  <c r="AY51" i="14"/>
  <c r="AX51" i="14"/>
  <c r="AY50" i="14"/>
  <c r="AX50" i="14"/>
  <c r="AY49" i="14"/>
  <c r="AX49" i="14"/>
  <c r="AY48" i="14"/>
  <c r="AX48" i="14"/>
  <c r="AY47" i="14"/>
  <c r="AX47" i="14"/>
  <c r="AY46" i="14"/>
  <c r="AX46" i="14"/>
  <c r="AY45" i="14"/>
  <c r="AX45" i="14"/>
  <c r="AY44" i="14"/>
  <c r="AX44" i="14"/>
  <c r="AY43" i="14"/>
  <c r="AX43" i="14"/>
  <c r="AY42" i="14"/>
  <c r="AX42" i="14"/>
  <c r="AY41" i="14"/>
  <c r="AX41" i="14"/>
  <c r="AY40" i="14"/>
  <c r="AX40" i="14"/>
  <c r="AY39" i="14"/>
  <c r="AX39" i="14"/>
  <c r="AY38" i="14"/>
  <c r="AX38" i="14"/>
  <c r="AY37" i="14"/>
  <c r="AX37" i="14"/>
  <c r="AY36" i="14"/>
  <c r="AX36" i="14"/>
  <c r="AY35" i="14"/>
  <c r="AX35" i="14"/>
  <c r="AY34" i="14"/>
  <c r="AX34" i="14"/>
  <c r="AY33" i="14"/>
  <c r="AX33" i="14"/>
  <c r="AY32" i="14"/>
  <c r="AX32" i="14"/>
  <c r="AY31" i="14"/>
  <c r="AX31" i="14"/>
  <c r="AY29" i="14"/>
  <c r="AX29" i="14"/>
  <c r="AY28" i="14"/>
  <c r="AX28" i="14"/>
  <c r="AY27" i="14"/>
  <c r="AX27" i="14"/>
  <c r="AY26" i="14"/>
  <c r="AX26" i="14"/>
  <c r="AY25" i="14"/>
  <c r="AX25" i="14"/>
  <c r="AY24" i="14"/>
  <c r="AX24" i="14"/>
  <c r="AY23" i="14"/>
  <c r="AX23" i="14"/>
  <c r="AY22" i="14"/>
  <c r="AX22" i="14"/>
  <c r="AY21" i="14"/>
  <c r="AX21" i="14"/>
  <c r="AY20" i="14"/>
  <c r="AX20" i="14"/>
  <c r="AY19" i="14"/>
  <c r="AX19" i="14"/>
  <c r="AY18" i="14"/>
  <c r="AX18" i="14"/>
  <c r="AY17" i="14"/>
  <c r="AX17" i="14"/>
  <c r="AY16" i="14"/>
  <c r="AX16" i="14"/>
  <c r="AY15" i="14"/>
  <c r="AX15" i="14"/>
  <c r="AY14" i="14"/>
  <c r="AX14" i="14"/>
  <c r="AY13" i="14"/>
  <c r="AX13" i="14"/>
  <c r="AY12" i="14"/>
  <c r="AX12" i="14"/>
  <c r="AY11" i="14"/>
  <c r="AX11" i="14"/>
  <c r="AY10" i="14"/>
  <c r="AX10" i="14"/>
  <c r="AY9" i="14"/>
  <c r="AX9" i="14"/>
  <c r="AY8" i="14"/>
  <c r="AX8" i="14"/>
  <c r="AY7" i="14"/>
  <c r="AX7" i="14"/>
  <c r="BB64" i="14"/>
  <c r="BA64" i="14"/>
  <c r="BA63" i="14"/>
  <c r="BA62" i="14"/>
  <c r="BA61" i="14"/>
  <c r="BA60" i="14"/>
  <c r="BA59" i="14"/>
  <c r="BA58" i="14"/>
  <c r="BA57" i="14"/>
  <c r="BA56" i="14"/>
  <c r="BA55" i="14"/>
  <c r="BA53" i="14"/>
  <c r="BA52" i="14"/>
  <c r="BA51" i="14"/>
  <c r="BA50" i="14"/>
  <c r="BA49" i="14"/>
  <c r="BA48" i="14"/>
  <c r="BA47" i="14"/>
  <c r="BA46" i="14"/>
  <c r="BA45" i="14"/>
  <c r="BA44" i="14"/>
  <c r="BA43" i="14"/>
  <c r="BA42" i="14"/>
  <c r="BA41" i="14"/>
  <c r="BA40" i="14"/>
  <c r="BA39" i="14"/>
  <c r="BA38" i="14"/>
  <c r="BA37" i="14"/>
  <c r="BA36" i="14"/>
  <c r="BA35" i="14"/>
  <c r="BA34" i="14"/>
  <c r="BA33" i="14"/>
  <c r="BA32" i="14"/>
  <c r="BA31" i="14"/>
  <c r="BA29" i="14"/>
  <c r="BA28" i="14"/>
  <c r="BA27" i="14"/>
  <c r="BA26" i="14"/>
  <c r="BA25" i="14"/>
  <c r="BA24" i="14"/>
  <c r="BA23" i="14"/>
  <c r="BA22" i="14"/>
  <c r="BA21" i="14"/>
  <c r="BA20" i="14"/>
  <c r="BA19" i="14"/>
  <c r="BA18" i="14"/>
  <c r="BA17" i="14"/>
  <c r="BA16" i="14"/>
  <c r="BA15" i="14"/>
  <c r="BA14" i="14"/>
  <c r="BA13" i="14"/>
  <c r="BA12" i="14"/>
  <c r="BA11" i="14"/>
  <c r="BA10" i="14"/>
  <c r="BA9" i="14"/>
  <c r="BA8" i="14"/>
  <c r="BA7" i="14"/>
  <c r="BE72" i="13"/>
  <c r="BB72" i="13"/>
  <c r="BA72" i="13"/>
  <c r="BE71" i="13"/>
  <c r="BB71" i="13"/>
  <c r="BA71" i="13"/>
  <c r="BE70" i="13"/>
  <c r="BB70" i="13"/>
  <c r="BA70" i="13"/>
  <c r="BE69" i="13"/>
  <c r="BB69" i="13"/>
  <c r="BA69" i="13"/>
  <c r="BE68" i="13"/>
  <c r="BB68" i="13"/>
  <c r="BA68" i="13"/>
  <c r="BE67" i="13"/>
  <c r="BB67" i="13"/>
  <c r="BA67" i="13"/>
  <c r="BE66" i="13"/>
  <c r="BB66" i="13"/>
  <c r="BA66" i="13"/>
  <c r="BE65" i="13"/>
  <c r="BB65" i="13"/>
  <c r="BA65" i="13"/>
  <c r="BE64" i="13"/>
  <c r="BB64" i="13"/>
  <c r="BA64" i="13"/>
  <c r="BE63" i="13"/>
  <c r="BB63" i="13"/>
  <c r="BA63" i="13"/>
  <c r="BE62" i="13"/>
  <c r="BB62" i="13"/>
  <c r="BA62" i="13"/>
  <c r="BE61" i="13"/>
  <c r="BB61" i="13"/>
  <c r="BA61" i="13"/>
  <c r="BE60" i="13"/>
  <c r="BB60" i="13"/>
  <c r="BA60" i="13"/>
  <c r="BE59" i="13"/>
  <c r="BB59" i="13"/>
  <c r="BA59" i="13"/>
  <c r="BE58" i="13"/>
  <c r="BB58" i="13"/>
  <c r="BA58" i="13"/>
  <c r="BE57" i="13"/>
  <c r="BB57" i="13"/>
  <c r="BA57" i="13"/>
  <c r="BE56" i="13"/>
  <c r="BB56" i="13"/>
  <c r="BA56" i="13"/>
  <c r="BE55" i="13"/>
  <c r="BB55" i="13"/>
  <c r="BA55" i="13"/>
  <c r="BE54" i="13"/>
  <c r="BB54" i="13"/>
  <c r="BA54" i="13"/>
  <c r="BE53" i="13"/>
  <c r="BB53" i="13"/>
  <c r="BA53" i="13"/>
  <c r="BE52" i="13"/>
  <c r="BB52" i="13"/>
  <c r="BA52" i="13"/>
  <c r="BE51" i="13"/>
  <c r="BB51" i="13"/>
  <c r="BA51" i="13"/>
  <c r="BE50" i="13"/>
  <c r="BB50" i="13"/>
  <c r="BA50" i="13"/>
  <c r="BE49" i="13"/>
  <c r="BB49" i="13"/>
  <c r="BA49" i="13"/>
  <c r="BE48" i="13"/>
  <c r="BB48" i="13"/>
  <c r="BA48" i="13"/>
  <c r="BE46" i="13"/>
  <c r="BB46" i="13"/>
  <c r="BA46" i="13"/>
  <c r="BE45" i="13"/>
  <c r="BB45" i="13"/>
  <c r="BA45" i="13"/>
  <c r="BE44" i="13"/>
  <c r="BB44" i="13"/>
  <c r="BA44" i="13"/>
  <c r="BE43" i="13"/>
  <c r="BB43" i="13"/>
  <c r="BA43" i="13"/>
  <c r="BE42" i="13"/>
  <c r="BB42" i="13"/>
  <c r="BA42" i="13"/>
  <c r="BE41" i="13"/>
  <c r="BB41" i="13"/>
  <c r="BA41" i="13"/>
  <c r="BE40" i="13"/>
  <c r="BB40" i="13"/>
  <c r="BA40" i="13"/>
  <c r="BE39" i="13"/>
  <c r="BB39" i="13"/>
  <c r="BA39" i="13"/>
  <c r="BE38" i="13"/>
  <c r="BB38" i="13"/>
  <c r="BA38" i="13"/>
  <c r="BE37" i="13"/>
  <c r="BB37" i="13"/>
  <c r="BA37" i="13"/>
  <c r="BE36" i="13"/>
  <c r="BB36" i="13"/>
  <c r="BA36" i="13"/>
  <c r="BE35" i="13"/>
  <c r="BB35" i="13"/>
  <c r="BA35" i="13"/>
  <c r="BE34" i="13"/>
  <c r="BB34" i="13"/>
  <c r="BA34" i="13"/>
  <c r="BE33" i="13"/>
  <c r="BB33" i="13"/>
  <c r="BA33" i="13"/>
  <c r="BE32" i="13"/>
  <c r="BB32" i="13"/>
  <c r="BA32" i="13"/>
  <c r="BE31" i="13"/>
  <c r="BB31" i="13"/>
  <c r="BA31" i="13"/>
  <c r="BE30" i="13"/>
  <c r="BB30" i="13"/>
  <c r="BA30" i="13"/>
  <c r="BE29" i="13"/>
  <c r="BB29" i="13"/>
  <c r="BA29" i="13"/>
  <c r="BE28" i="13"/>
  <c r="BB28" i="13"/>
  <c r="BA28" i="13"/>
  <c r="BE27" i="13"/>
  <c r="BB27" i="13"/>
  <c r="BA27" i="13"/>
  <c r="BE26" i="13"/>
  <c r="BB26" i="13"/>
  <c r="BA26" i="13"/>
  <c r="BE25" i="13"/>
  <c r="BB25" i="13"/>
  <c r="BA25" i="13"/>
  <c r="BE24" i="13"/>
  <c r="BB24" i="13"/>
  <c r="BA24" i="13"/>
  <c r="BE23" i="13"/>
  <c r="BB23" i="13"/>
  <c r="BA23" i="13"/>
  <c r="BE22" i="13"/>
  <c r="BB22" i="13"/>
  <c r="BA22" i="13"/>
  <c r="BE21" i="13"/>
  <c r="BB21" i="13"/>
  <c r="BA21" i="13"/>
  <c r="BE20" i="13"/>
  <c r="BB20" i="13"/>
  <c r="BA20" i="13"/>
  <c r="BE19" i="13"/>
  <c r="BB19" i="13"/>
  <c r="BA19" i="13"/>
  <c r="BE18" i="13"/>
  <c r="BB18" i="13"/>
  <c r="BA18" i="13"/>
  <c r="BE17" i="13"/>
  <c r="BB17" i="13"/>
  <c r="BA17" i="13"/>
  <c r="BE16" i="13"/>
  <c r="BB16" i="13"/>
  <c r="BA16" i="13"/>
  <c r="BE15" i="13"/>
  <c r="BB15" i="13"/>
  <c r="BA15" i="13"/>
  <c r="BE14" i="13"/>
  <c r="BB14" i="13"/>
  <c r="BA14" i="13"/>
  <c r="BE13" i="13"/>
  <c r="BB13" i="13"/>
  <c r="BA13" i="13"/>
  <c r="BE12" i="13"/>
  <c r="BB12" i="13"/>
  <c r="BA12" i="13"/>
  <c r="BE11" i="13"/>
  <c r="BB11" i="13"/>
  <c r="BA11" i="13"/>
  <c r="BE10" i="13"/>
  <c r="BB10" i="13"/>
  <c r="BA10" i="13"/>
  <c r="BE9" i="13"/>
  <c r="BB9" i="13"/>
  <c r="BA9" i="13"/>
  <c r="BE8" i="13"/>
  <c r="BB8" i="13"/>
  <c r="BA8" i="13"/>
  <c r="BE7" i="13"/>
  <c r="BB7" i="13"/>
  <c r="BA7" i="13"/>
  <c r="K96" i="8" l="1"/>
  <c r="Q64" i="14" l="1"/>
  <c r="Q63" i="14"/>
  <c r="Q62" i="14"/>
  <c r="Q61" i="14"/>
  <c r="Q60" i="14"/>
  <c r="Q59" i="14"/>
  <c r="Q58" i="14"/>
  <c r="Q57" i="14"/>
  <c r="Q56" i="14"/>
  <c r="Q55" i="14"/>
  <c r="Q53" i="14"/>
  <c r="Q52" i="14"/>
  <c r="Q51" i="14"/>
  <c r="Q50" i="14"/>
  <c r="Q49" i="14"/>
  <c r="Q48" i="14"/>
  <c r="Q47" i="14"/>
  <c r="Q46" i="14"/>
  <c r="Q45" i="14"/>
  <c r="Q44" i="14"/>
  <c r="Q43" i="14"/>
  <c r="Q42" i="14"/>
  <c r="Q41" i="14"/>
  <c r="Q40" i="14"/>
  <c r="Q39" i="14"/>
  <c r="Q38" i="14"/>
  <c r="Q37" i="14"/>
  <c r="Q36" i="14"/>
  <c r="Q35" i="14"/>
  <c r="Q34" i="14"/>
  <c r="Q33" i="14"/>
  <c r="Q32" i="14"/>
  <c r="Q31" i="14"/>
  <c r="Q29" i="14"/>
  <c r="Q28" i="14"/>
  <c r="Q27" i="14"/>
  <c r="Q26" i="14"/>
  <c r="Q25" i="14"/>
  <c r="Q24" i="14"/>
  <c r="Q23" i="14"/>
  <c r="Q22" i="14"/>
  <c r="Q21" i="14"/>
  <c r="Q20" i="14"/>
  <c r="Q19" i="14"/>
  <c r="Q18" i="14"/>
  <c r="Q17" i="14"/>
  <c r="Q16" i="14"/>
  <c r="Q15" i="14"/>
  <c r="Q14" i="14"/>
  <c r="Q13" i="14"/>
  <c r="Q12" i="14"/>
  <c r="Q11" i="14"/>
  <c r="Q10" i="14"/>
  <c r="Q9" i="14"/>
  <c r="Q8" i="14"/>
  <c r="Q7" i="14"/>
  <c r="T7" i="13"/>
  <c r="J46" i="13"/>
  <c r="J45" i="13"/>
  <c r="J44" i="13"/>
  <c r="J43" i="13"/>
  <c r="J42" i="13"/>
  <c r="J41" i="13"/>
  <c r="J40" i="13"/>
  <c r="J39" i="13"/>
  <c r="J38" i="13"/>
  <c r="J37" i="13"/>
  <c r="T72" i="13" l="1"/>
  <c r="T71" i="13"/>
  <c r="T70" i="13"/>
  <c r="T69" i="13"/>
  <c r="T68" i="13"/>
  <c r="T67" i="13"/>
  <c r="T66" i="13"/>
  <c r="T65" i="13"/>
  <c r="T64" i="13"/>
  <c r="T63" i="13"/>
  <c r="T62" i="13"/>
  <c r="T61" i="13"/>
  <c r="T60" i="13"/>
  <c r="T59" i="13"/>
  <c r="T58" i="13"/>
  <c r="T57" i="13"/>
  <c r="T56" i="13"/>
  <c r="T55" i="13"/>
  <c r="T54" i="13"/>
  <c r="T53" i="13"/>
  <c r="T52" i="13"/>
  <c r="T51" i="13"/>
  <c r="T50" i="13"/>
  <c r="T49" i="13"/>
  <c r="T48" i="13"/>
  <c r="T46" i="13"/>
  <c r="T45" i="13"/>
  <c r="T44" i="13"/>
  <c r="T43" i="13"/>
  <c r="T42" i="13"/>
  <c r="T41" i="13"/>
  <c r="T40" i="13"/>
  <c r="T39" i="13"/>
  <c r="T38" i="13"/>
  <c r="T37" i="13"/>
  <c r="T36" i="13"/>
  <c r="T35" i="13"/>
  <c r="T34" i="13"/>
  <c r="T33" i="13"/>
  <c r="T32" i="13"/>
  <c r="T31" i="13"/>
  <c r="T30" i="13"/>
  <c r="T29" i="13"/>
  <c r="T28" i="13"/>
  <c r="T27" i="13"/>
  <c r="T26" i="13"/>
  <c r="T25" i="13"/>
  <c r="T24" i="13"/>
  <c r="T23" i="13"/>
  <c r="T22" i="13"/>
  <c r="T21" i="13"/>
  <c r="T20" i="13"/>
  <c r="T19" i="13"/>
  <c r="T18" i="13"/>
  <c r="T17" i="13"/>
  <c r="T16" i="13"/>
  <c r="T15" i="13"/>
  <c r="T14" i="13"/>
  <c r="T13" i="13"/>
  <c r="T12" i="13"/>
  <c r="T11" i="13"/>
  <c r="T10" i="13"/>
  <c r="T9" i="13"/>
  <c r="T8" i="13"/>
  <c r="J59" i="10"/>
  <c r="J58" i="10"/>
  <c r="J57" i="10"/>
  <c r="J56" i="10"/>
  <c r="J55" i="10"/>
  <c r="J54" i="10"/>
  <c r="J53" i="10"/>
  <c r="J52" i="10"/>
  <c r="J51" i="10"/>
  <c r="J50" i="10"/>
  <c r="J49" i="10"/>
  <c r="J48" i="10"/>
  <c r="J47" i="10"/>
  <c r="J46" i="10"/>
  <c r="J45" i="10"/>
  <c r="J40" i="10"/>
  <c r="J43" i="10"/>
  <c r="J42" i="10"/>
  <c r="J41"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K91" i="8" l="1"/>
  <c r="K88" i="8"/>
  <c r="J33" i="14" l="1"/>
  <c r="BB33" i="14" s="1"/>
  <c r="J49" i="13"/>
  <c r="J51" i="13" l="1"/>
  <c r="J53" i="13"/>
  <c r="J54" i="13"/>
  <c r="J55" i="13"/>
  <c r="J56" i="13"/>
  <c r="J57" i="13"/>
  <c r="J58" i="13"/>
  <c r="J59" i="13"/>
  <c r="J60" i="13"/>
  <c r="J61" i="13"/>
  <c r="J62" i="13"/>
  <c r="J63" i="13"/>
  <c r="J64" i="13"/>
  <c r="J65" i="13"/>
  <c r="J66" i="13"/>
  <c r="J67" i="13"/>
  <c r="J68" i="13"/>
  <c r="J69" i="13"/>
  <c r="J70" i="13"/>
  <c r="J71" i="13"/>
  <c r="J72" i="13"/>
  <c r="AU32" i="14" l="1"/>
  <c r="AU33" i="14"/>
  <c r="AU34" i="14"/>
  <c r="AU35" i="14"/>
  <c r="AU36" i="14"/>
  <c r="AU37" i="14"/>
  <c r="AU38" i="14"/>
  <c r="AU39" i="14"/>
  <c r="AU40" i="14"/>
  <c r="AU41" i="14"/>
  <c r="AU42" i="14"/>
  <c r="AU43" i="14"/>
  <c r="AU44" i="14"/>
  <c r="AU45" i="14"/>
  <c r="AU46" i="14"/>
  <c r="AU47" i="14"/>
  <c r="AU48" i="14"/>
  <c r="AU49" i="14"/>
  <c r="AU50" i="14"/>
  <c r="AU51" i="14"/>
  <c r="AU52" i="14"/>
  <c r="AU53" i="14"/>
  <c r="AU31" i="14"/>
  <c r="AU56" i="14"/>
  <c r="AU57" i="14"/>
  <c r="AU58" i="14"/>
  <c r="AU59" i="14"/>
  <c r="AU60" i="14"/>
  <c r="AU61" i="14"/>
  <c r="AU62" i="14"/>
  <c r="AU63" i="14"/>
  <c r="AU64" i="14"/>
  <c r="AU55" i="14"/>
  <c r="AU8" i="14"/>
  <c r="AU9" i="14"/>
  <c r="AU10" i="14"/>
  <c r="AU11" i="14"/>
  <c r="AU12" i="14"/>
  <c r="AU13" i="14"/>
  <c r="AU14" i="14"/>
  <c r="AU15" i="14"/>
  <c r="AU16" i="14"/>
  <c r="AU17" i="14"/>
  <c r="AU18" i="14"/>
  <c r="AU19" i="14"/>
  <c r="AU20" i="14"/>
  <c r="AU21" i="14"/>
  <c r="AU22" i="14"/>
  <c r="AU23" i="14"/>
  <c r="AU24" i="14"/>
  <c r="AU25" i="14"/>
  <c r="AU26" i="14"/>
  <c r="AU27" i="14"/>
  <c r="AU28" i="14"/>
  <c r="AU29" i="14"/>
  <c r="AU7" i="14"/>
  <c r="AX49" i="13" l="1"/>
  <c r="AX50" i="13"/>
  <c r="AX51" i="13"/>
  <c r="AX52" i="13"/>
  <c r="AX53" i="13"/>
  <c r="AX54" i="13"/>
  <c r="AX55" i="13"/>
  <c r="AX56" i="13"/>
  <c r="AX57" i="13"/>
  <c r="AX58" i="13"/>
  <c r="AX59" i="13"/>
  <c r="AX60" i="13"/>
  <c r="AX61" i="13"/>
  <c r="AX62" i="13"/>
  <c r="AX63" i="13"/>
  <c r="AX64" i="13"/>
  <c r="AX65" i="13"/>
  <c r="AX66" i="13"/>
  <c r="AX67" i="13"/>
  <c r="AX68" i="13"/>
  <c r="AX69" i="13"/>
  <c r="AX70" i="13"/>
  <c r="AX71" i="13"/>
  <c r="AX72" i="13"/>
  <c r="AX48" i="13"/>
  <c r="AX8" i="13"/>
  <c r="AX9" i="13"/>
  <c r="AX10" i="13"/>
  <c r="AX11" i="13"/>
  <c r="AX12" i="13"/>
  <c r="AX13" i="13"/>
  <c r="AX14" i="13"/>
  <c r="AX15" i="13"/>
  <c r="AX16" i="13"/>
  <c r="AX17" i="13"/>
  <c r="AX18" i="13"/>
  <c r="AX19" i="13"/>
  <c r="AX20" i="13"/>
  <c r="AX21" i="13"/>
  <c r="AX22" i="13"/>
  <c r="AX23" i="13"/>
  <c r="AX24" i="13"/>
  <c r="AX25" i="13"/>
  <c r="AX26" i="13"/>
  <c r="AX27" i="13"/>
  <c r="AX28" i="13"/>
  <c r="AX29" i="13"/>
  <c r="AX30" i="13"/>
  <c r="AX31" i="13"/>
  <c r="AX32" i="13"/>
  <c r="AX33" i="13"/>
  <c r="AX34" i="13"/>
  <c r="AX35" i="13"/>
  <c r="AX36" i="13"/>
  <c r="AX37" i="13"/>
  <c r="AX38" i="13"/>
  <c r="AX39" i="13"/>
  <c r="AX40" i="13"/>
  <c r="AX41" i="13"/>
  <c r="AX42" i="13"/>
  <c r="AX43" i="13"/>
  <c r="AX44" i="13"/>
  <c r="AX45" i="13"/>
  <c r="AX46" i="13"/>
  <c r="AX7" i="13"/>
  <c r="AG46" i="10"/>
  <c r="AG47" i="10"/>
  <c r="AG48" i="10"/>
  <c r="AG49" i="10"/>
  <c r="AG50" i="10"/>
  <c r="AG51" i="10"/>
  <c r="AG52" i="10"/>
  <c r="AG53" i="10"/>
  <c r="AG54" i="10"/>
  <c r="AG55" i="10"/>
  <c r="AG56" i="10"/>
  <c r="AG57" i="10"/>
  <c r="AG58" i="10"/>
  <c r="AG59" i="10"/>
  <c r="AG45" i="10"/>
  <c r="AG8" i="10"/>
  <c r="AG9" i="10"/>
  <c r="AG10" i="10"/>
  <c r="AG11" i="10"/>
  <c r="AG12" i="10"/>
  <c r="AG13" i="10"/>
  <c r="AG14" i="10"/>
  <c r="AG15" i="10"/>
  <c r="AG16" i="10"/>
  <c r="AG17" i="10"/>
  <c r="AG18" i="10"/>
  <c r="AG19" i="10"/>
  <c r="AG20" i="10"/>
  <c r="AG21" i="10"/>
  <c r="AG22" i="10"/>
  <c r="AG23" i="10"/>
  <c r="AG24" i="10"/>
  <c r="AG25" i="10"/>
  <c r="AG26" i="10"/>
  <c r="AG27" i="10"/>
  <c r="AG28" i="10"/>
  <c r="AG29" i="10"/>
  <c r="AG30" i="10"/>
  <c r="AG31" i="10"/>
  <c r="AG32" i="10"/>
  <c r="AG33" i="10"/>
  <c r="AG34" i="10"/>
  <c r="AG35" i="10"/>
  <c r="AG36" i="10"/>
  <c r="AG37" i="10"/>
  <c r="AG38" i="10"/>
  <c r="AG39" i="10"/>
  <c r="AG40" i="10"/>
  <c r="AG41" i="10"/>
  <c r="AG42" i="10"/>
  <c r="AG43" i="10"/>
  <c r="AG7" i="10"/>
  <c r="AU41" i="13" l="1"/>
  <c r="AW41" i="13"/>
  <c r="AU42" i="13"/>
  <c r="AW42" i="13"/>
  <c r="AU43" i="13"/>
  <c r="AW43" i="13"/>
  <c r="AU44" i="13"/>
  <c r="AW44" i="13"/>
  <c r="AU45" i="13"/>
  <c r="AW45" i="13"/>
  <c r="AU46" i="13"/>
  <c r="AW46" i="13"/>
  <c r="AK41" i="13"/>
  <c r="AP41" i="13"/>
  <c r="AZ41" i="13" s="1"/>
  <c r="AK42" i="13"/>
  <c r="AP42" i="13"/>
  <c r="AZ42" i="13" s="1"/>
  <c r="AK43" i="13"/>
  <c r="AP43" i="13"/>
  <c r="AZ43" i="13" s="1"/>
  <c r="AK44" i="13"/>
  <c r="AP44" i="13"/>
  <c r="AZ44" i="13" s="1"/>
  <c r="AK45" i="13"/>
  <c r="AP45" i="13"/>
  <c r="AZ45" i="13" s="1"/>
  <c r="AK46" i="13"/>
  <c r="AP46" i="13"/>
  <c r="AZ46" i="13" s="1"/>
  <c r="Z41" i="13"/>
  <c r="AA41" i="13"/>
  <c r="Z42" i="13"/>
  <c r="AA42" i="13"/>
  <c r="AC42" i="13"/>
  <c r="Z43" i="13"/>
  <c r="AA43" i="13"/>
  <c r="Z44" i="13"/>
  <c r="AA44" i="13"/>
  <c r="Z45" i="13"/>
  <c r="AA45" i="13"/>
  <c r="Z46" i="13"/>
  <c r="AA46" i="13"/>
  <c r="V41" i="13"/>
  <c r="V42" i="13"/>
  <c r="V43" i="13"/>
  <c r="V44" i="13"/>
  <c r="V45" i="13"/>
  <c r="V46" i="13"/>
  <c r="AU68" i="13"/>
  <c r="AW68" i="13"/>
  <c r="AU69" i="13"/>
  <c r="AW69" i="13"/>
  <c r="AU70" i="13"/>
  <c r="AW70" i="13"/>
  <c r="AK68" i="13"/>
  <c r="AP68" i="13"/>
  <c r="AZ68" i="13" s="1"/>
  <c r="AK69" i="13"/>
  <c r="AP69" i="13"/>
  <c r="AZ69" i="13" s="1"/>
  <c r="AK70" i="13"/>
  <c r="AP70" i="13"/>
  <c r="AZ70" i="13" s="1"/>
  <c r="Z68" i="13"/>
  <c r="AA68" i="13"/>
  <c r="Z69" i="13"/>
  <c r="AA69" i="13"/>
  <c r="Z70" i="13"/>
  <c r="AA70" i="13"/>
  <c r="V68" i="13"/>
  <c r="V69" i="13"/>
  <c r="V70" i="13"/>
  <c r="AU37" i="13"/>
  <c r="AW37" i="13"/>
  <c r="AU38" i="13"/>
  <c r="AW38" i="13"/>
  <c r="AU39" i="13"/>
  <c r="AW39" i="13"/>
  <c r="AU40" i="13"/>
  <c r="AW40" i="13"/>
  <c r="AK37" i="13"/>
  <c r="AP37" i="13"/>
  <c r="AZ37" i="13" s="1"/>
  <c r="AK38" i="13"/>
  <c r="AP38" i="13"/>
  <c r="AZ38" i="13" s="1"/>
  <c r="AK39" i="13"/>
  <c r="AP39" i="13"/>
  <c r="AZ39" i="13" s="1"/>
  <c r="AK40" i="13"/>
  <c r="AP40" i="13"/>
  <c r="AZ40" i="13" s="1"/>
  <c r="Z37" i="13"/>
  <c r="AA37" i="13"/>
  <c r="Z38" i="13"/>
  <c r="AA38" i="13"/>
  <c r="Z39" i="13"/>
  <c r="AA39" i="13"/>
  <c r="Z40" i="13"/>
  <c r="AA40" i="13"/>
  <c r="V37" i="13"/>
  <c r="V38" i="13"/>
  <c r="V39" i="13"/>
  <c r="V40" i="13"/>
  <c r="Z58" i="10"/>
  <c r="AB58" i="10"/>
  <c r="AD58" i="10"/>
  <c r="AF58" i="10"/>
  <c r="R58" i="10"/>
  <c r="S58" i="10"/>
  <c r="T58" i="10"/>
  <c r="X58" i="10"/>
  <c r="Y58" i="10" s="1"/>
  <c r="L58" i="10"/>
  <c r="M58" i="10"/>
  <c r="O58" i="10"/>
  <c r="Z42" i="10"/>
  <c r="AB42" i="10"/>
  <c r="AD42" i="10"/>
  <c r="AF42" i="10"/>
  <c r="R42" i="10"/>
  <c r="S42" i="10"/>
  <c r="T42" i="10"/>
  <c r="X42" i="10"/>
  <c r="Y42" i="10" s="1"/>
  <c r="L42" i="10"/>
  <c r="M42" i="10"/>
  <c r="O42" i="10"/>
  <c r="Z41" i="10"/>
  <c r="AB41" i="10"/>
  <c r="AD41" i="10"/>
  <c r="AF41" i="10"/>
  <c r="R41" i="10"/>
  <c r="S41" i="10"/>
  <c r="T41" i="10"/>
  <c r="X41" i="10"/>
  <c r="Y41" i="10" s="1"/>
  <c r="L41" i="10"/>
  <c r="M41" i="10"/>
  <c r="O41" i="10"/>
  <c r="H50" i="7"/>
  <c r="I50" i="7"/>
  <c r="M50" i="7" s="1"/>
  <c r="K50" i="7"/>
  <c r="L50" i="7"/>
  <c r="N50" i="7"/>
  <c r="O50" i="7"/>
  <c r="H51" i="7"/>
  <c r="I51" i="7"/>
  <c r="J51" i="7" s="1"/>
  <c r="E51" i="7" s="1"/>
  <c r="K51" i="7"/>
  <c r="L51" i="7"/>
  <c r="N51" i="7"/>
  <c r="O51" i="7"/>
  <c r="H52" i="7"/>
  <c r="I52" i="7"/>
  <c r="J52" i="7" s="1"/>
  <c r="E52" i="7" s="1"/>
  <c r="K52" i="7"/>
  <c r="L52" i="7"/>
  <c r="N52" i="7"/>
  <c r="O52" i="7"/>
  <c r="H53" i="7"/>
  <c r="I53" i="7"/>
  <c r="M53" i="7" s="1"/>
  <c r="J53" i="7"/>
  <c r="E53" i="7" s="1"/>
  <c r="K53" i="7"/>
  <c r="L53" i="7"/>
  <c r="N53" i="7"/>
  <c r="O53" i="7"/>
  <c r="AG38" i="13" l="1"/>
  <c r="I38" i="13"/>
  <c r="BD38" i="13" s="1"/>
  <c r="H38" i="13"/>
  <c r="BC38" i="13" s="1"/>
  <c r="AI43" i="13"/>
  <c r="M43" i="13" s="1"/>
  <c r="I43" i="13"/>
  <c r="BD43" i="13" s="1"/>
  <c r="H43" i="13"/>
  <c r="BC43" i="13" s="1"/>
  <c r="AR44" i="13"/>
  <c r="I44" i="13"/>
  <c r="BD44" i="13" s="1"/>
  <c r="H44" i="13"/>
  <c r="BC44" i="13" s="1"/>
  <c r="I69" i="13"/>
  <c r="BD69" i="13" s="1"/>
  <c r="H69" i="13"/>
  <c r="BC69" i="13" s="1"/>
  <c r="AE70" i="13"/>
  <c r="H70" i="13"/>
  <c r="BC70" i="13" s="1"/>
  <c r="I70" i="13"/>
  <c r="BD70" i="13" s="1"/>
  <c r="AG46" i="13"/>
  <c r="I46" i="13"/>
  <c r="BD46" i="13" s="1"/>
  <c r="H46" i="13"/>
  <c r="BC46" i="13" s="1"/>
  <c r="AE40" i="13"/>
  <c r="I40" i="13"/>
  <c r="BD40" i="13" s="1"/>
  <c r="H40" i="13"/>
  <c r="BC40" i="13" s="1"/>
  <c r="H68" i="13"/>
  <c r="BC68" i="13" s="1"/>
  <c r="I68" i="13"/>
  <c r="BD68" i="13" s="1"/>
  <c r="AD42" i="13"/>
  <c r="I42" i="13"/>
  <c r="BD42" i="13" s="1"/>
  <c r="H42" i="13"/>
  <c r="BC42" i="13" s="1"/>
  <c r="AB37" i="13"/>
  <c r="H37" i="13"/>
  <c r="BC37" i="13" s="1"/>
  <c r="I37" i="13"/>
  <c r="BD37" i="13" s="1"/>
  <c r="AC45" i="13"/>
  <c r="I45" i="13"/>
  <c r="BD45" i="13" s="1"/>
  <c r="H45" i="13"/>
  <c r="BC45" i="13" s="1"/>
  <c r="AI39" i="13"/>
  <c r="M39" i="13" s="1"/>
  <c r="I39" i="13"/>
  <c r="BD39" i="13" s="1"/>
  <c r="H39" i="13"/>
  <c r="BC39" i="13" s="1"/>
  <c r="AF70" i="13"/>
  <c r="AH41" i="13"/>
  <c r="L41" i="13" s="1"/>
  <c r="BF41" i="13" s="1"/>
  <c r="H41" i="13"/>
  <c r="BC41" i="13" s="1"/>
  <c r="I41" i="13"/>
  <c r="BD41" i="13" s="1"/>
  <c r="F53" i="7"/>
  <c r="Q53" i="7"/>
  <c r="M51" i="7"/>
  <c r="M52" i="7"/>
  <c r="F50" i="7"/>
  <c r="Q50" i="7"/>
  <c r="AF46" i="13"/>
  <c r="AE46" i="13"/>
  <c r="AG44" i="13"/>
  <c r="AF44" i="13"/>
  <c r="AE44" i="13"/>
  <c r="AD44" i="13"/>
  <c r="AC44" i="13"/>
  <c r="AB44" i="13"/>
  <c r="J50" i="7"/>
  <c r="E50" i="7" s="1"/>
  <c r="AB68" i="13"/>
  <c r="AI70" i="13"/>
  <c r="M70" i="13" s="1"/>
  <c r="AG69" i="13"/>
  <c r="AD68" i="13"/>
  <c r="AD46" i="13"/>
  <c r="AC46" i="13"/>
  <c r="AB46" i="13"/>
  <c r="AD70" i="13"/>
  <c r="AB45" i="13"/>
  <c r="AC70" i="13"/>
  <c r="AC43" i="13"/>
  <c r="AB43" i="13"/>
  <c r="AD43" i="13"/>
  <c r="U42" i="10"/>
  <c r="W42" i="10" s="1"/>
  <c r="P42" i="10" s="1"/>
  <c r="AR46" i="13"/>
  <c r="AT46" i="13"/>
  <c r="AB42" i="13"/>
  <c r="AG43" i="13"/>
  <c r="AL42" i="13"/>
  <c r="AM42" i="13" s="1"/>
  <c r="U42" i="13" s="1"/>
  <c r="BG42" i="13" s="1"/>
  <c r="AH43" i="13"/>
  <c r="L43" i="13" s="1"/>
  <c r="BF43" i="13" s="1"/>
  <c r="AF43" i="13"/>
  <c r="AE43" i="13"/>
  <c r="AL46" i="13"/>
  <c r="AM46" i="13" s="1"/>
  <c r="AS46" i="13" s="1"/>
  <c r="AV46" i="13" s="1"/>
  <c r="AF68" i="13"/>
  <c r="AI44" i="13"/>
  <c r="M44" i="13" s="1"/>
  <c r="AT43" i="13"/>
  <c r="AI68" i="13"/>
  <c r="M68" i="13" s="1"/>
  <c r="AR43" i="13"/>
  <c r="AH68" i="13"/>
  <c r="L68" i="13" s="1"/>
  <c r="BF68" i="13" s="1"/>
  <c r="AG68" i="13"/>
  <c r="AE68" i="13"/>
  <c r="AH44" i="13"/>
  <c r="L44" i="13" s="1"/>
  <c r="BF44" i="13" s="1"/>
  <c r="AL41" i="13"/>
  <c r="AM41" i="13" s="1"/>
  <c r="AT42" i="13"/>
  <c r="AR42" i="13"/>
  <c r="AT41" i="13"/>
  <c r="AL45" i="13"/>
  <c r="AM45" i="13" s="1"/>
  <c r="AO45" i="13" s="1"/>
  <c r="AR41" i="13"/>
  <c r="AT45" i="13"/>
  <c r="AL44" i="13"/>
  <c r="AM44" i="13" s="1"/>
  <c r="U44" i="13" s="1"/>
  <c r="BG44" i="13" s="1"/>
  <c r="AR45" i="13"/>
  <c r="AI45" i="13"/>
  <c r="M45" i="13" s="1"/>
  <c r="AH45" i="13"/>
  <c r="L45" i="13" s="1"/>
  <c r="BF45" i="13" s="1"/>
  <c r="AI42" i="13"/>
  <c r="M42" i="13" s="1"/>
  <c r="AG45" i="13"/>
  <c r="AH42" i="13"/>
  <c r="L42" i="13" s="1"/>
  <c r="BF42" i="13" s="1"/>
  <c r="AF45" i="13"/>
  <c r="AG42" i="13"/>
  <c r="AT44" i="13"/>
  <c r="AE45" i="13"/>
  <c r="AF42" i="13"/>
  <c r="AD45" i="13"/>
  <c r="AE42" i="13"/>
  <c r="AL43" i="13"/>
  <c r="AM43" i="13" s="1"/>
  <c r="AO43" i="13" s="1"/>
  <c r="AH39" i="13"/>
  <c r="L39" i="13" s="1"/>
  <c r="BF39" i="13" s="1"/>
  <c r="U58" i="10"/>
  <c r="AA58" i="10" s="1"/>
  <c r="AC58" i="10" s="1"/>
  <c r="AE58" i="10" s="1"/>
  <c r="AG41" i="13"/>
  <c r="AI46" i="13"/>
  <c r="M46" i="13" s="1"/>
  <c r="AC41" i="13"/>
  <c r="AF41" i="13"/>
  <c r="AE41" i="13"/>
  <c r="AD41" i="13"/>
  <c r="AH46" i="13"/>
  <c r="L46" i="13" s="1"/>
  <c r="BF46" i="13" s="1"/>
  <c r="AB41" i="13"/>
  <c r="AI41" i="13"/>
  <c r="M41" i="13" s="1"/>
  <c r="AG39" i="13"/>
  <c r="AE39" i="13"/>
  <c r="AB70" i="13"/>
  <c r="AF39" i="13"/>
  <c r="AD39" i="13"/>
  <c r="AC39" i="13"/>
  <c r="AB39" i="13"/>
  <c r="AC69" i="13"/>
  <c r="AB69" i="13"/>
  <c r="AL39" i="13"/>
  <c r="AM39" i="13" s="1"/>
  <c r="AO39" i="13" s="1"/>
  <c r="AF69" i="13"/>
  <c r="AE69" i="13"/>
  <c r="AB40" i="13"/>
  <c r="AD69" i="13"/>
  <c r="AC38" i="13"/>
  <c r="AH70" i="13"/>
  <c r="L70" i="13" s="1"/>
  <c r="BF70" i="13" s="1"/>
  <c r="AL38" i="13"/>
  <c r="AM38" i="13" s="1"/>
  <c r="AS38" i="13" s="1"/>
  <c r="AV38" i="13" s="1"/>
  <c r="AI38" i="13"/>
  <c r="M38" i="13" s="1"/>
  <c r="AH38" i="13"/>
  <c r="L38" i="13" s="1"/>
  <c r="BF38" i="13" s="1"/>
  <c r="AF38" i="13"/>
  <c r="AE38" i="13"/>
  <c r="AD38" i="13"/>
  <c r="AB38" i="13"/>
  <c r="AG70" i="13"/>
  <c r="AL70" i="13"/>
  <c r="AM70" i="13" s="1"/>
  <c r="AR70" i="13"/>
  <c r="AT70" i="13"/>
  <c r="AL69" i="13"/>
  <c r="AM69" i="13" s="1"/>
  <c r="AT38" i="13"/>
  <c r="AT69" i="13"/>
  <c r="AR38" i="13"/>
  <c r="AR69" i="13"/>
  <c r="AL68" i="13"/>
  <c r="AM68" i="13" s="1"/>
  <c r="AS68" i="13" s="1"/>
  <c r="AV68" i="13" s="1"/>
  <c r="AT68" i="13"/>
  <c r="AD40" i="13"/>
  <c r="AC40" i="13"/>
  <c r="AR68" i="13"/>
  <c r="AI69" i="13"/>
  <c r="M69" i="13" s="1"/>
  <c r="AH69" i="13"/>
  <c r="L69" i="13" s="1"/>
  <c r="BF69" i="13" s="1"/>
  <c r="AC68" i="13"/>
  <c r="AT40" i="13"/>
  <c r="AR40" i="13"/>
  <c r="AT37" i="13"/>
  <c r="AG40" i="13"/>
  <c r="AF40" i="13"/>
  <c r="AL40" i="13"/>
  <c r="AM40" i="13" s="1"/>
  <c r="U40" i="13" s="1"/>
  <c r="BG40" i="13" s="1"/>
  <c r="AT39" i="13"/>
  <c r="AR39" i="13"/>
  <c r="AI40" i="13"/>
  <c r="M40" i="13" s="1"/>
  <c r="AH40" i="13"/>
  <c r="L40" i="13" s="1"/>
  <c r="BF40" i="13" s="1"/>
  <c r="AL37" i="13"/>
  <c r="AM37" i="13" s="1"/>
  <c r="AS37" i="13" s="1"/>
  <c r="AV37" i="13" s="1"/>
  <c r="AR37" i="13"/>
  <c r="AI37" i="13"/>
  <c r="M37" i="13" s="1"/>
  <c r="AH37" i="13"/>
  <c r="L37" i="13" s="1"/>
  <c r="BF37" i="13" s="1"/>
  <c r="AG37" i="13"/>
  <c r="AF37" i="13"/>
  <c r="AE37" i="13"/>
  <c r="AD37" i="13"/>
  <c r="AC37" i="13"/>
  <c r="U41" i="10"/>
  <c r="AA41" i="10" s="1"/>
  <c r="AC41" i="10" s="1"/>
  <c r="AE41" i="10" s="1"/>
  <c r="AS69" i="13" l="1"/>
  <c r="AV69" i="13" s="1"/>
  <c r="AN69" i="13"/>
  <c r="W69" i="13" s="1"/>
  <c r="U69" i="13"/>
  <c r="BG69" i="13" s="1"/>
  <c r="AO69" i="13"/>
  <c r="AS70" i="13"/>
  <c r="AV70" i="13" s="1"/>
  <c r="U70" i="13"/>
  <c r="BG70" i="13" s="1"/>
  <c r="AN70" i="13"/>
  <c r="W70" i="13" s="1"/>
  <c r="AO70" i="13"/>
  <c r="X45" i="13"/>
  <c r="BH45" i="13"/>
  <c r="X39" i="13"/>
  <c r="BH39" i="13"/>
  <c r="U41" i="13"/>
  <c r="BG41" i="13" s="1"/>
  <c r="AN41" i="13"/>
  <c r="W41" i="13" s="1"/>
  <c r="AO41" i="13"/>
  <c r="BH41" i="13" s="1"/>
  <c r="AS41" i="13"/>
  <c r="AV41" i="13" s="1"/>
  <c r="AN68" i="13"/>
  <c r="W68" i="13" s="1"/>
  <c r="X43" i="13"/>
  <c r="BH43" i="13"/>
  <c r="AO68" i="13"/>
  <c r="U68" i="13"/>
  <c r="BG68" i="13" s="1"/>
  <c r="F52" i="7"/>
  <c r="Q52" i="7"/>
  <c r="F51" i="7"/>
  <c r="Q51" i="7"/>
  <c r="AS39" i="13"/>
  <c r="AV39" i="13" s="1"/>
  <c r="U39" i="13"/>
  <c r="BG39" i="13" s="1"/>
  <c r="AN39" i="13"/>
  <c r="W39" i="13" s="1"/>
  <c r="K42" i="10"/>
  <c r="AA42" i="10"/>
  <c r="AC42" i="10" s="1"/>
  <c r="AE42" i="10" s="1"/>
  <c r="U46" i="13"/>
  <c r="BG46" i="13" s="1"/>
  <c r="AN45" i="13"/>
  <c r="W45" i="13" s="1"/>
  <c r="AN42" i="13"/>
  <c r="W42" i="13" s="1"/>
  <c r="AN43" i="13"/>
  <c r="W43" i="13" s="1"/>
  <c r="U45" i="13"/>
  <c r="BG45" i="13" s="1"/>
  <c r="AS42" i="13"/>
  <c r="AV42" i="13" s="1"/>
  <c r="AO42" i="13"/>
  <c r="AO46" i="13"/>
  <c r="AN46" i="13"/>
  <c r="W46" i="13" s="1"/>
  <c r="AS40" i="13"/>
  <c r="AV40" i="13" s="1"/>
  <c r="V42" i="10"/>
  <c r="N42" i="10" s="1"/>
  <c r="V58" i="10"/>
  <c r="N58" i="10" s="1"/>
  <c r="K58" i="10"/>
  <c r="AS45" i="13"/>
  <c r="AV45" i="13" s="1"/>
  <c r="AN44" i="13"/>
  <c r="W44" i="13" s="1"/>
  <c r="AS43" i="13"/>
  <c r="AV43" i="13" s="1"/>
  <c r="U43" i="13"/>
  <c r="BG43" i="13" s="1"/>
  <c r="AO44" i="13"/>
  <c r="AN40" i="13"/>
  <c r="W40" i="13" s="1"/>
  <c r="AS44" i="13"/>
  <c r="AV44" i="13" s="1"/>
  <c r="AO40" i="13"/>
  <c r="W58" i="10"/>
  <c r="P58" i="10" s="1"/>
  <c r="AO37" i="13"/>
  <c r="U37" i="13"/>
  <c r="BG37" i="13" s="1"/>
  <c r="AN37" i="13"/>
  <c r="W37" i="13" s="1"/>
  <c r="U38" i="13"/>
  <c r="BG38" i="13" s="1"/>
  <c r="AO38" i="13"/>
  <c r="AN38" i="13"/>
  <c r="W38" i="13" s="1"/>
  <c r="K41" i="10"/>
  <c r="W41" i="10"/>
  <c r="P41" i="10" s="1"/>
  <c r="V41" i="10"/>
  <c r="N41" i="10" s="1"/>
  <c r="M8" i="10"/>
  <c r="M7" i="10"/>
  <c r="D369" i="31"/>
  <c r="D368" i="31"/>
  <c r="D367" i="31"/>
  <c r="D366" i="31"/>
  <c r="D365" i="31"/>
  <c r="D364" i="31"/>
  <c r="D363" i="31"/>
  <c r="D362" i="31"/>
  <c r="D361" i="31"/>
  <c r="D360" i="31"/>
  <c r="D359" i="31"/>
  <c r="D358" i="31"/>
  <c r="D357" i="31"/>
  <c r="D356" i="31"/>
  <c r="D355" i="31"/>
  <c r="D354" i="31"/>
  <c r="D353" i="31"/>
  <c r="D352" i="31"/>
  <c r="D351" i="31"/>
  <c r="D350" i="31"/>
  <c r="D349" i="31"/>
  <c r="D348" i="31"/>
  <c r="D347" i="31"/>
  <c r="D346" i="31"/>
  <c r="D345" i="31"/>
  <c r="D344" i="31"/>
  <c r="D343" i="31"/>
  <c r="D342" i="31"/>
  <c r="D341" i="31"/>
  <c r="D340" i="31"/>
  <c r="D339" i="31"/>
  <c r="D338" i="31"/>
  <c r="D337" i="31"/>
  <c r="D336" i="31"/>
  <c r="D335" i="31"/>
  <c r="D334" i="31"/>
  <c r="D333" i="31"/>
  <c r="D332" i="31"/>
  <c r="D331" i="31"/>
  <c r="D330" i="31"/>
  <c r="D329" i="31"/>
  <c r="D328" i="31"/>
  <c r="D327" i="31"/>
  <c r="D326" i="31"/>
  <c r="D325" i="31"/>
  <c r="D324" i="31"/>
  <c r="D323" i="31"/>
  <c r="D322" i="31"/>
  <c r="D321" i="31"/>
  <c r="D320" i="31"/>
  <c r="D319" i="31"/>
  <c r="D318" i="31"/>
  <c r="D317" i="31"/>
  <c r="D316" i="31"/>
  <c r="D315" i="31"/>
  <c r="D314" i="31"/>
  <c r="D313" i="31"/>
  <c r="D312" i="31"/>
  <c r="D311" i="31"/>
  <c r="D310" i="31"/>
  <c r="D309" i="31"/>
  <c r="D308" i="31"/>
  <c r="D307" i="31"/>
  <c r="D306" i="31"/>
  <c r="D305" i="31"/>
  <c r="D304" i="31"/>
  <c r="D303" i="31"/>
  <c r="D302" i="31"/>
  <c r="D301" i="31"/>
  <c r="D300" i="31"/>
  <c r="D299" i="31"/>
  <c r="D298" i="31"/>
  <c r="D297" i="31"/>
  <c r="D296" i="31"/>
  <c r="D295" i="31"/>
  <c r="D294" i="31"/>
  <c r="D293" i="31"/>
  <c r="D292" i="31"/>
  <c r="D291" i="31"/>
  <c r="D290" i="31"/>
  <c r="D289" i="31"/>
  <c r="D288" i="31"/>
  <c r="D287" i="31"/>
  <c r="D286" i="31"/>
  <c r="D285" i="31"/>
  <c r="D284" i="31"/>
  <c r="D283" i="31"/>
  <c r="D282" i="31"/>
  <c r="D281" i="31"/>
  <c r="D280" i="31"/>
  <c r="D279" i="31"/>
  <c r="D278" i="31"/>
  <c r="D277" i="31"/>
  <c r="D276" i="31"/>
  <c r="D275" i="31"/>
  <c r="D274" i="31"/>
  <c r="D273" i="31"/>
  <c r="D272" i="31"/>
  <c r="D271" i="31"/>
  <c r="D270" i="31"/>
  <c r="D269" i="31"/>
  <c r="D268" i="31"/>
  <c r="D267" i="31"/>
  <c r="D266" i="31"/>
  <c r="D265" i="31"/>
  <c r="D264" i="31"/>
  <c r="D263" i="31"/>
  <c r="D262" i="31"/>
  <c r="D261" i="31"/>
  <c r="D260" i="31"/>
  <c r="D259" i="31"/>
  <c r="D258" i="31"/>
  <c r="D257" i="31"/>
  <c r="D256" i="31"/>
  <c r="D255" i="31"/>
  <c r="D254" i="31"/>
  <c r="D253" i="31"/>
  <c r="D252" i="31"/>
  <c r="D251" i="31"/>
  <c r="D250" i="31"/>
  <c r="D249" i="31"/>
  <c r="D248" i="31"/>
  <c r="D247" i="31"/>
  <c r="D246" i="31"/>
  <c r="D245" i="31"/>
  <c r="D244" i="31"/>
  <c r="D243" i="31"/>
  <c r="D242" i="31"/>
  <c r="D241" i="31"/>
  <c r="D240" i="31"/>
  <c r="D239" i="31"/>
  <c r="D238" i="31"/>
  <c r="D237" i="31"/>
  <c r="D236" i="31"/>
  <c r="D235" i="31"/>
  <c r="D234" i="31"/>
  <c r="D233" i="31"/>
  <c r="D232" i="31"/>
  <c r="D231" i="31"/>
  <c r="D230" i="31"/>
  <c r="D229" i="31"/>
  <c r="D228" i="31"/>
  <c r="D227" i="31"/>
  <c r="D226" i="31"/>
  <c r="D225" i="31"/>
  <c r="D224" i="31"/>
  <c r="D223" i="31"/>
  <c r="D222" i="31"/>
  <c r="D221" i="31"/>
  <c r="D220" i="31"/>
  <c r="D219" i="31"/>
  <c r="D218" i="31"/>
  <c r="D217" i="31"/>
  <c r="D216" i="31"/>
  <c r="D215" i="31"/>
  <c r="D214" i="31"/>
  <c r="D213" i="31"/>
  <c r="D212" i="31"/>
  <c r="D211" i="31"/>
  <c r="D210" i="31"/>
  <c r="D209" i="31"/>
  <c r="D208" i="31"/>
  <c r="D207" i="31"/>
  <c r="D206" i="31"/>
  <c r="D205" i="31"/>
  <c r="D204" i="31"/>
  <c r="D203" i="31"/>
  <c r="D202" i="31"/>
  <c r="D201" i="31"/>
  <c r="D200" i="31"/>
  <c r="D199" i="31"/>
  <c r="D198" i="31"/>
  <c r="D197" i="31"/>
  <c r="D196" i="31"/>
  <c r="D195" i="31"/>
  <c r="D194" i="31"/>
  <c r="D193" i="31"/>
  <c r="D192" i="31"/>
  <c r="D191" i="31"/>
  <c r="D190" i="31"/>
  <c r="D189" i="31"/>
  <c r="D188" i="31"/>
  <c r="D187" i="31"/>
  <c r="D186" i="31"/>
  <c r="D185" i="31"/>
  <c r="D184" i="31"/>
  <c r="D183" i="31"/>
  <c r="D182" i="31"/>
  <c r="D181" i="31"/>
  <c r="D180" i="31"/>
  <c r="D179" i="31"/>
  <c r="D178" i="31"/>
  <c r="D177" i="31"/>
  <c r="D176" i="31"/>
  <c r="D175" i="31"/>
  <c r="D174" i="31"/>
  <c r="D173" i="31"/>
  <c r="D172" i="31"/>
  <c r="D171" i="31"/>
  <c r="D170" i="31"/>
  <c r="D169" i="31"/>
  <c r="D168" i="31"/>
  <c r="D167" i="31"/>
  <c r="D166" i="31"/>
  <c r="D165" i="31"/>
  <c r="D164" i="31"/>
  <c r="D163" i="31"/>
  <c r="D162" i="31"/>
  <c r="D161" i="31"/>
  <c r="D160" i="31"/>
  <c r="D159" i="31"/>
  <c r="D158" i="31"/>
  <c r="D157" i="31"/>
  <c r="D156" i="31"/>
  <c r="D155" i="31"/>
  <c r="D154" i="31"/>
  <c r="D153" i="31"/>
  <c r="D152" i="31"/>
  <c r="D151" i="31"/>
  <c r="D150" i="31"/>
  <c r="D149" i="31"/>
  <c r="D148" i="31"/>
  <c r="D147" i="31"/>
  <c r="D146" i="31"/>
  <c r="D145" i="31"/>
  <c r="D144" i="31"/>
  <c r="D143" i="31"/>
  <c r="D142" i="31"/>
  <c r="D141" i="31"/>
  <c r="D140" i="31"/>
  <c r="D139" i="31"/>
  <c r="D138" i="31"/>
  <c r="D137" i="31"/>
  <c r="D136" i="31"/>
  <c r="D135" i="31"/>
  <c r="D134" i="31"/>
  <c r="D133" i="31"/>
  <c r="D132" i="31"/>
  <c r="D131" i="31"/>
  <c r="D130" i="31"/>
  <c r="D129" i="31"/>
  <c r="D128" i="31"/>
  <c r="D127" i="31"/>
  <c r="D126" i="31"/>
  <c r="D125" i="31"/>
  <c r="D124" i="31"/>
  <c r="D123" i="31"/>
  <c r="D122" i="31"/>
  <c r="D121" i="31"/>
  <c r="D120" i="31"/>
  <c r="D119" i="31"/>
  <c r="D118" i="31"/>
  <c r="D117" i="31"/>
  <c r="D116" i="31"/>
  <c r="D115" i="31"/>
  <c r="D114" i="31"/>
  <c r="D113" i="31"/>
  <c r="D112" i="31"/>
  <c r="D111" i="31"/>
  <c r="D110" i="31"/>
  <c r="D109" i="31"/>
  <c r="D108" i="31"/>
  <c r="D107" i="31"/>
  <c r="D106" i="31"/>
  <c r="D105" i="31"/>
  <c r="D104" i="31"/>
  <c r="D103" i="31"/>
  <c r="D102" i="31"/>
  <c r="D101" i="31"/>
  <c r="D100" i="31"/>
  <c r="D99" i="31"/>
  <c r="D98" i="31"/>
  <c r="D97" i="31"/>
  <c r="D96" i="31"/>
  <c r="D95" i="31"/>
  <c r="D94" i="31"/>
  <c r="D93" i="31"/>
  <c r="D92" i="31"/>
  <c r="D91" i="31"/>
  <c r="D90" i="31"/>
  <c r="D89" i="31"/>
  <c r="D88" i="31"/>
  <c r="D87" i="31"/>
  <c r="D86" i="31"/>
  <c r="D85" i="31"/>
  <c r="D84" i="31"/>
  <c r="D83" i="31"/>
  <c r="D82" i="31"/>
  <c r="D81" i="31"/>
  <c r="D80" i="31"/>
  <c r="D79" i="31"/>
  <c r="D78" i="31"/>
  <c r="D77" i="31"/>
  <c r="D76" i="31"/>
  <c r="D75" i="31"/>
  <c r="D74" i="31"/>
  <c r="D73" i="31"/>
  <c r="D72" i="31"/>
  <c r="D71" i="31"/>
  <c r="D70" i="31"/>
  <c r="D69" i="31"/>
  <c r="D68" i="31"/>
  <c r="D67" i="31"/>
  <c r="D66" i="31"/>
  <c r="D65" i="31"/>
  <c r="D64" i="31"/>
  <c r="D63" i="31"/>
  <c r="D62" i="31"/>
  <c r="D61" i="31"/>
  <c r="D60" i="31"/>
  <c r="D59" i="31"/>
  <c r="D58" i="31"/>
  <c r="D57" i="31"/>
  <c r="D56" i="31"/>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F34" i="23"/>
  <c r="X37" i="13" l="1"/>
  <c r="BH37" i="13"/>
  <c r="X41" i="13"/>
  <c r="X42" i="13"/>
  <c r="BH42" i="13"/>
  <c r="X44" i="13"/>
  <c r="BH44" i="13"/>
  <c r="X70" i="13"/>
  <c r="BH70" i="13"/>
  <c r="X68" i="13"/>
  <c r="BH68" i="13"/>
  <c r="X69" i="13"/>
  <c r="BH69" i="13"/>
  <c r="X38" i="13"/>
  <c r="BH38" i="13"/>
  <c r="X40" i="13"/>
  <c r="BH40" i="13"/>
  <c r="X46" i="13"/>
  <c r="BH46" i="13"/>
  <c r="G55" i="24"/>
  <c r="G33" i="24"/>
  <c r="G32" i="24"/>
  <c r="G31" i="24"/>
  <c r="G30" i="24"/>
  <c r="G21" i="24"/>
  <c r="G19" i="24"/>
  <c r="E23" i="8" l="1"/>
  <c r="E22" i="8"/>
  <c r="I23" i="8"/>
  <c r="I22" i="8"/>
  <c r="AA48" i="13" l="1"/>
  <c r="G31" i="29"/>
  <c r="G30" i="29"/>
  <c r="D35" i="19"/>
  <c r="D31" i="29"/>
  <c r="D30" i="29"/>
  <c r="D34" i="19"/>
  <c r="G95" i="8"/>
  <c r="G94" i="8"/>
  <c r="G93" i="8"/>
  <c r="G92" i="8"/>
  <c r="G90" i="8"/>
  <c r="G89" i="8"/>
  <c r="G87" i="8"/>
  <c r="G86" i="8"/>
  <c r="K86" i="8" s="1"/>
  <c r="D97" i="19"/>
  <c r="D96" i="19"/>
  <c r="D92" i="19"/>
  <c r="D93" i="19"/>
  <c r="D84" i="19"/>
  <c r="D83" i="19"/>
  <c r="G34" i="19"/>
  <c r="G35" i="19"/>
  <c r="B78" i="25"/>
  <c r="B74" i="25"/>
  <c r="B65" i="25"/>
  <c r="B79" i="25"/>
  <c r="B75" i="25"/>
  <c r="B66" i="25"/>
  <c r="B34" i="28" l="1"/>
  <c r="F33" i="23"/>
  <c r="B33" i="28" s="1"/>
  <c r="T7" i="10"/>
  <c r="AB64" i="14"/>
  <c r="AB63" i="14"/>
  <c r="AB62" i="14"/>
  <c r="AB61" i="14"/>
  <c r="AB60" i="14"/>
  <c r="AB59" i="14"/>
  <c r="AB58" i="14"/>
  <c r="AB57" i="14"/>
  <c r="AB56" i="14"/>
  <c r="AB55" i="14"/>
  <c r="AB29" i="14"/>
  <c r="AB28" i="14"/>
  <c r="AB27" i="14"/>
  <c r="AB26" i="14"/>
  <c r="AB25" i="14"/>
  <c r="AB24" i="14"/>
  <c r="AB23" i="14"/>
  <c r="AB22" i="14"/>
  <c r="AB21" i="14"/>
  <c r="AB20" i="14"/>
  <c r="AB19" i="14"/>
  <c r="AB18" i="14"/>
  <c r="AB17" i="14"/>
  <c r="AB16" i="14"/>
  <c r="AB15" i="14"/>
  <c r="AB14" i="14"/>
  <c r="AB13" i="14"/>
  <c r="AB12" i="14"/>
  <c r="B34" i="25" l="1"/>
  <c r="B35" i="24"/>
  <c r="B36" i="24"/>
  <c r="B33" i="25"/>
  <c r="N33" i="25"/>
  <c r="N34" i="25"/>
  <c r="R1356" i="31"/>
  <c r="R1355" i="31"/>
  <c r="R1354" i="31"/>
  <c r="R1353" i="31"/>
  <c r="R1352" i="31"/>
  <c r="R1351" i="31"/>
  <c r="R1350" i="31"/>
  <c r="R1349" i="31"/>
  <c r="R1348" i="31"/>
  <c r="R1347" i="31"/>
  <c r="R1346" i="31"/>
  <c r="R1345" i="31"/>
  <c r="R1344" i="31"/>
  <c r="R1343" i="31"/>
  <c r="R1342" i="31"/>
  <c r="R1341" i="31"/>
  <c r="R1340" i="31"/>
  <c r="R1339" i="31"/>
  <c r="R1338" i="31"/>
  <c r="R1337" i="31"/>
  <c r="R1336" i="31"/>
  <c r="R1335" i="31"/>
  <c r="R1334" i="31"/>
  <c r="R1333" i="31"/>
  <c r="R1332" i="31"/>
  <c r="R1331" i="31"/>
  <c r="R1330" i="31"/>
  <c r="R1329" i="31"/>
  <c r="R1328" i="31"/>
  <c r="R1327" i="31"/>
  <c r="R1326" i="31"/>
  <c r="R1325" i="31"/>
  <c r="R1324" i="31"/>
  <c r="R1323" i="31"/>
  <c r="R1322" i="31"/>
  <c r="R1321" i="31"/>
  <c r="R1320" i="31"/>
  <c r="R1319" i="31"/>
  <c r="R1318" i="31"/>
  <c r="R1317" i="31"/>
  <c r="R1316" i="31"/>
  <c r="R1315" i="31"/>
  <c r="R1314" i="31"/>
  <c r="R1313" i="31"/>
  <c r="R1312" i="31"/>
  <c r="R1311" i="31"/>
  <c r="R1310" i="31"/>
  <c r="R1309" i="31"/>
  <c r="R1308" i="31"/>
  <c r="R1307" i="31"/>
  <c r="R1306" i="31"/>
  <c r="R1305" i="31"/>
  <c r="R1304" i="31"/>
  <c r="R1303" i="31"/>
  <c r="R1302" i="31"/>
  <c r="R1301" i="31"/>
  <c r="R1300" i="31"/>
  <c r="R1299" i="31"/>
  <c r="R1298" i="31"/>
  <c r="R1297" i="31"/>
  <c r="R1296" i="31"/>
  <c r="R1295" i="31"/>
  <c r="R1294" i="31"/>
  <c r="R1293" i="31"/>
  <c r="R1292" i="31"/>
  <c r="R1291" i="31"/>
  <c r="R1290" i="31"/>
  <c r="R1289" i="31"/>
  <c r="R1288" i="31"/>
  <c r="R1287" i="31"/>
  <c r="R1286" i="31"/>
  <c r="R1285" i="31"/>
  <c r="R1284" i="31"/>
  <c r="R1283" i="31"/>
  <c r="R1282" i="31"/>
  <c r="R1281" i="31"/>
  <c r="R1280" i="31"/>
  <c r="R1279" i="31"/>
  <c r="R1278" i="31"/>
  <c r="R1277" i="31"/>
  <c r="R1276" i="31"/>
  <c r="R1275" i="31"/>
  <c r="R1274" i="31"/>
  <c r="R1273" i="31"/>
  <c r="R1272" i="31"/>
  <c r="R1271" i="31"/>
  <c r="R1270" i="31"/>
  <c r="R1269" i="31"/>
  <c r="R1268" i="31"/>
  <c r="R1267" i="31"/>
  <c r="R1266" i="31"/>
  <c r="R1265" i="31"/>
  <c r="R1264" i="31"/>
  <c r="R1263" i="31"/>
  <c r="R1262" i="31"/>
  <c r="R1261" i="31"/>
  <c r="R1260" i="31"/>
  <c r="R1259" i="31"/>
  <c r="R1258" i="31"/>
  <c r="R1257" i="31"/>
  <c r="R1256" i="31"/>
  <c r="R1255" i="31"/>
  <c r="R1254" i="31"/>
  <c r="R1253" i="31"/>
  <c r="R1252" i="31"/>
  <c r="R1251" i="31"/>
  <c r="R1250" i="31"/>
  <c r="R1249" i="31"/>
  <c r="R1248" i="31"/>
  <c r="R1247" i="31"/>
  <c r="R1246" i="31"/>
  <c r="R1245" i="31"/>
  <c r="R1244" i="31"/>
  <c r="R1243" i="31"/>
  <c r="R1242" i="31"/>
  <c r="R1241" i="31"/>
  <c r="R1240" i="31"/>
  <c r="R1239" i="31"/>
  <c r="R1238" i="31"/>
  <c r="R1237" i="31"/>
  <c r="R1236" i="31"/>
  <c r="R1235" i="31"/>
  <c r="R1234" i="31"/>
  <c r="R1233" i="31"/>
  <c r="R1232" i="31"/>
  <c r="R1231" i="31"/>
  <c r="R1230" i="31"/>
  <c r="R1229" i="31"/>
  <c r="R1228" i="31"/>
  <c r="R1227" i="31"/>
  <c r="R1226" i="31"/>
  <c r="R1225" i="31"/>
  <c r="R1224" i="31"/>
  <c r="R1223" i="31"/>
  <c r="R1222" i="31"/>
  <c r="R1221" i="31"/>
  <c r="R1220" i="31"/>
  <c r="R1219" i="31"/>
  <c r="R1218" i="31"/>
  <c r="R1217" i="31"/>
  <c r="R1216" i="31"/>
  <c r="R1215" i="31"/>
  <c r="R1214" i="31"/>
  <c r="R1213" i="31"/>
  <c r="R1212" i="31"/>
  <c r="R1211" i="31"/>
  <c r="R1210" i="31"/>
  <c r="R1209" i="31"/>
  <c r="R1208" i="31"/>
  <c r="R1207" i="31"/>
  <c r="R1206" i="31"/>
  <c r="R1205" i="31"/>
  <c r="R1204" i="31"/>
  <c r="R1203" i="31"/>
  <c r="R1202" i="31"/>
  <c r="R1201" i="31"/>
  <c r="R1200" i="31"/>
  <c r="R1199" i="31"/>
  <c r="R1198" i="31"/>
  <c r="R1197" i="31"/>
  <c r="R1196" i="31"/>
  <c r="R1195" i="31"/>
  <c r="R1194" i="31"/>
  <c r="R1193" i="31"/>
  <c r="R1192" i="31"/>
  <c r="R1191" i="31"/>
  <c r="R1190" i="31"/>
  <c r="R1189" i="31"/>
  <c r="R1188" i="31"/>
  <c r="R1187" i="31"/>
  <c r="R1186" i="31"/>
  <c r="R1185" i="31"/>
  <c r="R1184" i="31"/>
  <c r="R1183" i="31"/>
  <c r="R1182" i="31"/>
  <c r="R1181" i="31"/>
  <c r="R1180" i="31"/>
  <c r="R1179" i="31"/>
  <c r="R1178" i="31"/>
  <c r="R1177" i="31"/>
  <c r="R1176" i="31"/>
  <c r="R1175" i="31"/>
  <c r="R1174" i="31"/>
  <c r="R1173" i="31"/>
  <c r="R1172" i="31"/>
  <c r="R1171" i="31"/>
  <c r="R1170" i="31"/>
  <c r="R1169" i="31"/>
  <c r="R1168" i="31"/>
  <c r="R1167" i="31"/>
  <c r="R1166" i="31"/>
  <c r="R1165" i="31"/>
  <c r="R1164" i="31"/>
  <c r="R1163" i="31"/>
  <c r="R1162" i="31"/>
  <c r="R1161" i="31"/>
  <c r="R1160" i="31"/>
  <c r="R1159" i="31"/>
  <c r="R1158" i="31"/>
  <c r="R1157" i="31"/>
  <c r="R1156" i="31"/>
  <c r="R1155" i="31"/>
  <c r="R1154" i="31"/>
  <c r="R1153" i="31"/>
  <c r="R1152" i="31"/>
  <c r="R1151" i="31"/>
  <c r="R1150" i="31"/>
  <c r="R1149" i="31"/>
  <c r="R1148" i="31"/>
  <c r="R1147" i="31"/>
  <c r="R1146" i="31"/>
  <c r="R1145" i="31"/>
  <c r="R1144" i="31"/>
  <c r="R1143" i="31"/>
  <c r="R1142" i="31"/>
  <c r="R1141" i="31"/>
  <c r="R1140" i="31"/>
  <c r="R1139" i="31"/>
  <c r="R1138" i="31"/>
  <c r="R1137" i="31"/>
  <c r="R1136" i="31"/>
  <c r="R1135" i="31"/>
  <c r="R1134" i="31"/>
  <c r="R1133" i="31"/>
  <c r="R1132" i="31"/>
  <c r="R1131" i="31"/>
  <c r="R1130" i="31"/>
  <c r="R1129" i="31"/>
  <c r="R1128" i="31"/>
  <c r="R1127" i="31"/>
  <c r="R1126" i="31"/>
  <c r="R1125" i="31"/>
  <c r="R1124" i="31"/>
  <c r="R1123" i="31"/>
  <c r="R1122" i="31"/>
  <c r="R1121" i="31"/>
  <c r="R1120" i="31"/>
  <c r="R1119" i="31"/>
  <c r="R1118" i="31"/>
  <c r="R1117" i="31"/>
  <c r="R1116" i="31"/>
  <c r="R1115" i="31"/>
  <c r="R1114" i="31"/>
  <c r="R1113" i="31"/>
  <c r="R1112" i="31"/>
  <c r="R1111" i="31"/>
  <c r="R1110" i="31"/>
  <c r="R1109" i="31"/>
  <c r="R1108" i="31"/>
  <c r="R1107" i="31"/>
  <c r="R1106" i="31"/>
  <c r="R1105" i="31"/>
  <c r="R1104" i="31"/>
  <c r="R1103" i="31"/>
  <c r="R1102" i="31"/>
  <c r="R1101" i="31"/>
  <c r="R1100" i="31"/>
  <c r="R1099" i="31"/>
  <c r="R1098" i="31"/>
  <c r="R1097" i="31"/>
  <c r="R1096" i="31"/>
  <c r="R1095" i="31"/>
  <c r="R1094" i="31"/>
  <c r="R1093" i="31"/>
  <c r="O14" i="56" l="1"/>
  <c r="O12" i="56"/>
  <c r="O15" i="56"/>
  <c r="O11" i="56"/>
  <c r="O8" i="56"/>
  <c r="O10" i="56"/>
  <c r="O16" i="56"/>
  <c r="O13" i="56"/>
  <c r="O9" i="56"/>
  <c r="O8" i="33"/>
  <c r="O12" i="33"/>
  <c r="O15" i="33"/>
  <c r="O11" i="33"/>
  <c r="O10" i="33"/>
  <c r="O9" i="33"/>
  <c r="O16" i="33"/>
  <c r="O14" i="33"/>
  <c r="O13" i="33"/>
  <c r="O19" i="56"/>
  <c r="O18" i="56"/>
  <c r="O23" i="33"/>
  <c r="O25" i="33"/>
  <c r="O25" i="56"/>
  <c r="O31" i="56"/>
  <c r="O30" i="56"/>
  <c r="O27" i="56"/>
  <c r="O18" i="33"/>
  <c r="O30" i="33"/>
  <c r="O26" i="33"/>
  <c r="O24" i="33"/>
  <c r="O31" i="33"/>
  <c r="O27" i="33"/>
  <c r="O17" i="33"/>
  <c r="O28" i="56"/>
  <c r="O23" i="56"/>
  <c r="O22" i="33"/>
  <c r="O21" i="33"/>
  <c r="O21" i="56"/>
  <c r="O26" i="56"/>
  <c r="O20" i="56"/>
  <c r="O28" i="33"/>
  <c r="O17" i="56"/>
  <c r="O22" i="56"/>
  <c r="O24" i="56"/>
  <c r="O29" i="56"/>
  <c r="O29" i="33"/>
  <c r="O20" i="33"/>
  <c r="O19" i="33"/>
  <c r="O12" i="11"/>
  <c r="O13" i="11"/>
  <c r="O14" i="11"/>
  <c r="O19" i="11"/>
  <c r="O21" i="11"/>
  <c r="O23" i="11"/>
  <c r="O24" i="11"/>
  <c r="O25" i="11"/>
  <c r="O31" i="11"/>
  <c r="O30" i="11"/>
  <c r="O27" i="11"/>
  <c r="O17" i="11"/>
  <c r="O8" i="11"/>
  <c r="O15" i="11"/>
  <c r="O16" i="11"/>
  <c r="O20" i="11"/>
  <c r="O22" i="11"/>
  <c r="O29" i="11"/>
  <c r="O18" i="11"/>
  <c r="O10" i="11"/>
  <c r="O28" i="11"/>
  <c r="O26" i="11"/>
  <c r="O9" i="11"/>
  <c r="O11" i="11"/>
  <c r="D38" i="27"/>
  <c r="D37" i="27"/>
  <c r="D36" i="27"/>
  <c r="D35" i="27"/>
  <c r="D34" i="27"/>
  <c r="D33" i="27"/>
  <c r="D32" i="27"/>
  <c r="D31" i="27"/>
  <c r="D30" i="27"/>
  <c r="D29" i="27"/>
  <c r="D28" i="27"/>
  <c r="D27" i="27"/>
  <c r="D61" i="27"/>
  <c r="D60" i="27"/>
  <c r="D54" i="27"/>
  <c r="D55" i="27"/>
  <c r="O55" i="7" l="1"/>
  <c r="N55" i="7"/>
  <c r="L55" i="7"/>
  <c r="K55" i="7"/>
  <c r="I55" i="7"/>
  <c r="M55" i="7" s="1"/>
  <c r="H55" i="7"/>
  <c r="O54" i="7"/>
  <c r="N54" i="7"/>
  <c r="L54" i="7"/>
  <c r="K54" i="7"/>
  <c r="I54" i="7"/>
  <c r="M54" i="7" s="1"/>
  <c r="H54" i="7"/>
  <c r="J63" i="14"/>
  <c r="BB63" i="14" s="1"/>
  <c r="J62" i="14"/>
  <c r="BB62" i="14" s="1"/>
  <c r="J61" i="14"/>
  <c r="BB61" i="14" s="1"/>
  <c r="J60" i="14"/>
  <c r="BB60" i="14" s="1"/>
  <c r="J59" i="14"/>
  <c r="BB59" i="14" s="1"/>
  <c r="J58" i="14"/>
  <c r="BB58" i="14" s="1"/>
  <c r="J55" i="14"/>
  <c r="BB55" i="14" s="1"/>
  <c r="J53" i="14"/>
  <c r="BB53" i="14" s="1"/>
  <c r="J52" i="14"/>
  <c r="BB52" i="14" s="1"/>
  <c r="J51" i="14"/>
  <c r="BB51" i="14" s="1"/>
  <c r="J50" i="14"/>
  <c r="BB50" i="14" s="1"/>
  <c r="J49" i="14"/>
  <c r="BB49" i="14" s="1"/>
  <c r="J48" i="14"/>
  <c r="BB48" i="14" s="1"/>
  <c r="J47" i="14"/>
  <c r="BB47" i="14" s="1"/>
  <c r="J46" i="14"/>
  <c r="BB46" i="14" s="1"/>
  <c r="J45" i="14"/>
  <c r="BB45" i="14" s="1"/>
  <c r="J44" i="14"/>
  <c r="BB44" i="14" s="1"/>
  <c r="J43" i="14"/>
  <c r="BB43" i="14" s="1"/>
  <c r="J42" i="14"/>
  <c r="BB42" i="14" s="1"/>
  <c r="J41" i="14"/>
  <c r="BB41" i="14" s="1"/>
  <c r="J40" i="14"/>
  <c r="BB40" i="14" s="1"/>
  <c r="J39" i="14"/>
  <c r="BB39" i="14" s="1"/>
  <c r="J38" i="14"/>
  <c r="BB38" i="14" s="1"/>
  <c r="J37" i="14"/>
  <c r="BB37" i="14" s="1"/>
  <c r="J36" i="14"/>
  <c r="BB36" i="14" s="1"/>
  <c r="J35" i="14"/>
  <c r="BB35" i="14" s="1"/>
  <c r="J34" i="14"/>
  <c r="BB34" i="14" s="1"/>
  <c r="J31" i="14"/>
  <c r="BB31" i="14" s="1"/>
  <c r="J29" i="14"/>
  <c r="BB29" i="14" s="1"/>
  <c r="J28" i="14"/>
  <c r="BB28" i="14" s="1"/>
  <c r="J27" i="14"/>
  <c r="BB27" i="14" s="1"/>
  <c r="J26" i="14"/>
  <c r="BB26" i="14" s="1"/>
  <c r="J25" i="14"/>
  <c r="BB25" i="14" s="1"/>
  <c r="J24" i="14"/>
  <c r="BB24" i="14" s="1"/>
  <c r="J23" i="14"/>
  <c r="BB23" i="14" s="1"/>
  <c r="J22" i="14"/>
  <c r="BB22" i="14" s="1"/>
  <c r="J21" i="14"/>
  <c r="BB21" i="14" s="1"/>
  <c r="J20" i="14"/>
  <c r="BB20" i="14" s="1"/>
  <c r="J19" i="14"/>
  <c r="BB19" i="14" s="1"/>
  <c r="J18" i="14"/>
  <c r="BB18" i="14" s="1"/>
  <c r="J17" i="14"/>
  <c r="BB17" i="14" s="1"/>
  <c r="J16" i="14"/>
  <c r="BB16" i="14" s="1"/>
  <c r="J15" i="14"/>
  <c r="BB15" i="14" s="1"/>
  <c r="J14" i="14"/>
  <c r="BB14" i="14" s="1"/>
  <c r="J13" i="14"/>
  <c r="BB13" i="14" s="1"/>
  <c r="J12" i="14"/>
  <c r="BB12" i="14" s="1"/>
  <c r="AR64" i="14"/>
  <c r="AT64" i="14" s="1"/>
  <c r="AR63" i="14"/>
  <c r="AT63" i="14" s="1"/>
  <c r="AR62" i="14"/>
  <c r="AR61" i="14"/>
  <c r="AR60" i="14"/>
  <c r="AR59" i="14"/>
  <c r="AR58" i="14"/>
  <c r="AR57" i="14"/>
  <c r="AR56" i="14"/>
  <c r="AR55" i="14"/>
  <c r="AR53" i="14"/>
  <c r="AT53" i="14" s="1"/>
  <c r="AR52" i="14"/>
  <c r="AT52" i="14" s="1"/>
  <c r="AR51" i="14"/>
  <c r="AT51" i="14" s="1"/>
  <c r="AR50" i="14"/>
  <c r="AT50" i="14" s="1"/>
  <c r="AR49" i="14"/>
  <c r="AT49" i="14" s="1"/>
  <c r="AR48" i="14"/>
  <c r="AT48" i="14" s="1"/>
  <c r="AR47" i="14"/>
  <c r="AT47" i="14" s="1"/>
  <c r="AR46" i="14"/>
  <c r="AT46" i="14" s="1"/>
  <c r="AR45" i="14"/>
  <c r="AT45" i="14" s="1"/>
  <c r="AR44" i="14"/>
  <c r="AT44" i="14" s="1"/>
  <c r="AR43" i="14"/>
  <c r="AT43" i="14" s="1"/>
  <c r="AR42" i="14"/>
  <c r="AT42" i="14" s="1"/>
  <c r="AR41" i="14"/>
  <c r="AT41" i="14" s="1"/>
  <c r="AR40" i="14"/>
  <c r="AT40" i="14" s="1"/>
  <c r="AR39" i="14"/>
  <c r="AT39" i="14" s="1"/>
  <c r="AR38" i="14"/>
  <c r="AT38" i="14" s="1"/>
  <c r="AR37" i="14"/>
  <c r="AT37" i="14" s="1"/>
  <c r="AR36" i="14"/>
  <c r="AT36" i="14" s="1"/>
  <c r="AR35" i="14"/>
  <c r="AT35" i="14" s="1"/>
  <c r="AR34" i="14"/>
  <c r="AT34" i="14" s="1"/>
  <c r="AR33" i="14"/>
  <c r="AR32" i="14"/>
  <c r="AR31" i="14"/>
  <c r="AR29" i="14"/>
  <c r="AS29" i="14" s="1"/>
  <c r="AW29" i="14" s="1"/>
  <c r="AR28" i="14"/>
  <c r="AT28" i="14" s="1"/>
  <c r="AR27" i="14"/>
  <c r="AT27" i="14" s="1"/>
  <c r="AR26" i="14"/>
  <c r="AT26" i="14" s="1"/>
  <c r="AR25" i="14"/>
  <c r="AS25" i="14" s="1"/>
  <c r="AW25" i="14" s="1"/>
  <c r="AR24" i="14"/>
  <c r="AT24" i="14" s="1"/>
  <c r="AR23" i="14"/>
  <c r="AT23" i="14" s="1"/>
  <c r="AR22" i="14"/>
  <c r="AT22" i="14" s="1"/>
  <c r="AR21" i="14"/>
  <c r="AS21" i="14" s="1"/>
  <c r="AW21" i="14" s="1"/>
  <c r="AR20" i="14"/>
  <c r="AT20" i="14" s="1"/>
  <c r="AR19" i="14"/>
  <c r="AT19" i="14" s="1"/>
  <c r="AR18" i="14"/>
  <c r="AT18" i="14" s="1"/>
  <c r="AR17" i="14"/>
  <c r="AT17" i="14" s="1"/>
  <c r="AR16" i="14"/>
  <c r="AT16" i="14" s="1"/>
  <c r="AR15" i="14"/>
  <c r="AT15" i="14" s="1"/>
  <c r="AR14" i="14"/>
  <c r="AT14" i="14" s="1"/>
  <c r="AR13" i="14"/>
  <c r="AT13" i="14" s="1"/>
  <c r="AR12" i="14"/>
  <c r="AT12" i="14" s="1"/>
  <c r="AR11" i="14"/>
  <c r="AR10" i="14"/>
  <c r="AR9" i="14"/>
  <c r="AR8" i="14"/>
  <c r="AR7" i="14"/>
  <c r="W53" i="14"/>
  <c r="W52" i="14"/>
  <c r="W51" i="14"/>
  <c r="W50" i="14"/>
  <c r="W49" i="14"/>
  <c r="W48" i="14"/>
  <c r="W47" i="14"/>
  <c r="W46" i="14"/>
  <c r="W45" i="14"/>
  <c r="W44" i="14"/>
  <c r="W43" i="14"/>
  <c r="W42" i="14"/>
  <c r="W41" i="14"/>
  <c r="W40" i="14"/>
  <c r="W39" i="14"/>
  <c r="W38" i="14"/>
  <c r="W37" i="14"/>
  <c r="W36" i="14"/>
  <c r="W35" i="14"/>
  <c r="W34" i="14"/>
  <c r="W33" i="14"/>
  <c r="W32" i="14"/>
  <c r="W31" i="14"/>
  <c r="X31" i="14" s="1"/>
  <c r="W29" i="14"/>
  <c r="W28" i="14"/>
  <c r="W27" i="14"/>
  <c r="W26" i="14"/>
  <c r="W25" i="14"/>
  <c r="W24" i="14"/>
  <c r="W23" i="14"/>
  <c r="W22" i="14"/>
  <c r="W21" i="14"/>
  <c r="W20" i="14"/>
  <c r="W19" i="14"/>
  <c r="W18" i="14"/>
  <c r="W17" i="14"/>
  <c r="W16" i="14"/>
  <c r="W15" i="14"/>
  <c r="W14" i="14"/>
  <c r="W13" i="14"/>
  <c r="W12" i="14"/>
  <c r="W11" i="14"/>
  <c r="W10" i="14"/>
  <c r="W9" i="14"/>
  <c r="W8" i="14"/>
  <c r="W7" i="14"/>
  <c r="F55" i="7" l="1"/>
  <c r="Q55" i="7"/>
  <c r="F54" i="7"/>
  <c r="Q54" i="7"/>
  <c r="AS22" i="14"/>
  <c r="AW22" i="14" s="1"/>
  <c r="AT29" i="14"/>
  <c r="AS23" i="14"/>
  <c r="AW23" i="14" s="1"/>
  <c r="AS24" i="14"/>
  <c r="AW24" i="14" s="1"/>
  <c r="AS44" i="14"/>
  <c r="AW44" i="14" s="1"/>
  <c r="AT21" i="14"/>
  <c r="AS48" i="14"/>
  <c r="AW48" i="14" s="1"/>
  <c r="AS17" i="14"/>
  <c r="AW17" i="14" s="1"/>
  <c r="AT25" i="14"/>
  <c r="AS18" i="14"/>
  <c r="AW18" i="14" s="1"/>
  <c r="AS19" i="14"/>
  <c r="AW19" i="14" s="1"/>
  <c r="AS27" i="14"/>
  <c r="AW27" i="14" s="1"/>
  <c r="AS36" i="14"/>
  <c r="AW36" i="14" s="1"/>
  <c r="AS52" i="14"/>
  <c r="AW52" i="14" s="1"/>
  <c r="AS63" i="14"/>
  <c r="AW63" i="14" s="1"/>
  <c r="AS26" i="14"/>
  <c r="AW26" i="14" s="1"/>
  <c r="AS20" i="14"/>
  <c r="AW20" i="14" s="1"/>
  <c r="AS28" i="14"/>
  <c r="AW28" i="14" s="1"/>
  <c r="AS40" i="14"/>
  <c r="AW40" i="14" s="1"/>
  <c r="AS64" i="14"/>
  <c r="AW64" i="14" s="1"/>
  <c r="AS13" i="14"/>
  <c r="AW13" i="14" s="1"/>
  <c r="AS37" i="14"/>
  <c r="AW37" i="14" s="1"/>
  <c r="AS41" i="14"/>
  <c r="AW41" i="14" s="1"/>
  <c r="AS45" i="14"/>
  <c r="AW45" i="14" s="1"/>
  <c r="AS49" i="14"/>
  <c r="AW49" i="14" s="1"/>
  <c r="AS53" i="14"/>
  <c r="AW53" i="14" s="1"/>
  <c r="AS34" i="14"/>
  <c r="AW34" i="14" s="1"/>
  <c r="AS38" i="14"/>
  <c r="AW38" i="14" s="1"/>
  <c r="AS42" i="14"/>
  <c r="AW42" i="14" s="1"/>
  <c r="AS46" i="14"/>
  <c r="AW46" i="14" s="1"/>
  <c r="AS50" i="14"/>
  <c r="AW50" i="14" s="1"/>
  <c r="AS35" i="14"/>
  <c r="AW35" i="14" s="1"/>
  <c r="AS39" i="14"/>
  <c r="AW39" i="14" s="1"/>
  <c r="AS43" i="14"/>
  <c r="AW43" i="14" s="1"/>
  <c r="AS47" i="14"/>
  <c r="AW47" i="14" s="1"/>
  <c r="AS51" i="14"/>
  <c r="AW51" i="14" s="1"/>
  <c r="AS14" i="14"/>
  <c r="AW14" i="14" s="1"/>
  <c r="AS15" i="14"/>
  <c r="AW15" i="14" s="1"/>
  <c r="AS12" i="14"/>
  <c r="AW12" i="14" s="1"/>
  <c r="AS16" i="14"/>
  <c r="AW16" i="14" s="1"/>
  <c r="J54" i="7"/>
  <c r="E54" i="7" s="1"/>
  <c r="J55" i="7"/>
  <c r="E55" i="7" s="1"/>
  <c r="O28" i="30" l="1"/>
  <c r="D9" i="31"/>
  <c r="E21" i="8" l="1"/>
  <c r="E20" i="8"/>
  <c r="E19" i="8"/>
  <c r="E18" i="8"/>
  <c r="E17" i="8"/>
  <c r="E16" i="8"/>
  <c r="E15" i="8"/>
  <c r="AQ39" i="14" l="1"/>
  <c r="AO39" i="14"/>
  <c r="AK39" i="14"/>
  <c r="AI39" i="14"/>
  <c r="AJ39" i="14" s="1"/>
  <c r="T39" i="14" s="1"/>
  <c r="AH39" i="14"/>
  <c r="AF39" i="14"/>
  <c r="H39" i="14" s="1"/>
  <c r="AZ39" i="14" s="1"/>
  <c r="AC39" i="14"/>
  <c r="Z39" i="14"/>
  <c r="Y39" i="14"/>
  <c r="X39" i="14"/>
  <c r="S39" i="14"/>
  <c r="AQ38" i="14"/>
  <c r="AO38" i="14"/>
  <c r="AK38" i="14"/>
  <c r="AI38" i="14"/>
  <c r="AL38" i="14" s="1"/>
  <c r="AH38" i="14"/>
  <c r="AF38" i="14"/>
  <c r="H38" i="14" s="1"/>
  <c r="AZ38" i="14" s="1"/>
  <c r="AC38" i="14"/>
  <c r="Z38" i="14"/>
  <c r="Y38" i="14"/>
  <c r="AN38" i="14"/>
  <c r="S38" i="14"/>
  <c r="AQ37" i="14"/>
  <c r="AO37" i="14"/>
  <c r="AN37" i="14"/>
  <c r="AK37" i="14"/>
  <c r="AI37" i="14"/>
  <c r="R37" i="14" s="1"/>
  <c r="BC37" i="14" s="1"/>
  <c r="AH37" i="14"/>
  <c r="AF37" i="14"/>
  <c r="H37" i="14" s="1"/>
  <c r="AZ37" i="14" s="1"/>
  <c r="AC37" i="14"/>
  <c r="Z37" i="14"/>
  <c r="Y37" i="14"/>
  <c r="X37" i="14"/>
  <c r="S37" i="14"/>
  <c r="AQ36" i="14"/>
  <c r="AO36" i="14"/>
  <c r="AK36" i="14"/>
  <c r="AI36" i="14"/>
  <c r="R36" i="14" s="1"/>
  <c r="BC36" i="14" s="1"/>
  <c r="AH36" i="14"/>
  <c r="AF36" i="14"/>
  <c r="H36" i="14" s="1"/>
  <c r="AZ36" i="14" s="1"/>
  <c r="AC36" i="14"/>
  <c r="Z36" i="14"/>
  <c r="Y36" i="14"/>
  <c r="X36" i="14"/>
  <c r="S36" i="14"/>
  <c r="AQ35" i="14"/>
  <c r="AO35" i="14"/>
  <c r="AK35" i="14"/>
  <c r="AI35" i="14"/>
  <c r="AL35" i="14" s="1"/>
  <c r="AH35" i="14"/>
  <c r="AF35" i="14"/>
  <c r="H35" i="14" s="1"/>
  <c r="AZ35" i="14" s="1"/>
  <c r="AC35" i="14"/>
  <c r="Z35" i="14"/>
  <c r="Y35" i="14"/>
  <c r="AN35" i="14"/>
  <c r="S35" i="14"/>
  <c r="AQ18" i="14"/>
  <c r="AO18" i="14"/>
  <c r="AI18" i="14"/>
  <c r="AL18" i="14" s="1"/>
  <c r="AH18" i="14"/>
  <c r="AF18" i="14"/>
  <c r="H18" i="14" s="1"/>
  <c r="AZ18" i="14" s="1"/>
  <c r="AC18" i="14"/>
  <c r="AA18" i="14"/>
  <c r="Z18" i="14"/>
  <c r="Y18" i="14"/>
  <c r="AG18" i="14"/>
  <c r="S18" i="14"/>
  <c r="AQ17" i="14"/>
  <c r="AO17" i="14"/>
  <c r="AI17" i="14"/>
  <c r="AL17" i="14" s="1"/>
  <c r="AH17" i="14"/>
  <c r="AF17" i="14"/>
  <c r="H17" i="14" s="1"/>
  <c r="AZ17" i="14" s="1"/>
  <c r="AC17" i="14"/>
  <c r="AA17" i="14"/>
  <c r="Z17" i="14"/>
  <c r="Y17" i="14"/>
  <c r="AG17" i="14"/>
  <c r="S17" i="14"/>
  <c r="AQ16" i="14"/>
  <c r="AO16" i="14"/>
  <c r="AI16" i="14"/>
  <c r="AL16" i="14" s="1"/>
  <c r="AH16" i="14"/>
  <c r="AF16" i="14"/>
  <c r="H16" i="14" s="1"/>
  <c r="AZ16" i="14" s="1"/>
  <c r="AC16" i="14"/>
  <c r="AA16" i="14"/>
  <c r="Z16" i="14"/>
  <c r="Y16" i="14"/>
  <c r="AG16" i="14"/>
  <c r="S16" i="14"/>
  <c r="AQ15" i="14"/>
  <c r="AO15" i="14"/>
  <c r="AN15" i="14"/>
  <c r="AI15" i="14"/>
  <c r="AL15" i="14" s="1"/>
  <c r="AH15" i="14"/>
  <c r="AF15" i="14"/>
  <c r="H15" i="14" s="1"/>
  <c r="AZ15" i="14" s="1"/>
  <c r="AC15" i="14"/>
  <c r="AA15" i="14"/>
  <c r="Z15" i="14"/>
  <c r="Y15" i="14"/>
  <c r="AG15" i="14"/>
  <c r="S15" i="14"/>
  <c r="AQ14" i="14"/>
  <c r="AO14" i="14"/>
  <c r="AI14" i="14"/>
  <c r="AL14" i="14" s="1"/>
  <c r="AH14" i="14"/>
  <c r="AF14" i="14"/>
  <c r="H14" i="14" s="1"/>
  <c r="AZ14" i="14" s="1"/>
  <c r="AC14" i="14"/>
  <c r="AA14" i="14"/>
  <c r="Z14" i="14"/>
  <c r="Y14" i="14"/>
  <c r="AG14" i="14"/>
  <c r="S14" i="14"/>
  <c r="AQ61" i="14"/>
  <c r="AO61" i="14"/>
  <c r="AI61" i="14"/>
  <c r="AL61" i="14" s="1"/>
  <c r="AH61" i="14"/>
  <c r="AD61" i="14"/>
  <c r="AP61" i="14" s="1"/>
  <c r="AC61" i="14"/>
  <c r="Z61" i="14"/>
  <c r="Y61" i="14"/>
  <c r="X61" i="14"/>
  <c r="W61" i="14"/>
  <c r="AN61" i="14" s="1"/>
  <c r="S61" i="14"/>
  <c r="AQ60" i="14"/>
  <c r="AO60" i="14"/>
  <c r="AI60" i="14"/>
  <c r="AL60" i="14" s="1"/>
  <c r="AH60" i="14"/>
  <c r="AD60" i="14"/>
  <c r="AC60" i="14"/>
  <c r="Z60" i="14"/>
  <c r="Y60" i="14"/>
  <c r="X60" i="14"/>
  <c r="W60" i="14"/>
  <c r="AN60" i="14" s="1"/>
  <c r="S60" i="14"/>
  <c r="AQ59" i="14"/>
  <c r="AO59" i="14"/>
  <c r="AI59" i="14"/>
  <c r="R59" i="14" s="1"/>
  <c r="BC59" i="14" s="1"/>
  <c r="AH59" i="14"/>
  <c r="AD59" i="14"/>
  <c r="AP59" i="14" s="1"/>
  <c r="AC59" i="14"/>
  <c r="Z59" i="14"/>
  <c r="Y59" i="14"/>
  <c r="X59" i="14"/>
  <c r="W59" i="14"/>
  <c r="S59" i="14"/>
  <c r="AQ58" i="14"/>
  <c r="AO58" i="14"/>
  <c r="AI58" i="14"/>
  <c r="AJ58" i="14" s="1"/>
  <c r="T58" i="14" s="1"/>
  <c r="AH58" i="14"/>
  <c r="AD58" i="14"/>
  <c r="AC58" i="14"/>
  <c r="Z58" i="14"/>
  <c r="Y58" i="14"/>
  <c r="X58" i="14"/>
  <c r="W58" i="14"/>
  <c r="AN58" i="14" s="1"/>
  <c r="S58" i="14"/>
  <c r="AQ46" i="14"/>
  <c r="AO46" i="14"/>
  <c r="AK46" i="14"/>
  <c r="AI46" i="14"/>
  <c r="AJ46" i="14" s="1"/>
  <c r="T46" i="14" s="1"/>
  <c r="AH46" i="14"/>
  <c r="AF46" i="14"/>
  <c r="H46" i="14" s="1"/>
  <c r="AZ46" i="14" s="1"/>
  <c r="AC46" i="14"/>
  <c r="Z46" i="14"/>
  <c r="Y46" i="14"/>
  <c r="AG46" i="14"/>
  <c r="S46" i="14"/>
  <c r="AQ45" i="14"/>
  <c r="AO45" i="14"/>
  <c r="AK45" i="14"/>
  <c r="AI45" i="14"/>
  <c r="AL45" i="14" s="1"/>
  <c r="AH45" i="14"/>
  <c r="AF45" i="14"/>
  <c r="H45" i="14" s="1"/>
  <c r="AZ45" i="14" s="1"/>
  <c r="AC45" i="14"/>
  <c r="Z45" i="14"/>
  <c r="Y45" i="14"/>
  <c r="AN45" i="14"/>
  <c r="S45" i="14"/>
  <c r="AQ44" i="14"/>
  <c r="AO44" i="14"/>
  <c r="AK44" i="14"/>
  <c r="AI44" i="14"/>
  <c r="AL44" i="14" s="1"/>
  <c r="AH44" i="14"/>
  <c r="AF44" i="14"/>
  <c r="H44" i="14" s="1"/>
  <c r="AZ44" i="14" s="1"/>
  <c r="AC44" i="14"/>
  <c r="Z44" i="14"/>
  <c r="Y44" i="14"/>
  <c r="X44" i="14"/>
  <c r="S44" i="14"/>
  <c r="AQ43" i="14"/>
  <c r="AO43" i="14"/>
  <c r="AK43" i="14"/>
  <c r="AI43" i="14"/>
  <c r="R43" i="14" s="1"/>
  <c r="BC43" i="14" s="1"/>
  <c r="AH43" i="14"/>
  <c r="AF43" i="14"/>
  <c r="H43" i="14" s="1"/>
  <c r="AZ43" i="14" s="1"/>
  <c r="AC43" i="14"/>
  <c r="Z43" i="14"/>
  <c r="Y43" i="14"/>
  <c r="X43" i="14"/>
  <c r="S43" i="14"/>
  <c r="AQ42" i="14"/>
  <c r="AO42" i="14"/>
  <c r="AK42" i="14"/>
  <c r="AI42" i="14"/>
  <c r="R42" i="14" s="1"/>
  <c r="BC42" i="14" s="1"/>
  <c r="AH42" i="14"/>
  <c r="AF42" i="14"/>
  <c r="H42" i="14" s="1"/>
  <c r="AZ42" i="14" s="1"/>
  <c r="AC42" i="14"/>
  <c r="Z42" i="14"/>
  <c r="Y42" i="14"/>
  <c r="AG42" i="14"/>
  <c r="S42" i="14"/>
  <c r="AQ22" i="14"/>
  <c r="AO22" i="14"/>
  <c r="AI22" i="14"/>
  <c r="AL22" i="14" s="1"/>
  <c r="AH22" i="14"/>
  <c r="AF22" i="14"/>
  <c r="H22" i="14" s="1"/>
  <c r="AZ22" i="14" s="1"/>
  <c r="AC22" i="14"/>
  <c r="AA22" i="14"/>
  <c r="Z22" i="14"/>
  <c r="Y22" i="14"/>
  <c r="AG22" i="14"/>
  <c r="S22" i="14"/>
  <c r="AQ21" i="14"/>
  <c r="AO21" i="14"/>
  <c r="AI21" i="14"/>
  <c r="AL21" i="14" s="1"/>
  <c r="AH21" i="14"/>
  <c r="AF21" i="14"/>
  <c r="H21" i="14" s="1"/>
  <c r="AZ21" i="14" s="1"/>
  <c r="AC21" i="14"/>
  <c r="AA21" i="14"/>
  <c r="Z21" i="14"/>
  <c r="Y21" i="14"/>
  <c r="AE21" i="14"/>
  <c r="S21" i="14"/>
  <c r="AQ20" i="14"/>
  <c r="AO20" i="14"/>
  <c r="AI20" i="14"/>
  <c r="R20" i="14" s="1"/>
  <c r="BC20" i="14" s="1"/>
  <c r="AH20" i="14"/>
  <c r="AF20" i="14"/>
  <c r="H20" i="14" s="1"/>
  <c r="AZ20" i="14" s="1"/>
  <c r="AC20" i="14"/>
  <c r="AA20" i="14"/>
  <c r="Z20" i="14"/>
  <c r="Y20" i="14"/>
  <c r="AG20" i="14"/>
  <c r="S20" i="14"/>
  <c r="AQ19" i="14"/>
  <c r="AO19" i="14"/>
  <c r="AI19" i="14"/>
  <c r="AL19" i="14" s="1"/>
  <c r="AH19" i="14"/>
  <c r="AF19" i="14"/>
  <c r="H19" i="14" s="1"/>
  <c r="AZ19" i="14" s="1"/>
  <c r="AC19" i="14"/>
  <c r="AA19" i="14"/>
  <c r="Z19" i="14"/>
  <c r="Y19" i="14"/>
  <c r="AE19" i="14"/>
  <c r="S19" i="14"/>
  <c r="AQ13" i="14"/>
  <c r="AO13" i="14"/>
  <c r="AI13" i="14"/>
  <c r="R13" i="14" s="1"/>
  <c r="BC13" i="14" s="1"/>
  <c r="AH13" i="14"/>
  <c r="AF13" i="14"/>
  <c r="H13" i="14" s="1"/>
  <c r="AZ13" i="14" s="1"/>
  <c r="AC13" i="14"/>
  <c r="AA13" i="14"/>
  <c r="Z13" i="14"/>
  <c r="Y13" i="14"/>
  <c r="AG13" i="14"/>
  <c r="S13" i="14"/>
  <c r="AQ26" i="14"/>
  <c r="AO26" i="14"/>
  <c r="AI26" i="14"/>
  <c r="AJ26" i="14" s="1"/>
  <c r="T26" i="14" s="1"/>
  <c r="AH26" i="14"/>
  <c r="AG26" i="14"/>
  <c r="AF26" i="14"/>
  <c r="H26" i="14" s="1"/>
  <c r="AZ26" i="14" s="1"/>
  <c r="AC26" i="14"/>
  <c r="AA26" i="14"/>
  <c r="Z26" i="14"/>
  <c r="Y26" i="14"/>
  <c r="X26" i="14"/>
  <c r="S26" i="14"/>
  <c r="AQ25" i="14"/>
  <c r="AO25" i="14"/>
  <c r="AI25" i="14"/>
  <c r="AJ25" i="14" s="1"/>
  <c r="T25" i="14" s="1"/>
  <c r="AH25" i="14"/>
  <c r="AF25" i="14"/>
  <c r="H25" i="14" s="1"/>
  <c r="AZ25" i="14" s="1"/>
  <c r="AC25" i="14"/>
  <c r="AA25" i="14"/>
  <c r="Z25" i="14"/>
  <c r="Y25" i="14"/>
  <c r="X25" i="14"/>
  <c r="AE25" i="14"/>
  <c r="S25" i="14"/>
  <c r="AQ24" i="14"/>
  <c r="AO24" i="14"/>
  <c r="AI24" i="14"/>
  <c r="R24" i="14" s="1"/>
  <c r="BC24" i="14" s="1"/>
  <c r="AH24" i="14"/>
  <c r="AF24" i="14"/>
  <c r="H24" i="14" s="1"/>
  <c r="AZ24" i="14" s="1"/>
  <c r="AC24" i="14"/>
  <c r="AA24" i="14"/>
  <c r="Z24" i="14"/>
  <c r="Y24" i="14"/>
  <c r="X24" i="14"/>
  <c r="S24" i="14"/>
  <c r="AQ12" i="14"/>
  <c r="AO12" i="14"/>
  <c r="AI12" i="14"/>
  <c r="R12" i="14" s="1"/>
  <c r="BC12" i="14" s="1"/>
  <c r="AH12" i="14"/>
  <c r="AF12" i="14"/>
  <c r="H12" i="14" s="1"/>
  <c r="AZ12" i="14" s="1"/>
  <c r="AC12" i="14"/>
  <c r="AA12" i="14"/>
  <c r="Z12" i="14"/>
  <c r="Y12" i="14"/>
  <c r="AG12" i="14"/>
  <c r="S12" i="14"/>
  <c r="AQ23" i="14"/>
  <c r="AO23" i="14"/>
  <c r="AI23" i="14"/>
  <c r="R23" i="14" s="1"/>
  <c r="BC23" i="14" s="1"/>
  <c r="AH23" i="14"/>
  <c r="AF23" i="14"/>
  <c r="H23" i="14" s="1"/>
  <c r="AZ23" i="14" s="1"/>
  <c r="AC23" i="14"/>
  <c r="AA23" i="14"/>
  <c r="Z23" i="14"/>
  <c r="Y23" i="14"/>
  <c r="AG23" i="14"/>
  <c r="S23" i="14"/>
  <c r="U14" i="14" l="1"/>
  <c r="BD14" i="14"/>
  <c r="U22" i="14"/>
  <c r="BD22" i="14"/>
  <c r="U60" i="14"/>
  <c r="BD60" i="14"/>
  <c r="U19" i="14"/>
  <c r="BD19" i="14"/>
  <c r="U38" i="14"/>
  <c r="BD38" i="14"/>
  <c r="U45" i="14"/>
  <c r="BD45" i="14"/>
  <c r="U61" i="14"/>
  <c r="BD61" i="14"/>
  <c r="U44" i="14"/>
  <c r="BD44" i="14"/>
  <c r="U17" i="14"/>
  <c r="BD17" i="14"/>
  <c r="U15" i="14"/>
  <c r="BD15" i="14"/>
  <c r="U18" i="14"/>
  <c r="BD18" i="14"/>
  <c r="U21" i="14"/>
  <c r="BD21" i="14"/>
  <c r="U16" i="14"/>
  <c r="BD16" i="14"/>
  <c r="U35" i="14"/>
  <c r="BD35" i="14"/>
  <c r="AT61" i="14"/>
  <c r="AS61" i="14"/>
  <c r="AW61" i="14" s="1"/>
  <c r="AE60" i="14"/>
  <c r="AF60" i="14" s="1"/>
  <c r="H60" i="14" s="1"/>
  <c r="AE58" i="14"/>
  <c r="AF58" i="14" s="1"/>
  <c r="H58" i="14" s="1"/>
  <c r="AD21" i="14"/>
  <c r="AP21" i="14" s="1"/>
  <c r="AN59" i="14"/>
  <c r="AS59" i="14" s="1"/>
  <c r="AW59" i="14" s="1"/>
  <c r="AD17" i="14"/>
  <c r="AP17" i="14" s="1"/>
  <c r="AP58" i="14"/>
  <c r="AS58" i="14" s="1"/>
  <c r="AW58" i="14" s="1"/>
  <c r="AP60" i="14"/>
  <c r="AT60" i="14" s="1"/>
  <c r="AD37" i="14"/>
  <c r="AP37" i="14" s="1"/>
  <c r="AD19" i="14"/>
  <c r="AP19" i="14" s="1"/>
  <c r="R15" i="14"/>
  <c r="BC15" i="14" s="1"/>
  <c r="AD15" i="14"/>
  <c r="AP15" i="14" s="1"/>
  <c r="X19" i="14"/>
  <c r="AG19" i="14"/>
  <c r="AG24" i="14"/>
  <c r="AG25" i="14"/>
  <c r="X21" i="14"/>
  <c r="AG21" i="14"/>
  <c r="AN43" i="14"/>
  <c r="AL26" i="14"/>
  <c r="AN19" i="14"/>
  <c r="R61" i="14"/>
  <c r="BC61" i="14" s="1"/>
  <c r="AN17" i="14"/>
  <c r="AN21" i="14"/>
  <c r="AD43" i="14"/>
  <c r="AP43" i="14" s="1"/>
  <c r="X46" i="14"/>
  <c r="AL59" i="14"/>
  <c r="R26" i="14"/>
  <c r="BC26" i="14" s="1"/>
  <c r="R18" i="14"/>
  <c r="BC18" i="14" s="1"/>
  <c r="R35" i="14"/>
  <c r="BC35" i="14" s="1"/>
  <c r="R39" i="14"/>
  <c r="BC39" i="14" s="1"/>
  <c r="AE61" i="14"/>
  <c r="AF61" i="14" s="1"/>
  <c r="H61" i="14" s="1"/>
  <c r="AJ35" i="14"/>
  <c r="T35" i="14" s="1"/>
  <c r="AJ61" i="14"/>
  <c r="T61" i="14" s="1"/>
  <c r="AL36" i="14"/>
  <c r="AL37" i="14"/>
  <c r="AL39" i="14"/>
  <c r="AG35" i="14"/>
  <c r="X35" i="14"/>
  <c r="AD36" i="14"/>
  <c r="AP36" i="14" s="1"/>
  <c r="AN36" i="14"/>
  <c r="AJ37" i="14"/>
  <c r="T37" i="14" s="1"/>
  <c r="AG38" i="14"/>
  <c r="AJ59" i="14"/>
  <c r="T59" i="14" s="1"/>
  <c r="R16" i="14"/>
  <c r="BC16" i="14" s="1"/>
  <c r="R17" i="14"/>
  <c r="BC17" i="14" s="1"/>
  <c r="X38" i="14"/>
  <c r="AD39" i="14"/>
  <c r="AP39" i="14" s="1"/>
  <c r="AN39" i="14"/>
  <c r="AG36" i="14"/>
  <c r="AJ38" i="14"/>
  <c r="T38" i="14" s="1"/>
  <c r="AG39" i="14"/>
  <c r="R38" i="14"/>
  <c r="BC38" i="14" s="1"/>
  <c r="AJ24" i="14"/>
  <c r="T24" i="14" s="1"/>
  <c r="AL42" i="14"/>
  <c r="AD35" i="14"/>
  <c r="AP35" i="14" s="1"/>
  <c r="AJ36" i="14"/>
  <c r="T36" i="14" s="1"/>
  <c r="AG37" i="14"/>
  <c r="AD38" i="14"/>
  <c r="AP38" i="14" s="1"/>
  <c r="R14" i="14"/>
  <c r="BC14" i="14" s="1"/>
  <c r="AE17" i="14"/>
  <c r="AJ14" i="14"/>
  <c r="T14" i="14" s="1"/>
  <c r="X15" i="14"/>
  <c r="AJ16" i="14"/>
  <c r="T16" i="14" s="1"/>
  <c r="X17" i="14"/>
  <c r="AJ18" i="14"/>
  <c r="T18" i="14" s="1"/>
  <c r="R19" i="14"/>
  <c r="BC19" i="14" s="1"/>
  <c r="AL58" i="14"/>
  <c r="AE15" i="14"/>
  <c r="R21" i="14"/>
  <c r="BC21" i="14" s="1"/>
  <c r="R46" i="14"/>
  <c r="BC46" i="14" s="1"/>
  <c r="R45" i="14"/>
  <c r="BC45" i="14" s="1"/>
  <c r="AD14" i="14"/>
  <c r="AP14" i="14" s="1"/>
  <c r="AN14" i="14"/>
  <c r="AD16" i="14"/>
  <c r="AP16" i="14" s="1"/>
  <c r="AN16" i="14"/>
  <c r="AD18" i="14"/>
  <c r="AP18" i="14" s="1"/>
  <c r="AN18" i="14"/>
  <c r="AE14" i="14"/>
  <c r="AE16" i="14"/>
  <c r="AE18" i="14"/>
  <c r="X14" i="14"/>
  <c r="AJ15" i="14"/>
  <c r="T15" i="14" s="1"/>
  <c r="X16" i="14"/>
  <c r="AJ17" i="14"/>
  <c r="T17" i="14" s="1"/>
  <c r="X18" i="14"/>
  <c r="AJ42" i="14"/>
  <c r="T42" i="14" s="1"/>
  <c r="AL46" i="14"/>
  <c r="AL25" i="14"/>
  <c r="AL20" i="14"/>
  <c r="AE59" i="14"/>
  <c r="AF59" i="14" s="1"/>
  <c r="H59" i="14" s="1"/>
  <c r="R60" i="14"/>
  <c r="BC60" i="14" s="1"/>
  <c r="AJ60" i="14"/>
  <c r="T60" i="14" s="1"/>
  <c r="AJ20" i="14"/>
  <c r="T20" i="14" s="1"/>
  <c r="R22" i="14"/>
  <c r="BC22" i="14" s="1"/>
  <c r="R58" i="14"/>
  <c r="BC58" i="14" s="1"/>
  <c r="R25" i="14"/>
  <c r="BC25" i="14" s="1"/>
  <c r="AJ22" i="14"/>
  <c r="T22" i="14" s="1"/>
  <c r="AL43" i="14"/>
  <c r="X42" i="14"/>
  <c r="AJ44" i="14"/>
  <c r="T44" i="14" s="1"/>
  <c r="AG45" i="14"/>
  <c r="AL13" i="14"/>
  <c r="R44" i="14"/>
  <c r="BC44" i="14" s="1"/>
  <c r="X45" i="14"/>
  <c r="AD46" i="14"/>
  <c r="AP46" i="14" s="1"/>
  <c r="AN46" i="14"/>
  <c r="AG43" i="14"/>
  <c r="AD44" i="14"/>
  <c r="AP44" i="14" s="1"/>
  <c r="AN44" i="14"/>
  <c r="AJ45" i="14"/>
  <c r="T45" i="14" s="1"/>
  <c r="AJ13" i="14"/>
  <c r="T13" i="14" s="1"/>
  <c r="AD42" i="14"/>
  <c r="AP42" i="14" s="1"/>
  <c r="AN42" i="14"/>
  <c r="AJ43" i="14"/>
  <c r="T43" i="14" s="1"/>
  <c r="AG44" i="14"/>
  <c r="AD45" i="14"/>
  <c r="AP45" i="14" s="1"/>
  <c r="AD13" i="14"/>
  <c r="AP13" i="14" s="1"/>
  <c r="AN13" i="14"/>
  <c r="AD20" i="14"/>
  <c r="AP20" i="14" s="1"/>
  <c r="AN20" i="14"/>
  <c r="AD22" i="14"/>
  <c r="AP22" i="14" s="1"/>
  <c r="AN22" i="14"/>
  <c r="AE13" i="14"/>
  <c r="AE20" i="14"/>
  <c r="AE22" i="14"/>
  <c r="AL24" i="14"/>
  <c r="X13" i="14"/>
  <c r="AJ19" i="14"/>
  <c r="T19" i="14" s="1"/>
  <c r="X20" i="14"/>
  <c r="AJ21" i="14"/>
  <c r="T21" i="14" s="1"/>
  <c r="X22" i="14"/>
  <c r="AD24" i="14"/>
  <c r="AP24" i="14" s="1"/>
  <c r="AN24" i="14"/>
  <c r="AD26" i="14"/>
  <c r="AP26" i="14" s="1"/>
  <c r="AN26" i="14"/>
  <c r="AE24" i="14"/>
  <c r="AE26" i="14"/>
  <c r="AD25" i="14"/>
  <c r="AP25" i="14" s="1"/>
  <c r="AN25" i="14"/>
  <c r="AL12" i="14"/>
  <c r="AD12" i="14"/>
  <c r="AP12" i="14" s="1"/>
  <c r="AN12" i="14"/>
  <c r="AJ12" i="14"/>
  <c r="T12" i="14" s="1"/>
  <c r="AE12" i="14"/>
  <c r="AL23" i="14"/>
  <c r="X12" i="14"/>
  <c r="AJ23" i="14"/>
  <c r="T23" i="14" s="1"/>
  <c r="AD23" i="14"/>
  <c r="AP23" i="14" s="1"/>
  <c r="AN23" i="14"/>
  <c r="AE23" i="14"/>
  <c r="X23" i="14"/>
  <c r="AZ61" i="14" l="1"/>
  <c r="U43" i="14"/>
  <c r="BD43" i="14"/>
  <c r="U23" i="14"/>
  <c r="BD23" i="14"/>
  <c r="U36" i="14"/>
  <c r="BD36" i="14"/>
  <c r="U20" i="14"/>
  <c r="BD20" i="14"/>
  <c r="U59" i="14"/>
  <c r="BD59" i="14"/>
  <c r="U25" i="14"/>
  <c r="BD25" i="14"/>
  <c r="U46" i="14"/>
  <c r="BD46" i="14"/>
  <c r="U24" i="14"/>
  <c r="BD24" i="14"/>
  <c r="U13" i="14"/>
  <c r="BD13" i="14"/>
  <c r="U42" i="14"/>
  <c r="BD42" i="14"/>
  <c r="AZ58" i="14"/>
  <c r="U12" i="14"/>
  <c r="BD12" i="14"/>
  <c r="U39" i="14"/>
  <c r="BD39" i="14"/>
  <c r="AZ59" i="14"/>
  <c r="U58" i="14"/>
  <c r="BD58" i="14"/>
  <c r="U37" i="14"/>
  <c r="BD37" i="14"/>
  <c r="U26" i="14"/>
  <c r="BD26" i="14"/>
  <c r="AT58" i="14"/>
  <c r="AT59" i="14"/>
  <c r="AS60" i="14"/>
  <c r="AW60" i="14" s="1"/>
  <c r="AZ60" i="14" s="1"/>
  <c r="O58" i="7"/>
  <c r="N58" i="7"/>
  <c r="O57" i="7"/>
  <c r="N57" i="7"/>
  <c r="O56" i="7"/>
  <c r="N56" i="7"/>
  <c r="O49" i="7"/>
  <c r="N49" i="7"/>
  <c r="O48" i="7"/>
  <c r="N48" i="7"/>
  <c r="O47" i="7"/>
  <c r="N47" i="7"/>
  <c r="O46" i="7"/>
  <c r="N46" i="7"/>
  <c r="O45" i="7"/>
  <c r="N45" i="7"/>
  <c r="O44" i="7"/>
  <c r="N44" i="7"/>
  <c r="O43" i="7"/>
  <c r="N43" i="7"/>
  <c r="O42" i="7"/>
  <c r="N42" i="7"/>
  <c r="O41" i="7"/>
  <c r="N41" i="7"/>
  <c r="O40" i="7"/>
  <c r="N40" i="7"/>
  <c r="O39" i="7"/>
  <c r="N39" i="7"/>
  <c r="O38" i="7"/>
  <c r="N38" i="7"/>
  <c r="O37" i="7"/>
  <c r="N37" i="7"/>
  <c r="O36" i="7"/>
  <c r="N36" i="7"/>
  <c r="O35" i="7"/>
  <c r="N35" i="7"/>
  <c r="O34" i="7"/>
  <c r="N34" i="7"/>
  <c r="O33" i="7"/>
  <c r="N33" i="7"/>
  <c r="O32" i="7"/>
  <c r="N32" i="7"/>
  <c r="O31" i="7"/>
  <c r="N31" i="7"/>
  <c r="O30" i="7"/>
  <c r="N30" i="7"/>
  <c r="O29" i="7"/>
  <c r="N29" i="7"/>
  <c r="O28" i="7"/>
  <c r="N28" i="7"/>
  <c r="O27" i="7"/>
  <c r="N27" i="7"/>
  <c r="O26" i="7"/>
  <c r="N26" i="7"/>
  <c r="O25" i="7"/>
  <c r="N25" i="7"/>
  <c r="O24" i="7"/>
  <c r="N24" i="7"/>
  <c r="O23" i="7"/>
  <c r="N23" i="7"/>
  <c r="O22" i="7"/>
  <c r="N22" i="7"/>
  <c r="O21" i="7"/>
  <c r="N21" i="7"/>
  <c r="O20" i="7"/>
  <c r="N20" i="7"/>
  <c r="O19" i="7"/>
  <c r="N19" i="7"/>
  <c r="O18" i="7"/>
  <c r="N18" i="7"/>
  <c r="O17" i="7"/>
  <c r="N17" i="7"/>
  <c r="O16" i="7"/>
  <c r="N16" i="7"/>
  <c r="O15" i="7"/>
  <c r="N15" i="7"/>
  <c r="O14" i="7"/>
  <c r="N14" i="7"/>
  <c r="O13" i="7"/>
  <c r="N13" i="7"/>
  <c r="O12" i="7"/>
  <c r="N12" i="7"/>
  <c r="O11" i="7"/>
  <c r="N11" i="7"/>
  <c r="O10" i="7"/>
  <c r="N10" i="7"/>
  <c r="O9" i="7"/>
  <c r="N9" i="7"/>
  <c r="O8" i="7"/>
  <c r="N8" i="7"/>
  <c r="O7" i="7"/>
  <c r="N7" i="7"/>
  <c r="O6" i="7"/>
  <c r="N6" i="7"/>
  <c r="L58" i="7"/>
  <c r="K58" i="7"/>
  <c r="I58" i="7"/>
  <c r="M58" i="7" s="1"/>
  <c r="H58" i="7"/>
  <c r="L57" i="7"/>
  <c r="K57" i="7"/>
  <c r="I57" i="7"/>
  <c r="J57" i="7" s="1"/>
  <c r="E57" i="7" s="1"/>
  <c r="H57" i="7"/>
  <c r="L56" i="7"/>
  <c r="K56" i="7"/>
  <c r="I56" i="7"/>
  <c r="J56" i="7" s="1"/>
  <c r="E56" i="7" s="1"/>
  <c r="H56" i="7"/>
  <c r="L49" i="7"/>
  <c r="K49" i="7"/>
  <c r="I49" i="7"/>
  <c r="M49" i="7" s="1"/>
  <c r="H49" i="7"/>
  <c r="L48" i="7"/>
  <c r="K48" i="7"/>
  <c r="I48" i="7"/>
  <c r="J48" i="7" s="1"/>
  <c r="E48" i="7" s="1"/>
  <c r="H48" i="7"/>
  <c r="L47" i="7"/>
  <c r="K47" i="7"/>
  <c r="I47" i="7"/>
  <c r="J47" i="7" s="1"/>
  <c r="E47" i="7" s="1"/>
  <c r="H47" i="7"/>
  <c r="L46" i="7"/>
  <c r="K46" i="7"/>
  <c r="I46" i="7"/>
  <c r="J46" i="7" s="1"/>
  <c r="E46" i="7" s="1"/>
  <c r="H46" i="7"/>
  <c r="L45" i="7"/>
  <c r="K45" i="7"/>
  <c r="I45" i="7"/>
  <c r="M45" i="7" s="1"/>
  <c r="H45" i="7"/>
  <c r="L44" i="7"/>
  <c r="K44" i="7"/>
  <c r="I44" i="7"/>
  <c r="J44" i="7" s="1"/>
  <c r="E44" i="7" s="1"/>
  <c r="H44" i="7"/>
  <c r="L43" i="7"/>
  <c r="K43" i="7"/>
  <c r="I43" i="7"/>
  <c r="M43" i="7" s="1"/>
  <c r="H43" i="7"/>
  <c r="L42" i="7"/>
  <c r="K42" i="7"/>
  <c r="I42" i="7"/>
  <c r="J42" i="7" s="1"/>
  <c r="E42" i="7" s="1"/>
  <c r="H42" i="7"/>
  <c r="L41" i="7"/>
  <c r="K41" i="7"/>
  <c r="I41" i="7"/>
  <c r="M41" i="7" s="1"/>
  <c r="H41" i="7"/>
  <c r="L40" i="7"/>
  <c r="K40" i="7"/>
  <c r="I40" i="7"/>
  <c r="J40" i="7" s="1"/>
  <c r="E40" i="7" s="1"/>
  <c r="H40" i="7"/>
  <c r="L39" i="7"/>
  <c r="K39" i="7"/>
  <c r="I39" i="7"/>
  <c r="J39" i="7" s="1"/>
  <c r="E39" i="7" s="1"/>
  <c r="H39" i="7"/>
  <c r="L38" i="7"/>
  <c r="K38" i="7"/>
  <c r="I38" i="7"/>
  <c r="J38" i="7" s="1"/>
  <c r="E38" i="7" s="1"/>
  <c r="H38" i="7"/>
  <c r="L37" i="7"/>
  <c r="K37" i="7"/>
  <c r="I37" i="7"/>
  <c r="M37" i="7" s="1"/>
  <c r="H37" i="7"/>
  <c r="L36" i="7"/>
  <c r="K36" i="7"/>
  <c r="I36" i="7"/>
  <c r="J36" i="7" s="1"/>
  <c r="E36" i="7" s="1"/>
  <c r="H36" i="7"/>
  <c r="L35" i="7"/>
  <c r="K35" i="7"/>
  <c r="I35" i="7"/>
  <c r="J35" i="7" s="1"/>
  <c r="E35" i="7" s="1"/>
  <c r="H35" i="7"/>
  <c r="L34" i="7"/>
  <c r="K34" i="7"/>
  <c r="I34" i="7"/>
  <c r="M34" i="7" s="1"/>
  <c r="H34" i="7"/>
  <c r="L33" i="7"/>
  <c r="K33" i="7"/>
  <c r="I33" i="7"/>
  <c r="M33" i="7" s="1"/>
  <c r="H33" i="7"/>
  <c r="L32" i="7"/>
  <c r="K32" i="7"/>
  <c r="I32" i="7"/>
  <c r="M32" i="7" s="1"/>
  <c r="H32" i="7"/>
  <c r="L31" i="7"/>
  <c r="K31" i="7"/>
  <c r="I31" i="7"/>
  <c r="M31" i="7" s="1"/>
  <c r="H31" i="7"/>
  <c r="L30" i="7"/>
  <c r="K30" i="7"/>
  <c r="I30" i="7"/>
  <c r="M30" i="7" s="1"/>
  <c r="H30" i="7"/>
  <c r="L29" i="7"/>
  <c r="K29" i="7"/>
  <c r="I29" i="7"/>
  <c r="M29" i="7" s="1"/>
  <c r="H29" i="7"/>
  <c r="L28" i="7"/>
  <c r="K28" i="7"/>
  <c r="I28" i="7"/>
  <c r="J28" i="7" s="1"/>
  <c r="E28" i="7" s="1"/>
  <c r="H28" i="7"/>
  <c r="L27" i="7"/>
  <c r="K27" i="7"/>
  <c r="I27" i="7"/>
  <c r="J27" i="7" s="1"/>
  <c r="E27" i="7" s="1"/>
  <c r="H27" i="7"/>
  <c r="L26" i="7"/>
  <c r="K26" i="7"/>
  <c r="I26" i="7"/>
  <c r="J26" i="7" s="1"/>
  <c r="E26" i="7" s="1"/>
  <c r="H26" i="7"/>
  <c r="L25" i="7"/>
  <c r="K25" i="7"/>
  <c r="I25" i="7"/>
  <c r="M25" i="7" s="1"/>
  <c r="H25" i="7"/>
  <c r="L24" i="7"/>
  <c r="K24" i="7"/>
  <c r="I24" i="7"/>
  <c r="J24" i="7" s="1"/>
  <c r="E24" i="7" s="1"/>
  <c r="H24" i="7"/>
  <c r="L23" i="7"/>
  <c r="K23" i="7"/>
  <c r="I23" i="7"/>
  <c r="M23" i="7" s="1"/>
  <c r="H23" i="7"/>
  <c r="L22" i="7"/>
  <c r="K22" i="7"/>
  <c r="I22" i="7"/>
  <c r="M22" i="7" s="1"/>
  <c r="H22" i="7"/>
  <c r="L21" i="7"/>
  <c r="K21" i="7"/>
  <c r="I21" i="7"/>
  <c r="M21" i="7" s="1"/>
  <c r="H21" i="7"/>
  <c r="L20" i="7"/>
  <c r="K20" i="7"/>
  <c r="I20" i="7"/>
  <c r="M20" i="7" s="1"/>
  <c r="H20" i="7"/>
  <c r="L19" i="7"/>
  <c r="K19" i="7"/>
  <c r="I19" i="7"/>
  <c r="M19" i="7" s="1"/>
  <c r="H19" i="7"/>
  <c r="L18" i="7"/>
  <c r="K18" i="7"/>
  <c r="I18" i="7"/>
  <c r="M18" i="7" s="1"/>
  <c r="H18" i="7"/>
  <c r="L17" i="7"/>
  <c r="K17" i="7"/>
  <c r="I17" i="7"/>
  <c r="M17" i="7" s="1"/>
  <c r="H17" i="7"/>
  <c r="L16" i="7"/>
  <c r="K16" i="7"/>
  <c r="I16" i="7"/>
  <c r="M16" i="7" s="1"/>
  <c r="H16" i="7"/>
  <c r="L15" i="7"/>
  <c r="K15" i="7"/>
  <c r="I15" i="7"/>
  <c r="M15" i="7" s="1"/>
  <c r="H15" i="7"/>
  <c r="L14" i="7"/>
  <c r="K14" i="7"/>
  <c r="I14" i="7"/>
  <c r="J14" i="7" s="1"/>
  <c r="E14" i="7" s="1"/>
  <c r="H14" i="7"/>
  <c r="L13" i="7"/>
  <c r="K13" i="7"/>
  <c r="I13" i="7"/>
  <c r="M13" i="7" s="1"/>
  <c r="H13" i="7"/>
  <c r="L12" i="7"/>
  <c r="K12" i="7"/>
  <c r="I12" i="7"/>
  <c r="M12" i="7" s="1"/>
  <c r="H12" i="7"/>
  <c r="L11" i="7"/>
  <c r="K11" i="7"/>
  <c r="I11" i="7"/>
  <c r="J11" i="7" s="1"/>
  <c r="E11" i="7" s="1"/>
  <c r="H11" i="7"/>
  <c r="I6" i="7"/>
  <c r="I7" i="7"/>
  <c r="I8" i="7"/>
  <c r="I9" i="7"/>
  <c r="I10" i="7"/>
  <c r="M10" i="7" s="1"/>
  <c r="L10" i="7"/>
  <c r="K10" i="7"/>
  <c r="K9" i="7"/>
  <c r="L9" i="7" s="1"/>
  <c r="K8" i="7"/>
  <c r="L8" i="7" s="1"/>
  <c r="K7" i="7"/>
  <c r="L7" i="7" s="1"/>
  <c r="K6" i="7"/>
  <c r="L6" i="7" s="1"/>
  <c r="H10" i="7"/>
  <c r="H9" i="7"/>
  <c r="H8" i="7"/>
  <c r="H7" i="7"/>
  <c r="H6" i="7"/>
  <c r="S29" i="14"/>
  <c r="S28" i="14"/>
  <c r="S27" i="14"/>
  <c r="AD64" i="14"/>
  <c r="AP64" i="14" s="1"/>
  <c r="AD63" i="14"/>
  <c r="AP63" i="14" s="1"/>
  <c r="AD62" i="14"/>
  <c r="AE62" i="14" s="1"/>
  <c r="AD57" i="14"/>
  <c r="AE57" i="14" s="1"/>
  <c r="AF57" i="14" s="1"/>
  <c r="H57" i="14" s="1"/>
  <c r="AD56" i="14"/>
  <c r="AI64" i="14"/>
  <c r="AJ64" i="14" s="1"/>
  <c r="T64" i="14" s="1"/>
  <c r="AI63" i="14"/>
  <c r="AL63" i="14" s="1"/>
  <c r="AI62" i="14"/>
  <c r="R62" i="14" s="1"/>
  <c r="BC62" i="14" s="1"/>
  <c r="AQ64" i="14"/>
  <c r="AQ63" i="14"/>
  <c r="AQ62" i="14"/>
  <c r="AQ57" i="14"/>
  <c r="AQ56" i="14"/>
  <c r="AQ55" i="14"/>
  <c r="AQ53" i="14"/>
  <c r="AQ52" i="14"/>
  <c r="AQ51" i="14"/>
  <c r="AQ50" i="14"/>
  <c r="AQ49" i="14"/>
  <c r="AQ48" i="14"/>
  <c r="AQ47" i="14"/>
  <c r="AQ41" i="14"/>
  <c r="AQ40" i="14"/>
  <c r="AQ34" i="14"/>
  <c r="AQ33" i="14"/>
  <c r="AQ32" i="14"/>
  <c r="AQ31" i="14"/>
  <c r="AQ29" i="14"/>
  <c r="AQ28" i="14"/>
  <c r="AQ27" i="14"/>
  <c r="AQ11" i="14"/>
  <c r="AQ10" i="14"/>
  <c r="AQ9" i="14"/>
  <c r="AQ8" i="14"/>
  <c r="AQ7" i="14"/>
  <c r="AP54" i="14"/>
  <c r="AP30" i="14"/>
  <c r="AO64" i="14"/>
  <c r="AO63" i="14"/>
  <c r="AO62" i="14"/>
  <c r="AO57" i="14"/>
  <c r="AO56" i="14"/>
  <c r="AO55" i="14"/>
  <c r="AO53" i="14"/>
  <c r="AO52" i="14"/>
  <c r="AO51" i="14"/>
  <c r="AO50" i="14"/>
  <c r="AO49" i="14"/>
  <c r="AO48" i="14"/>
  <c r="AO47" i="14"/>
  <c r="AO41" i="14"/>
  <c r="AO40" i="14"/>
  <c r="AO34" i="14"/>
  <c r="AO33" i="14"/>
  <c r="AO32" i="14"/>
  <c r="AO31" i="14"/>
  <c r="AO29" i="14"/>
  <c r="AO28" i="14"/>
  <c r="AO27" i="14"/>
  <c r="AO11" i="14"/>
  <c r="AO10" i="14"/>
  <c r="AO9" i="14"/>
  <c r="AO8" i="14"/>
  <c r="S64" i="14"/>
  <c r="S63" i="14"/>
  <c r="S62" i="14"/>
  <c r="S57" i="14"/>
  <c r="S56" i="14"/>
  <c r="S55" i="14"/>
  <c r="AH64" i="14"/>
  <c r="AH63" i="14"/>
  <c r="AH62" i="14"/>
  <c r="AF62" i="14"/>
  <c r="H62" i="14" s="1"/>
  <c r="AH57" i="14"/>
  <c r="AH56" i="14"/>
  <c r="AH55" i="14"/>
  <c r="AC55" i="14"/>
  <c r="AD55" i="14"/>
  <c r="X64" i="14"/>
  <c r="X63" i="14"/>
  <c r="X62" i="14"/>
  <c r="X57" i="14"/>
  <c r="X56" i="14"/>
  <c r="W64" i="14"/>
  <c r="AN64" i="14" s="1"/>
  <c r="W63" i="14"/>
  <c r="AG63" i="14" s="1"/>
  <c r="W62" i="14"/>
  <c r="AN62" i="14" s="1"/>
  <c r="W57" i="14"/>
  <c r="W56" i="14"/>
  <c r="AN56" i="14" s="1"/>
  <c r="W55" i="14"/>
  <c r="AU52" i="13"/>
  <c r="AU48" i="13"/>
  <c r="AW72" i="13"/>
  <c r="AU72" i="13"/>
  <c r="AW71" i="13"/>
  <c r="AU71" i="13"/>
  <c r="AW67" i="13"/>
  <c r="AU67" i="13"/>
  <c r="AW66" i="13"/>
  <c r="AU66" i="13"/>
  <c r="AW65" i="13"/>
  <c r="AU65" i="13"/>
  <c r="AW64" i="13"/>
  <c r="AU64" i="13"/>
  <c r="AW63" i="13"/>
  <c r="AU63" i="13"/>
  <c r="AW62" i="13"/>
  <c r="AU62" i="13"/>
  <c r="AW61" i="13"/>
  <c r="AU61" i="13"/>
  <c r="AW60" i="13"/>
  <c r="AU60" i="13"/>
  <c r="AW59" i="13"/>
  <c r="AU59" i="13"/>
  <c r="AW58" i="13"/>
  <c r="AU58" i="13"/>
  <c r="AW57" i="13"/>
  <c r="AU57" i="13"/>
  <c r="AW56" i="13"/>
  <c r="AU56" i="13"/>
  <c r="AW55" i="13"/>
  <c r="AU55" i="13"/>
  <c r="AW54" i="13"/>
  <c r="AU54" i="13"/>
  <c r="AW53" i="13"/>
  <c r="AW52" i="13"/>
  <c r="AW51" i="13"/>
  <c r="AW50" i="13"/>
  <c r="AW49" i="13"/>
  <c r="AW48" i="13"/>
  <c r="AC64" i="14"/>
  <c r="Z64" i="14"/>
  <c r="Y64" i="14"/>
  <c r="AC63" i="14"/>
  <c r="Z63" i="14"/>
  <c r="Y63" i="14"/>
  <c r="AC62" i="14"/>
  <c r="Z62" i="14"/>
  <c r="Y62" i="14"/>
  <c r="AC57" i="14"/>
  <c r="Z57" i="14"/>
  <c r="Y57" i="14"/>
  <c r="AC56" i="14"/>
  <c r="Z56" i="14"/>
  <c r="Y56" i="14"/>
  <c r="Z55" i="14"/>
  <c r="Y55" i="14"/>
  <c r="S11" i="14"/>
  <c r="S10" i="14"/>
  <c r="S9" i="14"/>
  <c r="S8" i="14"/>
  <c r="S7" i="14"/>
  <c r="AF53" i="14"/>
  <c r="H53" i="14" s="1"/>
  <c r="AZ53" i="14" s="1"/>
  <c r="AF52" i="14"/>
  <c r="H52" i="14" s="1"/>
  <c r="AZ52" i="14" s="1"/>
  <c r="AF51" i="14"/>
  <c r="H51" i="14" s="1"/>
  <c r="AZ51" i="14" s="1"/>
  <c r="AF50" i="14"/>
  <c r="H50" i="14" s="1"/>
  <c r="AZ50" i="14" s="1"/>
  <c r="AF49" i="14"/>
  <c r="H49" i="14" s="1"/>
  <c r="AZ49" i="14" s="1"/>
  <c r="AF48" i="14"/>
  <c r="H48" i="14" s="1"/>
  <c r="AZ48" i="14" s="1"/>
  <c r="AF47" i="14"/>
  <c r="H47" i="14" s="1"/>
  <c r="AZ47" i="14" s="1"/>
  <c r="AF41" i="14"/>
  <c r="H41" i="14" s="1"/>
  <c r="AZ41" i="14" s="1"/>
  <c r="AF40" i="14"/>
  <c r="H40" i="14" s="1"/>
  <c r="AZ40" i="14" s="1"/>
  <c r="AF34" i="14"/>
  <c r="H34" i="14" s="1"/>
  <c r="AZ34" i="14" s="1"/>
  <c r="AF33" i="14"/>
  <c r="H33" i="14" s="1"/>
  <c r="AF32" i="14"/>
  <c r="H32" i="14" s="1"/>
  <c r="AF31" i="14"/>
  <c r="H31" i="14" s="1"/>
  <c r="AA8" i="14"/>
  <c r="AA9" i="14"/>
  <c r="AA10" i="14"/>
  <c r="AA11" i="14"/>
  <c r="AA27" i="14"/>
  <c r="AA28" i="14"/>
  <c r="AA29" i="14"/>
  <c r="AC29" i="14"/>
  <c r="AC28" i="14"/>
  <c r="AC27" i="14"/>
  <c r="AC11" i="14"/>
  <c r="AC10" i="14"/>
  <c r="AC9" i="14"/>
  <c r="AC8" i="14"/>
  <c r="AC7" i="14"/>
  <c r="AH29" i="14"/>
  <c r="AI29" i="14" s="1"/>
  <c r="R29" i="14" s="1"/>
  <c r="BC29" i="14" s="1"/>
  <c r="AH28" i="14"/>
  <c r="AI28" i="14" s="1"/>
  <c r="R28" i="14" s="1"/>
  <c r="BC28" i="14" s="1"/>
  <c r="AH27" i="14"/>
  <c r="AI27" i="14" s="1"/>
  <c r="R27" i="14" s="1"/>
  <c r="BC27" i="14" s="1"/>
  <c r="AH11" i="14"/>
  <c r="AH10" i="14"/>
  <c r="AH9" i="14"/>
  <c r="AH8" i="14"/>
  <c r="AH7" i="14"/>
  <c r="AA7" i="14"/>
  <c r="Z29" i="14"/>
  <c r="Z28" i="14"/>
  <c r="Z27" i="14"/>
  <c r="Z11" i="14"/>
  <c r="Z10" i="14"/>
  <c r="Z9" i="14"/>
  <c r="Z8" i="14"/>
  <c r="Z7" i="14"/>
  <c r="Y29" i="14"/>
  <c r="Y28" i="14"/>
  <c r="Y27" i="14"/>
  <c r="Y11" i="14"/>
  <c r="Y10" i="14"/>
  <c r="Y9" i="14"/>
  <c r="Y8" i="14"/>
  <c r="Y7" i="14"/>
  <c r="AG29" i="14"/>
  <c r="X28" i="14"/>
  <c r="X27" i="14"/>
  <c r="X11" i="14"/>
  <c r="X9" i="14"/>
  <c r="X8" i="14"/>
  <c r="X7" i="14"/>
  <c r="AK53" i="14"/>
  <c r="AK52" i="14"/>
  <c r="AK51" i="14"/>
  <c r="AK50" i="14"/>
  <c r="AK49" i="14"/>
  <c r="AK48" i="14"/>
  <c r="AK47" i="14"/>
  <c r="AK41" i="14"/>
  <c r="AK40" i="14"/>
  <c r="AK34" i="14"/>
  <c r="AK33" i="14"/>
  <c r="AK32" i="14"/>
  <c r="AK31" i="14"/>
  <c r="S53" i="14"/>
  <c r="S52" i="14"/>
  <c r="S51" i="14"/>
  <c r="S50" i="14"/>
  <c r="S49" i="14"/>
  <c r="S48" i="14"/>
  <c r="S47" i="14"/>
  <c r="S41" i="14"/>
  <c r="S40" i="14"/>
  <c r="S34" i="14"/>
  <c r="S33" i="14"/>
  <c r="S32" i="14"/>
  <c r="S31" i="14"/>
  <c r="V7" i="13"/>
  <c r="AI53" i="14"/>
  <c r="AI52" i="14"/>
  <c r="AJ52" i="14" s="1"/>
  <c r="T52" i="14" s="1"/>
  <c r="AI51" i="14"/>
  <c r="AJ51" i="14" s="1"/>
  <c r="T51" i="14" s="1"/>
  <c r="AI50" i="14"/>
  <c r="AJ50" i="14" s="1"/>
  <c r="T50" i="14" s="1"/>
  <c r="AI49" i="14"/>
  <c r="AJ49" i="14" s="1"/>
  <c r="T49" i="14" s="1"/>
  <c r="AI48" i="14"/>
  <c r="AJ48" i="14" s="1"/>
  <c r="T48" i="14" s="1"/>
  <c r="AI47" i="14"/>
  <c r="AJ47" i="14" s="1"/>
  <c r="T47" i="14" s="1"/>
  <c r="AI41" i="14"/>
  <c r="R41" i="14" s="1"/>
  <c r="BC41" i="14" s="1"/>
  <c r="AI40" i="14"/>
  <c r="AI34" i="14"/>
  <c r="AH53" i="14"/>
  <c r="AH52" i="14"/>
  <c r="AH51" i="14"/>
  <c r="AH50" i="14"/>
  <c r="AH49" i="14"/>
  <c r="AH48" i="14"/>
  <c r="AH47" i="14"/>
  <c r="AH41" i="14"/>
  <c r="AH40" i="14"/>
  <c r="AH34" i="14"/>
  <c r="AH33" i="14"/>
  <c r="AH32" i="14"/>
  <c r="AH31" i="14"/>
  <c r="AC53" i="14"/>
  <c r="AC52" i="14"/>
  <c r="AC51" i="14"/>
  <c r="AC50" i="14"/>
  <c r="AC49" i="14"/>
  <c r="AC48" i="14"/>
  <c r="AC47" i="14"/>
  <c r="AC41" i="14"/>
  <c r="AC40" i="14"/>
  <c r="AC34" i="14"/>
  <c r="AC33" i="14"/>
  <c r="AC32" i="14"/>
  <c r="AC31" i="14"/>
  <c r="Z53" i="14"/>
  <c r="Z52" i="14"/>
  <c r="Z51" i="14"/>
  <c r="Z50" i="14"/>
  <c r="Z49" i="14"/>
  <c r="Z48" i="14"/>
  <c r="Z47" i="14"/>
  <c r="Z41" i="14"/>
  <c r="Z40" i="14"/>
  <c r="Z34" i="14"/>
  <c r="Z33" i="14"/>
  <c r="Z32" i="14"/>
  <c r="Z31" i="14"/>
  <c r="Y53" i="14"/>
  <c r="Y52" i="14"/>
  <c r="Y51" i="14"/>
  <c r="Y50" i="14"/>
  <c r="Y49" i="14"/>
  <c r="Y48" i="14"/>
  <c r="Y47" i="14"/>
  <c r="Y41" i="14"/>
  <c r="Y40" i="14"/>
  <c r="Y34" i="14"/>
  <c r="Y33" i="14"/>
  <c r="Y32" i="14"/>
  <c r="Y31" i="14"/>
  <c r="X53" i="14"/>
  <c r="X52" i="14"/>
  <c r="X51" i="14"/>
  <c r="X50" i="14"/>
  <c r="X49" i="14"/>
  <c r="AG48" i="14"/>
  <c r="AG47" i="14"/>
  <c r="X41" i="14"/>
  <c r="X40" i="14"/>
  <c r="X34" i="14"/>
  <c r="X33" i="14"/>
  <c r="X32" i="14"/>
  <c r="K67" i="34" l="1"/>
  <c r="K65" i="35"/>
  <c r="K66" i="34"/>
  <c r="K65" i="34"/>
  <c r="K64" i="34"/>
  <c r="K62" i="34"/>
  <c r="K67" i="35"/>
  <c r="K63" i="34"/>
  <c r="M67" i="34"/>
  <c r="K63" i="19"/>
  <c r="K64" i="19"/>
  <c r="M67" i="35"/>
  <c r="K62" i="19"/>
  <c r="M65" i="34"/>
  <c r="K67" i="19"/>
  <c r="K66" i="19"/>
  <c r="M65" i="35"/>
  <c r="K65" i="19"/>
  <c r="U63" i="14"/>
  <c r="BD63" i="14"/>
  <c r="F13" i="7"/>
  <c r="Q13" i="7"/>
  <c r="F19" i="7"/>
  <c r="Q19" i="7"/>
  <c r="F21" i="7"/>
  <c r="Q21" i="7"/>
  <c r="F25" i="7"/>
  <c r="Q25" i="7"/>
  <c r="F29" i="7"/>
  <c r="Q29" i="7"/>
  <c r="F43" i="7"/>
  <c r="Q43" i="7"/>
  <c r="F45" i="7"/>
  <c r="Q45" i="7"/>
  <c r="F10" i="7"/>
  <c r="Q10" i="7"/>
  <c r="F12" i="7"/>
  <c r="Q12" i="7"/>
  <c r="F16" i="7"/>
  <c r="Q16" i="7"/>
  <c r="F18" i="7"/>
  <c r="Q18" i="7"/>
  <c r="F22" i="7"/>
  <c r="Q22" i="7"/>
  <c r="F30" i="7"/>
  <c r="Q30" i="7"/>
  <c r="F32" i="7"/>
  <c r="Q32" i="7"/>
  <c r="F58" i="7"/>
  <c r="Q58" i="7"/>
  <c r="F17" i="7"/>
  <c r="Q17" i="7"/>
  <c r="F33" i="7"/>
  <c r="Q33" i="7"/>
  <c r="F41" i="7"/>
  <c r="Q41" i="7"/>
  <c r="F49" i="7"/>
  <c r="Q49" i="7"/>
  <c r="F34" i="7"/>
  <c r="Q34" i="7"/>
  <c r="F15" i="7"/>
  <c r="Q15" i="7"/>
  <c r="F23" i="7"/>
  <c r="Q23" i="7"/>
  <c r="F31" i="7"/>
  <c r="Q31" i="7"/>
  <c r="F37" i="7"/>
  <c r="Q37" i="7"/>
  <c r="F20" i="7"/>
  <c r="Q20" i="7"/>
  <c r="P6" i="7"/>
  <c r="M65" i="19"/>
  <c r="M67" i="19"/>
  <c r="AT62" i="14"/>
  <c r="AT56" i="14"/>
  <c r="M36" i="7"/>
  <c r="M44" i="7"/>
  <c r="M35" i="7"/>
  <c r="M27" i="7"/>
  <c r="J10" i="7"/>
  <c r="E10" i="7" s="1"/>
  <c r="AB11" i="14"/>
  <c r="AB10" i="14"/>
  <c r="AB9" i="14"/>
  <c r="AE55" i="14"/>
  <c r="AF55" i="14" s="1"/>
  <c r="H55" i="14" s="1"/>
  <c r="AB8" i="14"/>
  <c r="AB7" i="14"/>
  <c r="J23" i="7"/>
  <c r="E23" i="7" s="1"/>
  <c r="M28" i="7"/>
  <c r="M11" i="7"/>
  <c r="M40" i="7"/>
  <c r="J16" i="7"/>
  <c r="E16" i="7" s="1"/>
  <c r="J19" i="7"/>
  <c r="E19" i="7" s="1"/>
  <c r="M24" i="7"/>
  <c r="M47" i="7"/>
  <c r="M39" i="7"/>
  <c r="J31" i="7"/>
  <c r="E31" i="7" s="1"/>
  <c r="J20" i="7"/>
  <c r="E20" i="7" s="1"/>
  <c r="M48" i="7"/>
  <c r="J12" i="7"/>
  <c r="E12" i="7" s="1"/>
  <c r="J43" i="7"/>
  <c r="E43" i="7" s="1"/>
  <c r="M57" i="7"/>
  <c r="J32" i="7"/>
  <c r="E32" i="7" s="1"/>
  <c r="J15" i="7"/>
  <c r="E15" i="7" s="1"/>
  <c r="AN28" i="14"/>
  <c r="AN55" i="14"/>
  <c r="AD27" i="14"/>
  <c r="AP27" i="14" s="1"/>
  <c r="AI55" i="14"/>
  <c r="R55" i="14" s="1"/>
  <c r="BC55" i="14" s="1"/>
  <c r="AD34" i="14"/>
  <c r="AP34" i="14" s="1"/>
  <c r="AN50" i="14"/>
  <c r="AD47" i="14"/>
  <c r="AP47" i="14" s="1"/>
  <c r="AD52" i="14"/>
  <c r="AP52" i="14" s="1"/>
  <c r="AL47" i="14"/>
  <c r="AL28" i="14"/>
  <c r="X55" i="14"/>
  <c r="AL29" i="14"/>
  <c r="AD28" i="14"/>
  <c r="AP28" i="14" s="1"/>
  <c r="AD40" i="14"/>
  <c r="AP40" i="14" s="1"/>
  <c r="AD53" i="14"/>
  <c r="AP53" i="14" s="1"/>
  <c r="AN40" i="14"/>
  <c r="AN49" i="14"/>
  <c r="AN53" i="14"/>
  <c r="AN32" i="14"/>
  <c r="AS32" i="14" s="1"/>
  <c r="AW32" i="14" s="1"/>
  <c r="AZ32" i="14" s="1"/>
  <c r="AL41" i="14"/>
  <c r="AD29" i="14"/>
  <c r="AP29" i="14" s="1"/>
  <c r="AD41" i="14"/>
  <c r="AP41" i="14" s="1"/>
  <c r="AN27" i="14"/>
  <c r="AP55" i="14"/>
  <c r="AD32" i="14"/>
  <c r="AP32" i="14" s="1"/>
  <c r="AN41" i="14"/>
  <c r="AI8" i="14"/>
  <c r="R8" i="14" s="1"/>
  <c r="BC8" i="14" s="1"/>
  <c r="AD48" i="14"/>
  <c r="AP48" i="14" s="1"/>
  <c r="AN29" i="14"/>
  <c r="AJ62" i="14"/>
  <c r="T62" i="14" s="1"/>
  <c r="AD49" i="14"/>
  <c r="AP49" i="14" s="1"/>
  <c r="AN47" i="14"/>
  <c r="AN51" i="14"/>
  <c r="AD50" i="14"/>
  <c r="AP50" i="14" s="1"/>
  <c r="AD51" i="14"/>
  <c r="AP51" i="14" s="1"/>
  <c r="AN34" i="14"/>
  <c r="AN48" i="14"/>
  <c r="AN52" i="14"/>
  <c r="R64" i="14"/>
  <c r="BC64" i="14" s="1"/>
  <c r="AL48" i="14"/>
  <c r="R63" i="14"/>
  <c r="BC63" i="14" s="1"/>
  <c r="AL50" i="14"/>
  <c r="AL51" i="14"/>
  <c r="AL34" i="14"/>
  <c r="AL52" i="14"/>
  <c r="AL49" i="14"/>
  <c r="AL40" i="14"/>
  <c r="AL53" i="14"/>
  <c r="J18" i="7"/>
  <c r="E18" i="7" s="1"/>
  <c r="J22" i="7"/>
  <c r="E22" i="7" s="1"/>
  <c r="J30" i="7"/>
  <c r="E30" i="7" s="1"/>
  <c r="J13" i="7"/>
  <c r="E13" i="7" s="1"/>
  <c r="J17" i="7"/>
  <c r="E17" i="7" s="1"/>
  <c r="J21" i="7"/>
  <c r="E21" i="7" s="1"/>
  <c r="J25" i="7"/>
  <c r="E25" i="7" s="1"/>
  <c r="J29" i="7"/>
  <c r="E29" i="7" s="1"/>
  <c r="J33" i="7"/>
  <c r="E33" i="7" s="1"/>
  <c r="J37" i="7"/>
  <c r="E37" i="7" s="1"/>
  <c r="J41" i="7"/>
  <c r="E41" i="7" s="1"/>
  <c r="J45" i="7"/>
  <c r="E45" i="7" s="1"/>
  <c r="J49" i="7"/>
  <c r="E49" i="7" s="1"/>
  <c r="J58" i="7"/>
  <c r="E58" i="7" s="1"/>
  <c r="J34" i="7"/>
  <c r="E34" i="7" s="1"/>
  <c r="M14" i="7"/>
  <c r="M26" i="7"/>
  <c r="M38" i="7"/>
  <c r="M42" i="7"/>
  <c r="M46" i="7"/>
  <c r="M56" i="7"/>
  <c r="AI57" i="14"/>
  <c r="R57" i="14" s="1"/>
  <c r="BC57" i="14" s="1"/>
  <c r="AI56" i="14"/>
  <c r="R56" i="14" s="1"/>
  <c r="BC56" i="14" s="1"/>
  <c r="AE56" i="14"/>
  <c r="AF56" i="14" s="1"/>
  <c r="H56" i="14" s="1"/>
  <c r="AN63" i="14"/>
  <c r="AP56" i="14"/>
  <c r="AS56" i="14" s="1"/>
  <c r="AW56" i="14" s="1"/>
  <c r="AE64" i="14"/>
  <c r="AF64" i="14" s="1"/>
  <c r="H64" i="14" s="1"/>
  <c r="AZ64" i="14" s="1"/>
  <c r="AP62" i="14"/>
  <c r="AS62" i="14" s="1"/>
  <c r="AW62" i="14" s="1"/>
  <c r="AZ62" i="14" s="1"/>
  <c r="AE63" i="14"/>
  <c r="AF63" i="14" s="1"/>
  <c r="H63" i="14" s="1"/>
  <c r="AZ63" i="14" s="1"/>
  <c r="AD33" i="14"/>
  <c r="AP33" i="14" s="1"/>
  <c r="AN33" i="14"/>
  <c r="AD31" i="14"/>
  <c r="AP31" i="14" s="1"/>
  <c r="AN31" i="14"/>
  <c r="AI10" i="14"/>
  <c r="AE8" i="14"/>
  <c r="AF8" i="14" s="1"/>
  <c r="H8" i="14" s="1"/>
  <c r="AN7" i="14"/>
  <c r="AE7" i="14"/>
  <c r="AN8" i="14"/>
  <c r="AN11" i="14"/>
  <c r="AD7" i="14"/>
  <c r="AP7" i="14" s="1"/>
  <c r="AN9" i="14"/>
  <c r="AD8" i="14"/>
  <c r="AP8" i="14" s="1"/>
  <c r="AT8" i="14" s="1"/>
  <c r="AN10" i="14"/>
  <c r="AD10" i="14"/>
  <c r="AP10" i="14" s="1"/>
  <c r="AD9" i="14"/>
  <c r="AP9" i="14" s="1"/>
  <c r="AD11" i="14"/>
  <c r="AP11" i="14" s="1"/>
  <c r="AL27" i="14"/>
  <c r="AP57" i="14"/>
  <c r="AG64" i="14"/>
  <c r="AN57" i="14"/>
  <c r="AS57" i="14" s="1"/>
  <c r="AW57" i="14" s="1"/>
  <c r="AZ57" i="14" s="1"/>
  <c r="AL62" i="14"/>
  <c r="AL64" i="14"/>
  <c r="BD64" i="14" s="1"/>
  <c r="AJ63" i="14"/>
  <c r="T63" i="14" s="1"/>
  <c r="X10" i="14"/>
  <c r="AE9" i="14"/>
  <c r="AF9" i="14" s="1"/>
  <c r="H9" i="14" s="1"/>
  <c r="AE10" i="14"/>
  <c r="AF10" i="14" s="1"/>
  <c r="H10" i="14" s="1"/>
  <c r="AI11" i="14"/>
  <c r="AI9" i="14"/>
  <c r="AI7" i="14"/>
  <c r="AG28" i="14"/>
  <c r="X29" i="14"/>
  <c r="AE29" i="14"/>
  <c r="AF29" i="14" s="1"/>
  <c r="H29" i="14" s="1"/>
  <c r="AZ29" i="14" s="1"/>
  <c r="AG27" i="14"/>
  <c r="AE27" i="14"/>
  <c r="AF27" i="14" s="1"/>
  <c r="H27" i="14" s="1"/>
  <c r="AZ27" i="14" s="1"/>
  <c r="AE28" i="14"/>
  <c r="AF28" i="14" s="1"/>
  <c r="H28" i="14" s="1"/>
  <c r="AZ28" i="14" s="1"/>
  <c r="AE11" i="14"/>
  <c r="AF11" i="14" s="1"/>
  <c r="H11" i="14" s="1"/>
  <c r="X48" i="14"/>
  <c r="AJ40" i="14"/>
  <c r="T40" i="14" s="1"/>
  <c r="AJ34" i="14"/>
  <c r="T34" i="14" s="1"/>
  <c r="AG50" i="14"/>
  <c r="AJ53" i="14"/>
  <c r="T53" i="14" s="1"/>
  <c r="AJ41" i="14"/>
  <c r="T41" i="14" s="1"/>
  <c r="R48" i="14"/>
  <c r="BC48" i="14" s="1"/>
  <c r="R47" i="14"/>
  <c r="BC47" i="14" s="1"/>
  <c r="R49" i="14"/>
  <c r="BC49" i="14" s="1"/>
  <c r="AI31" i="14"/>
  <c r="R50" i="14"/>
  <c r="BC50" i="14" s="1"/>
  <c r="AI33" i="14"/>
  <c r="R51" i="14"/>
  <c r="BC51" i="14" s="1"/>
  <c r="AI32" i="14"/>
  <c r="R34" i="14"/>
  <c r="BC34" i="14" s="1"/>
  <c r="R52" i="14"/>
  <c r="BC52" i="14" s="1"/>
  <c r="R40" i="14"/>
  <c r="BC40" i="14" s="1"/>
  <c r="R53" i="14"/>
  <c r="BC53" i="14" s="1"/>
  <c r="AG51" i="14"/>
  <c r="X47" i="14"/>
  <c r="AG49" i="14"/>
  <c r="AG34" i="14"/>
  <c r="AG52" i="14"/>
  <c r="AG40" i="14"/>
  <c r="AG53" i="14"/>
  <c r="AG41" i="14"/>
  <c r="K92" i="8"/>
  <c r="K95" i="8"/>
  <c r="K94" i="8"/>
  <c r="K93" i="8"/>
  <c r="K90" i="8"/>
  <c r="K89" i="8"/>
  <c r="K87" i="8"/>
  <c r="G84" i="8"/>
  <c r="K84" i="8" s="1"/>
  <c r="G83" i="8"/>
  <c r="K83" i="8" s="1"/>
  <c r="G82" i="8"/>
  <c r="K82" i="8" s="1"/>
  <c r="G81" i="8"/>
  <c r="K81" i="8" s="1"/>
  <c r="G80" i="8"/>
  <c r="K80" i="8" s="1"/>
  <c r="G79" i="8"/>
  <c r="K79" i="8" s="1"/>
  <c r="G78" i="8"/>
  <c r="K78" i="8" s="1"/>
  <c r="G77" i="8"/>
  <c r="K77" i="8" s="1"/>
  <c r="G76" i="8"/>
  <c r="K76" i="8" s="1"/>
  <c r="G75" i="8"/>
  <c r="K75" i="8" s="1"/>
  <c r="G74" i="8"/>
  <c r="K74" i="8" s="1"/>
  <c r="G73" i="8"/>
  <c r="K73" i="8" s="1"/>
  <c r="G72" i="8"/>
  <c r="K72" i="8" s="1"/>
  <c r="G71" i="8"/>
  <c r="K71" i="8" s="1"/>
  <c r="G70" i="8"/>
  <c r="K70" i="8" s="1"/>
  <c r="G69" i="8"/>
  <c r="K69" i="8" s="1"/>
  <c r="G68" i="8"/>
  <c r="K68" i="8" s="1"/>
  <c r="G66" i="8"/>
  <c r="K66" i="8" s="1"/>
  <c r="G65" i="8"/>
  <c r="K65" i="8" s="1"/>
  <c r="G64" i="8"/>
  <c r="K64" i="8" s="1"/>
  <c r="G63" i="8"/>
  <c r="K63" i="8" s="1"/>
  <c r="G62" i="8"/>
  <c r="K62" i="8" s="1"/>
  <c r="G61" i="8"/>
  <c r="K61" i="8" s="1"/>
  <c r="G60" i="8"/>
  <c r="K60" i="8" s="1"/>
  <c r="G59" i="8"/>
  <c r="K59" i="8" s="1"/>
  <c r="G58" i="8"/>
  <c r="K58" i="8" s="1"/>
  <c r="G57" i="8"/>
  <c r="K57" i="8" s="1"/>
  <c r="G56" i="8"/>
  <c r="K56" i="8" s="1"/>
  <c r="G55" i="8"/>
  <c r="K55" i="8" s="1"/>
  <c r="H84" i="8"/>
  <c r="H83" i="8"/>
  <c r="H82" i="8"/>
  <c r="I69" i="8"/>
  <c r="G24" i="8"/>
  <c r="K24" i="8" s="1"/>
  <c r="G49" i="8"/>
  <c r="K49" i="8" s="1"/>
  <c r="G48" i="8"/>
  <c r="K48" i="8" s="1"/>
  <c r="G47" i="8"/>
  <c r="K47" i="8" s="1"/>
  <c r="G46" i="8"/>
  <c r="K46" i="8" s="1"/>
  <c r="G45" i="8"/>
  <c r="K45" i="8" s="1"/>
  <c r="G44" i="8"/>
  <c r="K44" i="8" s="1"/>
  <c r="G43" i="8"/>
  <c r="K43" i="8" s="1"/>
  <c r="G42" i="8"/>
  <c r="K42" i="8" s="1"/>
  <c r="G41" i="8"/>
  <c r="K41" i="8" s="1"/>
  <c r="G40" i="8"/>
  <c r="K40" i="8" s="1"/>
  <c r="G39" i="8"/>
  <c r="K39" i="8" s="1"/>
  <c r="G38" i="8"/>
  <c r="K38" i="8" s="1"/>
  <c r="G37" i="8"/>
  <c r="K37" i="8" s="1"/>
  <c r="G36" i="8"/>
  <c r="K36" i="8" s="1"/>
  <c r="G35" i="8"/>
  <c r="K35" i="8" s="1"/>
  <c r="G34" i="8"/>
  <c r="K34" i="8" s="1"/>
  <c r="G33" i="8"/>
  <c r="K33" i="8" s="1"/>
  <c r="G32" i="8"/>
  <c r="K32" i="8" s="1"/>
  <c r="G31" i="8"/>
  <c r="K31" i="8" s="1"/>
  <c r="G29" i="8"/>
  <c r="K29" i="8" s="1"/>
  <c r="G28" i="8"/>
  <c r="K28" i="8" s="1"/>
  <c r="G27" i="8"/>
  <c r="K27" i="8" s="1"/>
  <c r="G26" i="8"/>
  <c r="K26" i="8" s="1"/>
  <c r="G25" i="8"/>
  <c r="K25" i="8" s="1"/>
  <c r="G14" i="8"/>
  <c r="K14" i="8" s="1"/>
  <c r="G13" i="8"/>
  <c r="K13" i="8" s="1"/>
  <c r="G12" i="8"/>
  <c r="K12" i="8" s="1"/>
  <c r="G11" i="8"/>
  <c r="K11" i="8" s="1"/>
  <c r="G10" i="8"/>
  <c r="K10" i="8" s="1"/>
  <c r="G9" i="8"/>
  <c r="K9" i="8" s="1"/>
  <c r="G7" i="8"/>
  <c r="K7" i="8" s="1"/>
  <c r="G6" i="8"/>
  <c r="K6" i="8" s="1"/>
  <c r="F74" i="35"/>
  <c r="O23" i="8"/>
  <c r="G23" i="8" s="1"/>
  <c r="K23" i="8" s="1"/>
  <c r="O22" i="8"/>
  <c r="G22" i="8" s="1"/>
  <c r="K22" i="8" s="1"/>
  <c r="O21" i="8"/>
  <c r="G21" i="8" s="1"/>
  <c r="K21" i="8" s="1"/>
  <c r="O20" i="8"/>
  <c r="G20" i="8" s="1"/>
  <c r="K20" i="8" s="1"/>
  <c r="O19" i="8"/>
  <c r="G19" i="8" s="1"/>
  <c r="K19" i="8" s="1"/>
  <c r="O18" i="8"/>
  <c r="G18" i="8" s="1"/>
  <c r="K18" i="8" s="1"/>
  <c r="O17" i="8"/>
  <c r="G17" i="8" s="1"/>
  <c r="K17" i="8" s="1"/>
  <c r="O16" i="8"/>
  <c r="G16" i="8" s="1"/>
  <c r="K16" i="8" s="1"/>
  <c r="O15" i="8"/>
  <c r="G15" i="8" s="1"/>
  <c r="K15" i="8" s="1"/>
  <c r="H23" i="8"/>
  <c r="H22" i="8"/>
  <c r="J89" i="8"/>
  <c r="J93" i="8"/>
  <c r="J92" i="8"/>
  <c r="J90" i="8"/>
  <c r="E93" i="8"/>
  <c r="H93" i="8" s="1"/>
  <c r="E92" i="8"/>
  <c r="H92" i="8" s="1"/>
  <c r="E90" i="8"/>
  <c r="H90" i="8" s="1"/>
  <c r="E89" i="8"/>
  <c r="H89" i="8" s="1"/>
  <c r="J84" i="8"/>
  <c r="J83" i="8"/>
  <c r="J82" i="8"/>
  <c r="O84" i="8"/>
  <c r="O83" i="8"/>
  <c r="O82" i="8"/>
  <c r="O81" i="8"/>
  <c r="O80" i="8"/>
  <c r="O79" i="8"/>
  <c r="O78" i="8"/>
  <c r="O77" i="8"/>
  <c r="O76" i="8"/>
  <c r="O75" i="8"/>
  <c r="O74" i="8"/>
  <c r="O73" i="8"/>
  <c r="O72" i="8"/>
  <c r="O71" i="8"/>
  <c r="O70" i="8"/>
  <c r="O69" i="8"/>
  <c r="O68" i="8"/>
  <c r="O67" i="8"/>
  <c r="G67" i="8" s="1"/>
  <c r="K67" i="8" s="1"/>
  <c r="O66" i="8"/>
  <c r="O65" i="8"/>
  <c r="O64" i="8"/>
  <c r="O63" i="8"/>
  <c r="O62" i="8"/>
  <c r="O61" i="8"/>
  <c r="O60" i="8"/>
  <c r="O59" i="8"/>
  <c r="O58" i="8"/>
  <c r="O57" i="8"/>
  <c r="O56" i="8"/>
  <c r="O55" i="8"/>
  <c r="O49" i="8"/>
  <c r="O48" i="8"/>
  <c r="O47" i="8"/>
  <c r="O46" i="8"/>
  <c r="O45" i="8"/>
  <c r="O44" i="8"/>
  <c r="O43" i="8"/>
  <c r="O42" i="8"/>
  <c r="O41" i="8"/>
  <c r="O40" i="8"/>
  <c r="O39" i="8"/>
  <c r="O38" i="8"/>
  <c r="O37" i="8"/>
  <c r="O36" i="8"/>
  <c r="O35" i="8"/>
  <c r="O34" i="8"/>
  <c r="O33" i="8"/>
  <c r="O32" i="8"/>
  <c r="O31" i="8"/>
  <c r="O30" i="8"/>
  <c r="G30" i="8" s="1"/>
  <c r="K30" i="8" s="1"/>
  <c r="O29" i="8"/>
  <c r="O28" i="8"/>
  <c r="O27" i="8"/>
  <c r="O26" i="8"/>
  <c r="O25" i="8"/>
  <c r="O24" i="8"/>
  <c r="O14" i="8"/>
  <c r="O13" i="8"/>
  <c r="O12" i="8"/>
  <c r="O11" i="8"/>
  <c r="O10" i="8"/>
  <c r="O9" i="8"/>
  <c r="O8" i="8"/>
  <c r="G8" i="8" s="1"/>
  <c r="K8" i="8" s="1"/>
  <c r="O7" i="8"/>
  <c r="O6" i="8"/>
  <c r="N8" i="11"/>
  <c r="J22" i="8"/>
  <c r="M84" i="8"/>
  <c r="N84" i="8" s="1"/>
  <c r="M83" i="8"/>
  <c r="N83" i="8" s="1"/>
  <c r="M82" i="8"/>
  <c r="N82" i="8" s="1"/>
  <c r="M81" i="8"/>
  <c r="N81" i="8" s="1"/>
  <c r="M80" i="8"/>
  <c r="N80" i="8" s="1"/>
  <c r="M79" i="8"/>
  <c r="N79" i="8" s="1"/>
  <c r="M78" i="8"/>
  <c r="N78" i="8" s="1"/>
  <c r="M77" i="8"/>
  <c r="N77" i="8" s="1"/>
  <c r="M76" i="8"/>
  <c r="N76" i="8" s="1"/>
  <c r="M75" i="8"/>
  <c r="N75" i="8" s="1"/>
  <c r="M74" i="8"/>
  <c r="N74" i="8" s="1"/>
  <c r="M73" i="8"/>
  <c r="N73" i="8" s="1"/>
  <c r="M72" i="8"/>
  <c r="N72" i="8" s="1"/>
  <c r="M71" i="8"/>
  <c r="N71" i="8" s="1"/>
  <c r="M70" i="8"/>
  <c r="N70" i="8" s="1"/>
  <c r="M69" i="8"/>
  <c r="N69" i="8" s="1"/>
  <c r="M68" i="8"/>
  <c r="N68" i="8" s="1"/>
  <c r="M67" i="8"/>
  <c r="N67" i="8" s="1"/>
  <c r="M66" i="8"/>
  <c r="N66" i="8" s="1"/>
  <c r="M65" i="8"/>
  <c r="N65" i="8" s="1"/>
  <c r="M64" i="8"/>
  <c r="N64" i="8" s="1"/>
  <c r="M63" i="8"/>
  <c r="N63" i="8" s="1"/>
  <c r="M62" i="8"/>
  <c r="N62" i="8" s="1"/>
  <c r="M61" i="8"/>
  <c r="N61" i="8" s="1"/>
  <c r="M60" i="8"/>
  <c r="N60" i="8" s="1"/>
  <c r="M59" i="8"/>
  <c r="N59" i="8" s="1"/>
  <c r="M58" i="8"/>
  <c r="N58" i="8" s="1"/>
  <c r="M57" i="8"/>
  <c r="N57" i="8" s="1"/>
  <c r="M56" i="8"/>
  <c r="N56" i="8" s="1"/>
  <c r="M55" i="8"/>
  <c r="N55" i="8" s="1"/>
  <c r="M49" i="8"/>
  <c r="N49" i="8" s="1"/>
  <c r="N30" i="8"/>
  <c r="N25" i="8"/>
  <c r="M48" i="8"/>
  <c r="N48" i="8" s="1"/>
  <c r="M47" i="8"/>
  <c r="N47" i="8" s="1"/>
  <c r="M46" i="8"/>
  <c r="N46" i="8" s="1"/>
  <c r="M45" i="8"/>
  <c r="N45" i="8" s="1"/>
  <c r="M44" i="8"/>
  <c r="N44" i="8" s="1"/>
  <c r="M43" i="8"/>
  <c r="N43" i="8" s="1"/>
  <c r="M42" i="8"/>
  <c r="N42" i="8" s="1"/>
  <c r="M41" i="8"/>
  <c r="N41" i="8" s="1"/>
  <c r="M40" i="8"/>
  <c r="N40" i="8" s="1"/>
  <c r="M39" i="8"/>
  <c r="N39" i="8" s="1"/>
  <c r="M38" i="8"/>
  <c r="N38" i="8" s="1"/>
  <c r="M37" i="8"/>
  <c r="N37" i="8" s="1"/>
  <c r="M36" i="8"/>
  <c r="N36" i="8" s="1"/>
  <c r="M35" i="8"/>
  <c r="N35" i="8" s="1"/>
  <c r="M34" i="8"/>
  <c r="N34" i="8" s="1"/>
  <c r="M33" i="8"/>
  <c r="N33" i="8" s="1"/>
  <c r="M32" i="8"/>
  <c r="N32" i="8" s="1"/>
  <c r="M31" i="8"/>
  <c r="N31" i="8" s="1"/>
  <c r="M30" i="8"/>
  <c r="M29" i="8"/>
  <c r="N29" i="8" s="1"/>
  <c r="M28" i="8"/>
  <c r="N28" i="8" s="1"/>
  <c r="M27" i="8"/>
  <c r="N27" i="8" s="1"/>
  <c r="M26" i="8"/>
  <c r="N26" i="8" s="1"/>
  <c r="M25" i="8"/>
  <c r="M24" i="8"/>
  <c r="N24" i="8" s="1"/>
  <c r="M14" i="8"/>
  <c r="N14" i="8" s="1"/>
  <c r="M13" i="8"/>
  <c r="N13" i="8" s="1"/>
  <c r="M12" i="8"/>
  <c r="N12" i="8" s="1"/>
  <c r="M11" i="8"/>
  <c r="N11" i="8" s="1"/>
  <c r="M10" i="8"/>
  <c r="N10" i="8" s="1"/>
  <c r="M9" i="8"/>
  <c r="N9" i="8" s="1"/>
  <c r="M8" i="8"/>
  <c r="N8" i="8" s="1"/>
  <c r="M7" i="8"/>
  <c r="N7" i="8" s="1"/>
  <c r="M6" i="8"/>
  <c r="N6" i="8" s="1"/>
  <c r="P26" i="11"/>
  <c r="H92" i="35" s="1"/>
  <c r="I92" i="35" s="1"/>
  <c r="P25" i="11"/>
  <c r="H91" i="35" s="1"/>
  <c r="I91" i="35" s="1"/>
  <c r="P24" i="11"/>
  <c r="H90" i="35" s="1"/>
  <c r="I90" i="35" s="1"/>
  <c r="P22" i="11"/>
  <c r="H88" i="35" s="1"/>
  <c r="I88" i="35" s="1"/>
  <c r="P21" i="11"/>
  <c r="H87" i="35" s="1"/>
  <c r="I87" i="35" s="1"/>
  <c r="P18" i="11"/>
  <c r="H84" i="35" s="1"/>
  <c r="I84" i="35" s="1"/>
  <c r="Q16" i="11"/>
  <c r="Q14" i="11"/>
  <c r="P13" i="11"/>
  <c r="H79" i="35" s="1"/>
  <c r="I79" i="35" s="1"/>
  <c r="P12" i="11"/>
  <c r="H78" i="35" s="1"/>
  <c r="I78" i="35" s="1"/>
  <c r="Q11" i="11"/>
  <c r="P9" i="11"/>
  <c r="H75" i="35" s="1"/>
  <c r="I75" i="35" s="1"/>
  <c r="AT31" i="14" l="1"/>
  <c r="K68" i="34"/>
  <c r="AS7" i="14"/>
  <c r="AW7" i="14" s="1"/>
  <c r="K85" i="8"/>
  <c r="G18" i="15" s="1"/>
  <c r="U41" i="14"/>
  <c r="BD41" i="14"/>
  <c r="U51" i="14"/>
  <c r="BD51" i="14"/>
  <c r="AZ56" i="14"/>
  <c r="U50" i="14"/>
  <c r="BD50" i="14"/>
  <c r="U28" i="14"/>
  <c r="BD28" i="14"/>
  <c r="U52" i="14"/>
  <c r="BD52" i="14"/>
  <c r="U62" i="14"/>
  <c r="BD62" i="14"/>
  <c r="U47" i="14"/>
  <c r="BD47" i="14"/>
  <c r="U34" i="14"/>
  <c r="BD34" i="14"/>
  <c r="U29" i="14"/>
  <c r="BD29" i="14"/>
  <c r="U53" i="14"/>
  <c r="BD53" i="14"/>
  <c r="U27" i="14"/>
  <c r="BD27" i="14"/>
  <c r="U40" i="14"/>
  <c r="BD40" i="14"/>
  <c r="U48" i="14"/>
  <c r="BD48" i="14"/>
  <c r="U49" i="14"/>
  <c r="BD49" i="14"/>
  <c r="F42" i="7"/>
  <c r="Q42" i="7"/>
  <c r="F48" i="7"/>
  <c r="Q48" i="7"/>
  <c r="F38" i="7"/>
  <c r="Q38" i="7"/>
  <c r="F11" i="7"/>
  <c r="Q11" i="7"/>
  <c r="F26" i="7"/>
  <c r="Q26" i="7"/>
  <c r="F28" i="7"/>
  <c r="Q28" i="7"/>
  <c r="F14" i="7"/>
  <c r="Q14" i="7"/>
  <c r="F39" i="7"/>
  <c r="Q39" i="7"/>
  <c r="F27" i="7"/>
  <c r="Q27" i="7"/>
  <c r="F47" i="7"/>
  <c r="Q47" i="7"/>
  <c r="F35" i="7"/>
  <c r="Q35" i="7"/>
  <c r="F57" i="7"/>
  <c r="Q57" i="7"/>
  <c r="F24" i="7"/>
  <c r="Q24" i="7"/>
  <c r="F44" i="7"/>
  <c r="Q44" i="7"/>
  <c r="F56" i="7"/>
  <c r="Q56" i="7"/>
  <c r="F36" i="7"/>
  <c r="Q36" i="7"/>
  <c r="F46" i="7"/>
  <c r="Q46" i="7"/>
  <c r="F40" i="7"/>
  <c r="Q40" i="7"/>
  <c r="U64" i="14"/>
  <c r="AT33" i="14"/>
  <c r="AT57" i="14"/>
  <c r="AT10" i="14"/>
  <c r="AS55" i="14"/>
  <c r="AW55" i="14" s="1"/>
  <c r="AZ55" i="14" s="1"/>
  <c r="AS9" i="14"/>
  <c r="AW9" i="14" s="1"/>
  <c r="AZ9" i="14" s="1"/>
  <c r="AT7" i="14"/>
  <c r="AT11" i="14"/>
  <c r="AS10" i="14"/>
  <c r="AW10" i="14" s="1"/>
  <c r="AZ10" i="14" s="1"/>
  <c r="AT55" i="14"/>
  <c r="AS11" i="14"/>
  <c r="AW11" i="14" s="1"/>
  <c r="AZ11" i="14" s="1"/>
  <c r="AT9" i="14"/>
  <c r="AT32" i="14"/>
  <c r="AS33" i="14"/>
  <c r="AW33" i="14" s="1"/>
  <c r="AZ33" i="14" s="1"/>
  <c r="AS8" i="14"/>
  <c r="AS31" i="14"/>
  <c r="AW31" i="14" s="1"/>
  <c r="AZ31" i="14" s="1"/>
  <c r="I92" i="19"/>
  <c r="I84" i="19"/>
  <c r="I91" i="19"/>
  <c r="I90" i="19"/>
  <c r="I88" i="19"/>
  <c r="I87" i="19"/>
  <c r="I79" i="19"/>
  <c r="I78" i="19"/>
  <c r="I75" i="19"/>
  <c r="AF7" i="14"/>
  <c r="H7" i="14" s="1"/>
  <c r="AL55" i="14"/>
  <c r="AJ55" i="14"/>
  <c r="T55" i="14" s="1"/>
  <c r="AJ57" i="14"/>
  <c r="T57" i="14" s="1"/>
  <c r="R10" i="14"/>
  <c r="BC10" i="14" s="1"/>
  <c r="AL31" i="14"/>
  <c r="R7" i="14"/>
  <c r="BC7" i="14" s="1"/>
  <c r="R9" i="14"/>
  <c r="BC9" i="14" s="1"/>
  <c r="AJ56" i="14"/>
  <c r="T56" i="14" s="1"/>
  <c r="AJ11" i="14"/>
  <c r="T11" i="14" s="1"/>
  <c r="AJ8" i="14"/>
  <c r="T8" i="14" s="1"/>
  <c r="R11" i="14"/>
  <c r="BC11" i="14" s="1"/>
  <c r="AJ10" i="14"/>
  <c r="T10" i="14" s="1"/>
  <c r="AJ9" i="14"/>
  <c r="T9" i="14" s="1"/>
  <c r="AJ27" i="14"/>
  <c r="T27" i="14" s="1"/>
  <c r="AJ29" i="14"/>
  <c r="T29" i="14" s="1"/>
  <c r="AJ28" i="14"/>
  <c r="T28" i="14" s="1"/>
  <c r="R31" i="14"/>
  <c r="BC31" i="14" s="1"/>
  <c r="AJ31" i="14"/>
  <c r="T31" i="14" s="1"/>
  <c r="R33" i="14"/>
  <c r="BC33" i="14" s="1"/>
  <c r="AJ33" i="14"/>
  <c r="T33" i="14" s="1"/>
  <c r="R32" i="14"/>
  <c r="BC32" i="14" s="1"/>
  <c r="AJ32" i="14"/>
  <c r="T32" i="14" s="1"/>
  <c r="P8" i="11"/>
  <c r="H74" i="35" s="1"/>
  <c r="P28" i="11"/>
  <c r="H94" i="35" s="1"/>
  <c r="I94" i="35" s="1"/>
  <c r="P20" i="11"/>
  <c r="H86" i="35" s="1"/>
  <c r="I86" i="35" s="1"/>
  <c r="Q12" i="11"/>
  <c r="Q18" i="11"/>
  <c r="P31" i="11"/>
  <c r="H97" i="35" s="1"/>
  <c r="I97" i="35" s="1"/>
  <c r="P30" i="11"/>
  <c r="H96" i="35" s="1"/>
  <c r="I96" i="35" s="1"/>
  <c r="P29" i="11"/>
  <c r="H95" i="35" s="1"/>
  <c r="I95" i="35" s="1"/>
  <c r="P27" i="11"/>
  <c r="H93" i="35" s="1"/>
  <c r="I93" i="35" s="1"/>
  <c r="P23" i="11"/>
  <c r="H89" i="35" s="1"/>
  <c r="I89" i="35" s="1"/>
  <c r="P19" i="11"/>
  <c r="H85" i="35" s="1"/>
  <c r="I85" i="35" s="1"/>
  <c r="P17" i="11"/>
  <c r="H83" i="35" s="1"/>
  <c r="I83" i="35" s="1"/>
  <c r="Q17" i="11"/>
  <c r="P16" i="11"/>
  <c r="H82" i="35" s="1"/>
  <c r="I82" i="35" s="1"/>
  <c r="Q15" i="11"/>
  <c r="P15" i="11"/>
  <c r="H81" i="35" s="1"/>
  <c r="I81" i="35" s="1"/>
  <c r="P14" i="11"/>
  <c r="H80" i="35" s="1"/>
  <c r="I80" i="35" s="1"/>
  <c r="Q13" i="11"/>
  <c r="P11" i="11"/>
  <c r="H77" i="35" s="1"/>
  <c r="I77" i="35" s="1"/>
  <c r="P10" i="11"/>
  <c r="H76" i="35" s="1"/>
  <c r="I76" i="35" s="1"/>
  <c r="Q10" i="11"/>
  <c r="Q9" i="11"/>
  <c r="Q8" i="11"/>
  <c r="F40" i="29" l="1"/>
  <c r="H41" i="35"/>
  <c r="I41" i="35" s="1"/>
  <c r="F49" i="58"/>
  <c r="H51" i="19"/>
  <c r="K97" i="8"/>
  <c r="G17" i="15" s="1"/>
  <c r="I74" i="35"/>
  <c r="I98" i="35" s="1"/>
  <c r="H98" i="35"/>
  <c r="F44" i="29"/>
  <c r="I45" i="58"/>
  <c r="F41" i="59"/>
  <c r="F39" i="58"/>
  <c r="I49" i="59"/>
  <c r="I41" i="59"/>
  <c r="I45" i="59"/>
  <c r="I48" i="59"/>
  <c r="F47" i="29"/>
  <c r="I37" i="58"/>
  <c r="F47" i="58"/>
  <c r="I40" i="29"/>
  <c r="I38" i="59"/>
  <c r="F40" i="58"/>
  <c r="I38" i="29"/>
  <c r="I49" i="29"/>
  <c r="F38" i="59"/>
  <c r="F38" i="29"/>
  <c r="I49" i="58"/>
  <c r="F44" i="59"/>
  <c r="F47" i="59"/>
  <c r="I48" i="29"/>
  <c r="I41" i="58"/>
  <c r="I47" i="58"/>
  <c r="F45" i="59"/>
  <c r="F45" i="58"/>
  <c r="I38" i="58"/>
  <c r="F48" i="29"/>
  <c r="I39" i="58"/>
  <c r="F49" i="29"/>
  <c r="I41" i="29"/>
  <c r="I46" i="59"/>
  <c r="F46" i="29"/>
  <c r="I48" i="58"/>
  <c r="F41" i="58"/>
  <c r="F37" i="59"/>
  <c r="I47" i="59"/>
  <c r="I37" i="59"/>
  <c r="F39" i="29"/>
  <c r="F44" i="58"/>
  <c r="F45" i="29"/>
  <c r="F48" i="58"/>
  <c r="F46" i="58"/>
  <c r="F39" i="59"/>
  <c r="I45" i="29"/>
  <c r="F40" i="59"/>
  <c r="I47" i="29"/>
  <c r="F38" i="58"/>
  <c r="I46" i="58"/>
  <c r="F46" i="59"/>
  <c r="F48" i="59"/>
  <c r="I39" i="59"/>
  <c r="I44" i="58"/>
  <c r="F37" i="58"/>
  <c r="F49" i="59"/>
  <c r="I40" i="59"/>
  <c r="I44" i="59"/>
  <c r="I40" i="58"/>
  <c r="F37" i="29"/>
  <c r="H44" i="19"/>
  <c r="AW8" i="14"/>
  <c r="AZ8" i="14" s="1"/>
  <c r="F51" i="34"/>
  <c r="F50" i="34"/>
  <c r="F52" i="34"/>
  <c r="F49" i="34"/>
  <c r="F48" i="34"/>
  <c r="F53" i="34"/>
  <c r="F52" i="19"/>
  <c r="K51" i="35"/>
  <c r="K45" i="19"/>
  <c r="K52" i="34"/>
  <c r="F49" i="19"/>
  <c r="K45" i="34"/>
  <c r="K51" i="34"/>
  <c r="F51" i="19"/>
  <c r="M41" i="35"/>
  <c r="F48" i="35"/>
  <c r="K48" i="19"/>
  <c r="M51" i="35"/>
  <c r="K44" i="19"/>
  <c r="F42" i="35"/>
  <c r="H48" i="34"/>
  <c r="I48" i="34" s="1"/>
  <c r="F49" i="35"/>
  <c r="M43" i="34"/>
  <c r="H43" i="19"/>
  <c r="I43" i="19" s="1"/>
  <c r="F52" i="35"/>
  <c r="H50" i="35"/>
  <c r="I50" i="35" s="1"/>
  <c r="M52" i="34"/>
  <c r="K51" i="19"/>
  <c r="F50" i="35"/>
  <c r="H43" i="35"/>
  <c r="I43" i="35" s="1"/>
  <c r="K53" i="34"/>
  <c r="M48" i="35"/>
  <c r="M50" i="34"/>
  <c r="F48" i="19"/>
  <c r="H51" i="35"/>
  <c r="J51" i="35" s="1"/>
  <c r="H42" i="19"/>
  <c r="H48" i="19"/>
  <c r="I48" i="19" s="1"/>
  <c r="K42" i="19"/>
  <c r="K49" i="34"/>
  <c r="F43" i="34"/>
  <c r="K45" i="35"/>
  <c r="F53" i="19"/>
  <c r="F41" i="19"/>
  <c r="K42" i="34"/>
  <c r="H44" i="34"/>
  <c r="J44" i="34" s="1"/>
  <c r="K48" i="34"/>
  <c r="H41" i="34"/>
  <c r="I41" i="34" s="1"/>
  <c r="M41" i="34"/>
  <c r="F42" i="19"/>
  <c r="H52" i="34"/>
  <c r="J52" i="34" s="1"/>
  <c r="H45" i="34"/>
  <c r="J45" i="34" s="1"/>
  <c r="K41" i="34"/>
  <c r="H49" i="34"/>
  <c r="J49" i="34" s="1"/>
  <c r="F44" i="34"/>
  <c r="F44" i="19"/>
  <c r="M53" i="35"/>
  <c r="M44" i="34"/>
  <c r="H45" i="19"/>
  <c r="J45" i="19" s="1"/>
  <c r="F51" i="35"/>
  <c r="F50" i="19"/>
  <c r="M53" i="34"/>
  <c r="K52" i="35"/>
  <c r="H50" i="34"/>
  <c r="I50" i="34" s="1"/>
  <c r="M50" i="19"/>
  <c r="M48" i="34"/>
  <c r="M43" i="35"/>
  <c r="M45" i="35"/>
  <c r="M42" i="34"/>
  <c r="K44" i="34"/>
  <c r="H52" i="35"/>
  <c r="J52" i="35" s="1"/>
  <c r="F43" i="19"/>
  <c r="K49" i="19"/>
  <c r="H44" i="35"/>
  <c r="J44" i="35" s="1"/>
  <c r="M49" i="34"/>
  <c r="M50" i="35"/>
  <c r="H50" i="19"/>
  <c r="I50" i="19" s="1"/>
  <c r="K50" i="34"/>
  <c r="K42" i="35"/>
  <c r="H45" i="35"/>
  <c r="J45" i="35" s="1"/>
  <c r="H43" i="34"/>
  <c r="I43" i="34" s="1"/>
  <c r="H42" i="34"/>
  <c r="J42" i="34" s="1"/>
  <c r="F45" i="19"/>
  <c r="M51" i="34"/>
  <c r="K41" i="19"/>
  <c r="H49" i="19"/>
  <c r="K53" i="19"/>
  <c r="F53" i="35"/>
  <c r="K49" i="35"/>
  <c r="F45" i="34"/>
  <c r="M52" i="35"/>
  <c r="M42" i="35"/>
  <c r="K52" i="19"/>
  <c r="H42" i="35"/>
  <c r="J42" i="35" s="1"/>
  <c r="F43" i="35"/>
  <c r="K43" i="34"/>
  <c r="K53" i="35"/>
  <c r="F41" i="35"/>
  <c r="M53" i="19"/>
  <c r="H41" i="19"/>
  <c r="I41" i="19" s="1"/>
  <c r="K43" i="19"/>
  <c r="M49" i="35"/>
  <c r="K50" i="19"/>
  <c r="H52" i="19"/>
  <c r="J52" i="19" s="1"/>
  <c r="M44" i="35"/>
  <c r="M45" i="34"/>
  <c r="F45" i="35"/>
  <c r="F41" i="34"/>
  <c r="F42" i="34"/>
  <c r="H49" i="35"/>
  <c r="I49" i="35" s="1"/>
  <c r="K44" i="35"/>
  <c r="F44" i="35"/>
  <c r="H51" i="34"/>
  <c r="J51" i="34" s="1"/>
  <c r="M44" i="19"/>
  <c r="M48" i="19"/>
  <c r="U31" i="14"/>
  <c r="BD31" i="14"/>
  <c r="M43" i="19"/>
  <c r="M51" i="19"/>
  <c r="AZ7" i="14"/>
  <c r="M42" i="19"/>
  <c r="U55" i="14"/>
  <c r="BD55" i="14"/>
  <c r="M45" i="19"/>
  <c r="M41" i="19"/>
  <c r="M49" i="19"/>
  <c r="M52" i="19"/>
  <c r="AJ7" i="14"/>
  <c r="I97" i="19"/>
  <c r="I96" i="19"/>
  <c r="I93" i="19"/>
  <c r="I83" i="19"/>
  <c r="I95" i="19"/>
  <c r="I94" i="19"/>
  <c r="I89" i="19"/>
  <c r="I86" i="19"/>
  <c r="I85" i="19"/>
  <c r="I82" i="19"/>
  <c r="I81" i="19"/>
  <c r="I80" i="19"/>
  <c r="I77" i="19"/>
  <c r="I76" i="19"/>
  <c r="I74" i="19"/>
  <c r="F41" i="29"/>
  <c r="I44" i="34" l="1"/>
  <c r="I49" i="34"/>
  <c r="I42" i="35"/>
  <c r="I52" i="35"/>
  <c r="I42" i="34"/>
  <c r="I44" i="35"/>
  <c r="J49" i="35"/>
  <c r="I45" i="35"/>
  <c r="I45" i="34"/>
  <c r="I51" i="35"/>
  <c r="I52" i="34"/>
  <c r="I51" i="34"/>
  <c r="T7" i="14"/>
  <c r="H48" i="35"/>
  <c r="I48" i="35" s="1"/>
  <c r="I45" i="19"/>
  <c r="I52" i="19"/>
  <c r="H98" i="19"/>
  <c r="I98" i="19"/>
  <c r="I42" i="19"/>
  <c r="J42" i="19"/>
  <c r="J49" i="19"/>
  <c r="I49" i="19"/>
  <c r="J44" i="19"/>
  <c r="I44" i="19"/>
  <c r="J51" i="19"/>
  <c r="I51" i="19"/>
  <c r="N31" i="11"/>
  <c r="N30" i="11"/>
  <c r="N29" i="11"/>
  <c r="N28" i="11"/>
  <c r="N27" i="11"/>
  <c r="N26" i="11"/>
  <c r="N25" i="11"/>
  <c r="N24" i="11"/>
  <c r="N23" i="11"/>
  <c r="N22" i="11"/>
  <c r="N21" i="11"/>
  <c r="N20" i="11"/>
  <c r="N19" i="11"/>
  <c r="N18" i="11"/>
  <c r="N17" i="11"/>
  <c r="N16" i="11"/>
  <c r="N15" i="11"/>
  <c r="N14" i="11"/>
  <c r="N13" i="11"/>
  <c r="N12" i="11"/>
  <c r="N11" i="11"/>
  <c r="N10" i="11"/>
  <c r="N9" i="11"/>
  <c r="AP59" i="13"/>
  <c r="AZ59" i="13" s="1"/>
  <c r="AK59" i="13"/>
  <c r="AA59" i="13"/>
  <c r="Z59" i="13"/>
  <c r="V59" i="13"/>
  <c r="AP58" i="13"/>
  <c r="AZ58" i="13" s="1"/>
  <c r="AK58" i="13"/>
  <c r="AA58" i="13"/>
  <c r="Z58" i="13"/>
  <c r="V58" i="13"/>
  <c r="AP57" i="13"/>
  <c r="AZ57" i="13" s="1"/>
  <c r="AK57" i="13"/>
  <c r="AA57" i="13"/>
  <c r="Z57" i="13"/>
  <c r="V57" i="13"/>
  <c r="AP56" i="13"/>
  <c r="AZ56" i="13" s="1"/>
  <c r="AK56" i="13"/>
  <c r="AA56" i="13"/>
  <c r="Z56" i="13"/>
  <c r="H56" i="13" s="1"/>
  <c r="BC56" i="13" s="1"/>
  <c r="V56" i="13"/>
  <c r="AP55" i="13"/>
  <c r="AZ55" i="13" s="1"/>
  <c r="AK55" i="13"/>
  <c r="AA55" i="13"/>
  <c r="Z55" i="13"/>
  <c r="V55" i="13"/>
  <c r="AW24" i="13"/>
  <c r="AU24" i="13"/>
  <c r="AP24" i="13"/>
  <c r="AZ24" i="13" s="1"/>
  <c r="AK24" i="13"/>
  <c r="AA24" i="13"/>
  <c r="Z24" i="13"/>
  <c r="AG24" i="13" s="1"/>
  <c r="V24" i="13"/>
  <c r="J24" i="13"/>
  <c r="AW23" i="13"/>
  <c r="AU23" i="13"/>
  <c r="AP23" i="13"/>
  <c r="AZ23" i="13" s="1"/>
  <c r="AK23" i="13"/>
  <c r="AA23" i="13"/>
  <c r="Z23" i="13"/>
  <c r="AF23" i="13" s="1"/>
  <c r="V23" i="13"/>
  <c r="J23" i="13"/>
  <c r="AW22" i="13"/>
  <c r="AU22" i="13"/>
  <c r="AP22" i="13"/>
  <c r="AZ22" i="13" s="1"/>
  <c r="AK22" i="13"/>
  <c r="AA22" i="13"/>
  <c r="Z22" i="13"/>
  <c r="AC22" i="13" s="1"/>
  <c r="V22" i="13"/>
  <c r="J22" i="13"/>
  <c r="AW21" i="13"/>
  <c r="AU21" i="13"/>
  <c r="AP21" i="13"/>
  <c r="AZ21" i="13" s="1"/>
  <c r="AK21" i="13"/>
  <c r="AA21" i="13"/>
  <c r="Z21" i="13"/>
  <c r="V21" i="13"/>
  <c r="J21" i="13"/>
  <c r="AW20" i="13"/>
  <c r="AU20" i="13"/>
  <c r="AP20" i="13"/>
  <c r="AZ20" i="13" s="1"/>
  <c r="AK20" i="13"/>
  <c r="AA20" i="13"/>
  <c r="Z20" i="13"/>
  <c r="AC20" i="13" s="1"/>
  <c r="V20" i="13"/>
  <c r="J20" i="13"/>
  <c r="AP64" i="13"/>
  <c r="AZ64" i="13" s="1"/>
  <c r="AK64" i="13"/>
  <c r="AA64" i="13"/>
  <c r="Z64" i="13"/>
  <c r="V64" i="13"/>
  <c r="AP63" i="13"/>
  <c r="AZ63" i="13" s="1"/>
  <c r="AK63" i="13"/>
  <c r="AA63" i="13"/>
  <c r="Z63" i="13"/>
  <c r="V63" i="13"/>
  <c r="AP62" i="13"/>
  <c r="AZ62" i="13" s="1"/>
  <c r="AK62" i="13"/>
  <c r="AA62" i="13"/>
  <c r="Z62" i="13"/>
  <c r="V62" i="13"/>
  <c r="AP61" i="13"/>
  <c r="AZ61" i="13" s="1"/>
  <c r="AK61" i="13"/>
  <c r="AA61" i="13"/>
  <c r="Z61" i="13"/>
  <c r="V61" i="13"/>
  <c r="H61" i="13"/>
  <c r="BC61" i="13" s="1"/>
  <c r="AP60" i="13"/>
  <c r="AZ60" i="13" s="1"/>
  <c r="AK60" i="13"/>
  <c r="AA60" i="13"/>
  <c r="Z60" i="13"/>
  <c r="V60" i="13"/>
  <c r="AW26" i="13"/>
  <c r="AU26" i="13"/>
  <c r="AP26" i="13"/>
  <c r="AZ26" i="13" s="1"/>
  <c r="AK26" i="13"/>
  <c r="AA26" i="13"/>
  <c r="Z26" i="13"/>
  <c r="AF26" i="13" s="1"/>
  <c r="V26" i="13"/>
  <c r="J26" i="13"/>
  <c r="AW25" i="13"/>
  <c r="AU25" i="13"/>
  <c r="AP25" i="13"/>
  <c r="AZ25" i="13" s="1"/>
  <c r="AK25" i="13"/>
  <c r="AA25" i="13"/>
  <c r="Z25" i="13"/>
  <c r="J25" i="13" s="1"/>
  <c r="V25" i="13"/>
  <c r="AW19" i="13"/>
  <c r="AU19" i="13"/>
  <c r="AP19" i="13"/>
  <c r="AZ19" i="13" s="1"/>
  <c r="AK19" i="13"/>
  <c r="AA19" i="13"/>
  <c r="Z19" i="13"/>
  <c r="I19" i="13" s="1"/>
  <c r="BD19" i="13" s="1"/>
  <c r="V19" i="13"/>
  <c r="J19" i="13"/>
  <c r="AW18" i="13"/>
  <c r="AU18" i="13"/>
  <c r="AP18" i="13"/>
  <c r="AZ18" i="13" s="1"/>
  <c r="AK18" i="13"/>
  <c r="AA18" i="13"/>
  <c r="Z18" i="13"/>
  <c r="AG18" i="13" s="1"/>
  <c r="V18" i="13"/>
  <c r="J18" i="13"/>
  <c r="AW27" i="13"/>
  <c r="AU27" i="13"/>
  <c r="AP27" i="13"/>
  <c r="AZ27" i="13" s="1"/>
  <c r="AK27" i="13"/>
  <c r="AA27" i="13"/>
  <c r="Z27" i="13"/>
  <c r="AF27" i="13" s="1"/>
  <c r="V27" i="13"/>
  <c r="J27" i="13"/>
  <c r="I56" i="13" l="1"/>
  <c r="BD56" i="13" s="1"/>
  <c r="AG58" i="13"/>
  <c r="AE62" i="13"/>
  <c r="AB63" i="13"/>
  <c r="AF61" i="13"/>
  <c r="AD57" i="13"/>
  <c r="AE56" i="13"/>
  <c r="I57" i="13"/>
  <c r="BD57" i="13" s="1"/>
  <c r="H63" i="13"/>
  <c r="BC63" i="13" s="1"/>
  <c r="I20" i="13"/>
  <c r="BD20" i="13" s="1"/>
  <c r="AF56" i="13"/>
  <c r="AF22" i="13"/>
  <c r="AB56" i="13"/>
  <c r="AG56" i="13"/>
  <c r="AE22" i="13"/>
  <c r="AD63" i="13"/>
  <c r="AG22" i="13"/>
  <c r="AD62" i="13"/>
  <c r="AG20" i="13"/>
  <c r="I22" i="13"/>
  <c r="BD22" i="13" s="1"/>
  <c r="H22" i="13"/>
  <c r="BC22" i="13" s="1"/>
  <c r="AG57" i="13"/>
  <c r="AE20" i="13"/>
  <c r="AC63" i="13"/>
  <c r="H20" i="13"/>
  <c r="BC20" i="13" s="1"/>
  <c r="AF20" i="13"/>
  <c r="I63" i="13"/>
  <c r="BD63" i="13" s="1"/>
  <c r="AE63" i="13"/>
  <c r="AF63" i="13"/>
  <c r="AG27" i="13"/>
  <c r="AG61" i="13"/>
  <c r="AG63" i="13"/>
  <c r="AE57" i="13"/>
  <c r="AC58" i="13"/>
  <c r="I62" i="13"/>
  <c r="BD62" i="13" s="1"/>
  <c r="AG62" i="13"/>
  <c r="AD58" i="13"/>
  <c r="I58" i="13"/>
  <c r="BD58" i="13" s="1"/>
  <c r="AE58" i="13"/>
  <c r="AF58" i="13"/>
  <c r="AD18" i="13"/>
  <c r="H18" i="13"/>
  <c r="BC18" i="13" s="1"/>
  <c r="AE18" i="13"/>
  <c r="I18" i="13"/>
  <c r="BD18" i="13" s="1"/>
  <c r="AF18" i="13"/>
  <c r="AB61" i="13"/>
  <c r="AE61" i="13"/>
  <c r="I61" i="13"/>
  <c r="BD61" i="13" s="1"/>
  <c r="AG55" i="13"/>
  <c r="AI55" i="13"/>
  <c r="M55" i="13" s="1"/>
  <c r="AT55" i="13"/>
  <c r="AR55" i="13"/>
  <c r="AG60" i="13"/>
  <c r="AI60" i="13"/>
  <c r="M60" i="13" s="1"/>
  <c r="AT60" i="13"/>
  <c r="AR60" i="13"/>
  <c r="AH63" i="13"/>
  <c r="L63" i="13" s="1"/>
  <c r="BF63" i="13" s="1"/>
  <c r="AI63" i="13"/>
  <c r="M63" i="13" s="1"/>
  <c r="AT63" i="13"/>
  <c r="AR63" i="13"/>
  <c r="AG64" i="13"/>
  <c r="AI64" i="13"/>
  <c r="M64" i="13" s="1"/>
  <c r="AT64" i="13"/>
  <c r="AR64" i="13"/>
  <c r="AH58" i="13"/>
  <c r="L58" i="13" s="1"/>
  <c r="BF58" i="13" s="1"/>
  <c r="AI58" i="13"/>
  <c r="M58" i="13" s="1"/>
  <c r="AT58" i="13"/>
  <c r="AR58" i="13"/>
  <c r="AL62" i="13"/>
  <c r="AM62" i="13" s="1"/>
  <c r="AI62" i="13"/>
  <c r="M62" i="13" s="1"/>
  <c r="AT62" i="13"/>
  <c r="AR62" i="13"/>
  <c r="AL63" i="13"/>
  <c r="AM63" i="13" s="1"/>
  <c r="AD56" i="13"/>
  <c r="AI56" i="13"/>
  <c r="M56" i="13" s="1"/>
  <c r="AT56" i="13"/>
  <c r="AR56" i="13"/>
  <c r="AL57" i="13"/>
  <c r="AM57" i="13" s="1"/>
  <c r="AI57" i="13"/>
  <c r="M57" i="13" s="1"/>
  <c r="AT57" i="13"/>
  <c r="AR57" i="13"/>
  <c r="AL58" i="13"/>
  <c r="AM58" i="13" s="1"/>
  <c r="AG59" i="13"/>
  <c r="AI59" i="13"/>
  <c r="M59" i="13" s="1"/>
  <c r="AT59" i="13"/>
  <c r="AR59" i="13"/>
  <c r="AD61" i="13"/>
  <c r="AI61" i="13"/>
  <c r="M61" i="13" s="1"/>
  <c r="AT61" i="13"/>
  <c r="AR61" i="13"/>
  <c r="H58" i="13"/>
  <c r="BC58" i="13" s="1"/>
  <c r="AB58" i="13"/>
  <c r="AL19" i="13"/>
  <c r="AM19" i="13" s="1"/>
  <c r="AS19" i="13" s="1"/>
  <c r="AV19" i="13" s="1"/>
  <c r="AI19" i="13"/>
  <c r="M19" i="13" s="1"/>
  <c r="AD19" i="13"/>
  <c r="AE26" i="13"/>
  <c r="AD21" i="13"/>
  <c r="AI21" i="13"/>
  <c r="M21" i="13" s="1"/>
  <c r="AL21" i="13"/>
  <c r="AM21" i="13" s="1"/>
  <c r="AS21" i="13" s="1"/>
  <c r="AV21" i="13" s="1"/>
  <c r="AC23" i="13"/>
  <c r="AL23" i="13"/>
  <c r="AM23" i="13" s="1"/>
  <c r="AS23" i="13" s="1"/>
  <c r="AV23" i="13" s="1"/>
  <c r="AT27" i="13"/>
  <c r="AI27" i="13"/>
  <c r="M27" i="13" s="1"/>
  <c r="H23" i="13"/>
  <c r="BC23" i="13" s="1"/>
  <c r="AE23" i="13"/>
  <c r="AD24" i="13"/>
  <c r="AI24" i="13"/>
  <c r="M24" i="13" s="1"/>
  <c r="AL24" i="13"/>
  <c r="AM24" i="13" s="1"/>
  <c r="AO24" i="13" s="1"/>
  <c r="AL27" i="13"/>
  <c r="AM27" i="13" s="1"/>
  <c r="AS27" i="13" s="1"/>
  <c r="AV27" i="13" s="1"/>
  <c r="H19" i="13"/>
  <c r="BC19" i="13" s="1"/>
  <c r="AC21" i="13"/>
  <c r="I23" i="13"/>
  <c r="BD23" i="13" s="1"/>
  <c r="AD23" i="13"/>
  <c r="AI23" i="13"/>
  <c r="M23" i="13" s="1"/>
  <c r="AE19" i="13"/>
  <c r="AL25" i="13"/>
  <c r="AM25" i="13" s="1"/>
  <c r="AS25" i="13" s="1"/>
  <c r="AV25" i="13" s="1"/>
  <c r="AI25" i="13"/>
  <c r="M25" i="13" s="1"/>
  <c r="AC27" i="13"/>
  <c r="H21" i="13"/>
  <c r="BC21" i="13" s="1"/>
  <c r="AE21" i="13"/>
  <c r="AG23" i="13"/>
  <c r="AC24" i="13"/>
  <c r="AL26" i="13"/>
  <c r="AM26" i="13" s="1"/>
  <c r="AO26" i="13" s="1"/>
  <c r="AI26" i="13"/>
  <c r="M26" i="13" s="1"/>
  <c r="AB27" i="13"/>
  <c r="H27" i="13"/>
  <c r="BC27" i="13" s="1"/>
  <c r="I27" i="13"/>
  <c r="BD27" i="13" s="1"/>
  <c r="AD27" i="13"/>
  <c r="I21" i="13"/>
  <c r="BD21" i="13" s="1"/>
  <c r="AF21" i="13"/>
  <c r="AD22" i="13"/>
  <c r="AI22" i="13"/>
  <c r="M22" i="13" s="1"/>
  <c r="AL22" i="13"/>
  <c r="AM22" i="13" s="1"/>
  <c r="AS22" i="13" s="1"/>
  <c r="AV22" i="13" s="1"/>
  <c r="H24" i="13"/>
  <c r="BC24" i="13" s="1"/>
  <c r="AE24" i="13"/>
  <c r="I26" i="13"/>
  <c r="BD26" i="13" s="1"/>
  <c r="AE27" i="13"/>
  <c r="AL18" i="13"/>
  <c r="AM18" i="13" s="1"/>
  <c r="AS18" i="13" s="1"/>
  <c r="AV18" i="13" s="1"/>
  <c r="AI18" i="13"/>
  <c r="M18" i="13" s="1"/>
  <c r="AD20" i="13"/>
  <c r="AI20" i="13"/>
  <c r="M20" i="13" s="1"/>
  <c r="AL20" i="13"/>
  <c r="AM20" i="13" s="1"/>
  <c r="AG21" i="13"/>
  <c r="I24" i="13"/>
  <c r="BD24" i="13" s="1"/>
  <c r="AF24" i="13"/>
  <c r="AH55" i="13"/>
  <c r="L55" i="13" s="1"/>
  <c r="BF55" i="13" s="1"/>
  <c r="AH59" i="13"/>
  <c r="L59" i="13" s="1"/>
  <c r="BF59" i="13" s="1"/>
  <c r="AB55" i="13"/>
  <c r="AH56" i="13"/>
  <c r="L56" i="13" s="1"/>
  <c r="BF56" i="13" s="1"/>
  <c r="H57" i="13"/>
  <c r="BC57" i="13" s="1"/>
  <c r="AF57" i="13"/>
  <c r="AB59" i="13"/>
  <c r="AL55" i="13"/>
  <c r="AM55" i="13" s="1"/>
  <c r="AC59" i="13"/>
  <c r="AD55" i="13"/>
  <c r="AH57" i="13"/>
  <c r="L57" i="13" s="1"/>
  <c r="BF57" i="13" s="1"/>
  <c r="AD59" i="13"/>
  <c r="AL59" i="13"/>
  <c r="AM59" i="13" s="1"/>
  <c r="AE55" i="13"/>
  <c r="AC56" i="13"/>
  <c r="AL56" i="13"/>
  <c r="AM56" i="13" s="1"/>
  <c r="AE59" i="13"/>
  <c r="H55" i="13"/>
  <c r="BC55" i="13" s="1"/>
  <c r="AF55" i="13"/>
  <c r="AB57" i="13"/>
  <c r="H59" i="13"/>
  <c r="BC59" i="13" s="1"/>
  <c r="AF59" i="13"/>
  <c r="AC55" i="13"/>
  <c r="I55" i="13"/>
  <c r="BD55" i="13" s="1"/>
  <c r="AC57" i="13"/>
  <c r="I59" i="13"/>
  <c r="BD59" i="13" s="1"/>
  <c r="AG19" i="13"/>
  <c r="H25" i="13"/>
  <c r="BC25" i="13" s="1"/>
  <c r="AE25" i="13"/>
  <c r="AH20" i="13"/>
  <c r="L20" i="13" s="1"/>
  <c r="BF20" i="13" s="1"/>
  <c r="AR20" i="13"/>
  <c r="AH21" i="13"/>
  <c r="L21" i="13" s="1"/>
  <c r="BF21" i="13" s="1"/>
  <c r="AR21" i="13"/>
  <c r="AH22" i="13"/>
  <c r="L22" i="13" s="1"/>
  <c r="BF22" i="13" s="1"/>
  <c r="AR22" i="13"/>
  <c r="AH23" i="13"/>
  <c r="L23" i="13" s="1"/>
  <c r="BF23" i="13" s="1"/>
  <c r="AR23" i="13"/>
  <c r="AH24" i="13"/>
  <c r="L24" i="13" s="1"/>
  <c r="BF24" i="13" s="1"/>
  <c r="AR24" i="13"/>
  <c r="AF19" i="13"/>
  <c r="AD25" i="13"/>
  <c r="I25" i="13"/>
  <c r="BD25" i="13" s="1"/>
  <c r="AF25" i="13"/>
  <c r="AG25" i="13"/>
  <c r="H26" i="13"/>
  <c r="BC26" i="13" s="1"/>
  <c r="AD26" i="13"/>
  <c r="AB20" i="13"/>
  <c r="AT20" i="13"/>
  <c r="AB21" i="13"/>
  <c r="AT21" i="13"/>
  <c r="AB22" i="13"/>
  <c r="AT22" i="13"/>
  <c r="AB23" i="13"/>
  <c r="AT23" i="13"/>
  <c r="AB24" i="13"/>
  <c r="AT24" i="13"/>
  <c r="AB60" i="13"/>
  <c r="AH61" i="13"/>
  <c r="L61" i="13" s="1"/>
  <c r="BF61" i="13" s="1"/>
  <c r="H62" i="13"/>
  <c r="BC62" i="13" s="1"/>
  <c r="AF62" i="13"/>
  <c r="AB64" i="13"/>
  <c r="AC60" i="13"/>
  <c r="AL60" i="13"/>
  <c r="AM60" i="13" s="1"/>
  <c r="AC64" i="13"/>
  <c r="AL64" i="13"/>
  <c r="AM64" i="13" s="1"/>
  <c r="AN64" i="13" s="1"/>
  <c r="W64" i="13" s="1"/>
  <c r="AD60" i="13"/>
  <c r="AH62" i="13"/>
  <c r="L62" i="13" s="1"/>
  <c r="BF62" i="13" s="1"/>
  <c r="AD64" i="13"/>
  <c r="AH60" i="13"/>
  <c r="L60" i="13" s="1"/>
  <c r="BF60" i="13" s="1"/>
  <c r="AE60" i="13"/>
  <c r="AC61" i="13"/>
  <c r="AL61" i="13"/>
  <c r="AM61" i="13" s="1"/>
  <c r="AE64" i="13"/>
  <c r="H60" i="13"/>
  <c r="BC60" i="13" s="1"/>
  <c r="AF60" i="13"/>
  <c r="AB62" i="13"/>
  <c r="H64" i="13"/>
  <c r="BC64" i="13" s="1"/>
  <c r="AF64" i="13"/>
  <c r="AH64" i="13"/>
  <c r="L64" i="13" s="1"/>
  <c r="BF64" i="13" s="1"/>
  <c r="I60" i="13"/>
  <c r="BD60" i="13" s="1"/>
  <c r="AC62" i="13"/>
  <c r="I64" i="13"/>
  <c r="BD64" i="13" s="1"/>
  <c r="AG26" i="13"/>
  <c r="AH18" i="13"/>
  <c r="L18" i="13" s="1"/>
  <c r="BF18" i="13" s="1"/>
  <c r="AR18" i="13"/>
  <c r="AH19" i="13"/>
  <c r="L19" i="13" s="1"/>
  <c r="BF19" i="13" s="1"/>
  <c r="AR19" i="13"/>
  <c r="AR25" i="13"/>
  <c r="AH26" i="13"/>
  <c r="L26" i="13" s="1"/>
  <c r="BF26" i="13" s="1"/>
  <c r="AR26" i="13"/>
  <c r="AB18" i="13"/>
  <c r="AT18" i="13"/>
  <c r="AB19" i="13"/>
  <c r="AT19" i="13"/>
  <c r="AT25" i="13"/>
  <c r="AB26" i="13"/>
  <c r="AT26" i="13"/>
  <c r="AC18" i="13"/>
  <c r="AC19" i="13"/>
  <c r="AC25" i="13"/>
  <c r="AH25" i="13" s="1"/>
  <c r="L25" i="13" s="1"/>
  <c r="BF25" i="13" s="1"/>
  <c r="AC26" i="13"/>
  <c r="AH27" i="13"/>
  <c r="L27" i="13" s="1"/>
  <c r="BF27" i="13" s="1"/>
  <c r="AR27" i="13"/>
  <c r="AN61" i="13" l="1"/>
  <c r="W61" i="13" s="1"/>
  <c r="AO61" i="13"/>
  <c r="AO55" i="13"/>
  <c r="X55" i="13" s="1"/>
  <c r="U55" i="13"/>
  <c r="BG55" i="13" s="1"/>
  <c r="AO62" i="13"/>
  <c r="AS62" i="13"/>
  <c r="AV62" i="13" s="1"/>
  <c r="U62" i="13"/>
  <c r="BG62" i="13" s="1"/>
  <c r="AN62" i="13"/>
  <c r="W62" i="13" s="1"/>
  <c r="U57" i="13"/>
  <c r="BG57" i="13" s="1"/>
  <c r="AN57" i="13"/>
  <c r="W57" i="13" s="1"/>
  <c r="AO57" i="13"/>
  <c r="AS57" i="13"/>
  <c r="AV57" i="13" s="1"/>
  <c r="AN60" i="13"/>
  <c r="W60" i="13" s="1"/>
  <c r="U60" i="13"/>
  <c r="BG60" i="13" s="1"/>
  <c r="AO60" i="13"/>
  <c r="AS60" i="13"/>
  <c r="AV60" i="13" s="1"/>
  <c r="AN20" i="13"/>
  <c r="W20" i="13" s="1"/>
  <c r="AS20" i="13"/>
  <c r="AV20" i="13" s="1"/>
  <c r="AO20" i="13"/>
  <c r="U20" i="13"/>
  <c r="BG20" i="13" s="1"/>
  <c r="AS58" i="13"/>
  <c r="AV58" i="13" s="1"/>
  <c r="AN58" i="13"/>
  <c r="W58" i="13" s="1"/>
  <c r="AO58" i="13"/>
  <c r="U58" i="13"/>
  <c r="BG58" i="13" s="1"/>
  <c r="X24" i="13"/>
  <c r="BH24" i="13"/>
  <c r="AS56" i="13"/>
  <c r="AV56" i="13" s="1"/>
  <c r="AN56" i="13"/>
  <c r="W56" i="13" s="1"/>
  <c r="U56" i="13"/>
  <c r="BG56" i="13" s="1"/>
  <c r="AO56" i="13"/>
  <c r="AS63" i="13"/>
  <c r="AV63" i="13" s="1"/>
  <c r="AO63" i="13"/>
  <c r="U63" i="13"/>
  <c r="BG63" i="13" s="1"/>
  <c r="AN63" i="13"/>
  <c r="W63" i="13" s="1"/>
  <c r="U59" i="13"/>
  <c r="BG59" i="13" s="1"/>
  <c r="AO59" i="13"/>
  <c r="AS59" i="13"/>
  <c r="AV59" i="13" s="1"/>
  <c r="AN59" i="13"/>
  <c r="W59" i="13" s="1"/>
  <c r="X26" i="13"/>
  <c r="BH26" i="13"/>
  <c r="U61" i="13"/>
  <c r="BG61" i="13" s="1"/>
  <c r="AS64" i="13"/>
  <c r="AV64" i="13" s="1"/>
  <c r="X61" i="13"/>
  <c r="BH61" i="13"/>
  <c r="U64" i="13"/>
  <c r="BG64" i="13" s="1"/>
  <c r="AS55" i="13"/>
  <c r="AV55" i="13" s="1"/>
  <c r="AN55" i="13"/>
  <c r="W55" i="13" s="1"/>
  <c r="AO64" i="13"/>
  <c r="AS61" i="13"/>
  <c r="AV61" i="13" s="1"/>
  <c r="U24" i="13"/>
  <c r="BG24" i="13" s="1"/>
  <c r="AS24" i="13"/>
  <c r="AV24" i="13" s="1"/>
  <c r="AN19" i="13"/>
  <c r="W19" i="13" s="1"/>
  <c r="AO23" i="13"/>
  <c r="AO22" i="13"/>
  <c r="AN23" i="13"/>
  <c r="W23" i="13" s="1"/>
  <c r="AN18" i="13"/>
  <c r="W18" i="13" s="1"/>
  <c r="U22" i="13"/>
  <c r="BG22" i="13" s="1"/>
  <c r="U18" i="13"/>
  <c r="BG18" i="13" s="1"/>
  <c r="U23" i="13"/>
  <c r="BG23" i="13" s="1"/>
  <c r="AO19" i="13"/>
  <c r="AO18" i="13"/>
  <c r="U19" i="13"/>
  <c r="BG19" i="13" s="1"/>
  <c r="AN22" i="13"/>
  <c r="W22" i="13" s="1"/>
  <c r="AN24" i="13"/>
  <c r="W24" i="13" s="1"/>
  <c r="AN26" i="13"/>
  <c r="W26" i="13" s="1"/>
  <c r="U25" i="13"/>
  <c r="BG25" i="13" s="1"/>
  <c r="AO25" i="13"/>
  <c r="AO21" i="13"/>
  <c r="AO27" i="13"/>
  <c r="U21" i="13"/>
  <c r="BG21" i="13" s="1"/>
  <c r="AN21" i="13"/>
  <c r="W21" i="13" s="1"/>
  <c r="U27" i="13"/>
  <c r="BG27" i="13" s="1"/>
  <c r="AN27" i="13"/>
  <c r="W27" i="13" s="1"/>
  <c r="AN25" i="13"/>
  <c r="W25" i="13" s="1"/>
  <c r="AS26" i="13"/>
  <c r="AV26" i="13" s="1"/>
  <c r="U26" i="13"/>
  <c r="BG26" i="13" s="1"/>
  <c r="AP72" i="13"/>
  <c r="AZ72" i="13" s="1"/>
  <c r="AK72" i="13"/>
  <c r="AP71" i="13"/>
  <c r="AZ71" i="13" s="1"/>
  <c r="AK71" i="13"/>
  <c r="AP67" i="13"/>
  <c r="AZ67" i="13" s="1"/>
  <c r="AK67" i="13"/>
  <c r="AP66" i="13"/>
  <c r="AZ66" i="13" s="1"/>
  <c r="AK66" i="13"/>
  <c r="AP65" i="13"/>
  <c r="AZ65" i="13" s="1"/>
  <c r="AK65" i="13"/>
  <c r="AP54" i="13"/>
  <c r="AZ54" i="13" s="1"/>
  <c r="AK54" i="13"/>
  <c r="V72" i="13"/>
  <c r="V71" i="13"/>
  <c r="V67" i="13"/>
  <c r="V66" i="13"/>
  <c r="V65" i="13"/>
  <c r="V54" i="13"/>
  <c r="V53" i="13"/>
  <c r="V52" i="13"/>
  <c r="V51" i="13"/>
  <c r="V50" i="13"/>
  <c r="V49" i="13"/>
  <c r="V48" i="13"/>
  <c r="AP53" i="13"/>
  <c r="AZ53" i="13" s="1"/>
  <c r="AK53" i="13"/>
  <c r="AP52" i="13"/>
  <c r="AZ52" i="13" s="1"/>
  <c r="AK52" i="13"/>
  <c r="AP51" i="13"/>
  <c r="AZ51" i="13" s="1"/>
  <c r="AK51" i="13"/>
  <c r="AP50" i="13"/>
  <c r="AZ50" i="13" s="1"/>
  <c r="AK50" i="13"/>
  <c r="AP49" i="13"/>
  <c r="AZ49" i="13" s="1"/>
  <c r="AK49" i="13"/>
  <c r="AP48" i="13"/>
  <c r="AZ48" i="13" s="1"/>
  <c r="AK48" i="13"/>
  <c r="AA72" i="13"/>
  <c r="Z72" i="13"/>
  <c r="I72" i="13" s="1"/>
  <c r="BD72" i="13" s="1"/>
  <c r="AA71" i="13"/>
  <c r="Z71" i="13"/>
  <c r="AA67" i="13"/>
  <c r="Z67" i="13"/>
  <c r="AA66" i="13"/>
  <c r="Z66" i="13"/>
  <c r="AA65" i="13"/>
  <c r="Z65" i="13"/>
  <c r="AA54" i="13"/>
  <c r="Z54" i="13"/>
  <c r="AW36" i="13"/>
  <c r="AW35" i="13"/>
  <c r="AW34" i="13"/>
  <c r="AW33" i="13"/>
  <c r="AW32" i="13"/>
  <c r="AW31" i="13"/>
  <c r="AW30" i="13"/>
  <c r="AW29" i="13"/>
  <c r="AW28" i="13"/>
  <c r="AW17" i="13"/>
  <c r="AW16" i="13"/>
  <c r="AW15" i="13"/>
  <c r="AW14" i="13"/>
  <c r="AW13" i="13"/>
  <c r="AW12" i="13"/>
  <c r="AW11" i="13"/>
  <c r="AW10" i="13"/>
  <c r="AW9" i="13"/>
  <c r="AW8" i="13"/>
  <c r="AW7" i="13"/>
  <c r="AP7" i="13"/>
  <c r="AP36" i="13"/>
  <c r="AZ36" i="13" s="1"/>
  <c r="AP35" i="13"/>
  <c r="AZ35" i="13" s="1"/>
  <c r="AP34" i="13"/>
  <c r="AZ34" i="13" s="1"/>
  <c r="AP33" i="13"/>
  <c r="AZ33" i="13" s="1"/>
  <c r="AP32" i="13"/>
  <c r="AZ32" i="13" s="1"/>
  <c r="AP31" i="13"/>
  <c r="AZ31" i="13" s="1"/>
  <c r="AP30" i="13"/>
  <c r="AZ30" i="13" s="1"/>
  <c r="AP29" i="13"/>
  <c r="AZ29" i="13" s="1"/>
  <c r="AP28" i="13"/>
  <c r="AZ28" i="13" s="1"/>
  <c r="AP17" i="13"/>
  <c r="AZ17" i="13" s="1"/>
  <c r="AP16" i="13"/>
  <c r="AZ16" i="13" s="1"/>
  <c r="AP15" i="13"/>
  <c r="AZ15" i="13" s="1"/>
  <c r="AP14" i="13"/>
  <c r="AZ14" i="13" s="1"/>
  <c r="AP13" i="13"/>
  <c r="AZ13" i="13" s="1"/>
  <c r="AP12" i="13"/>
  <c r="AZ12" i="13" s="1"/>
  <c r="AP11" i="13"/>
  <c r="AZ11" i="13" s="1"/>
  <c r="AP10" i="13"/>
  <c r="AZ10" i="13" s="1"/>
  <c r="AP9" i="13"/>
  <c r="AZ9" i="13" s="1"/>
  <c r="AP8" i="13"/>
  <c r="AU36" i="13"/>
  <c r="AU35" i="13"/>
  <c r="AU34" i="13"/>
  <c r="AU33" i="13"/>
  <c r="AU32" i="13"/>
  <c r="AU31" i="13"/>
  <c r="AU30" i="13"/>
  <c r="AU29" i="13"/>
  <c r="AU28" i="13"/>
  <c r="AU17" i="13"/>
  <c r="AU16" i="13"/>
  <c r="AU15" i="13"/>
  <c r="AU14" i="13"/>
  <c r="AU13" i="13"/>
  <c r="AU12" i="13"/>
  <c r="AU11" i="13"/>
  <c r="AU10" i="13"/>
  <c r="AU9" i="13"/>
  <c r="AU8" i="13"/>
  <c r="AU7" i="13"/>
  <c r="BH55" i="13" l="1"/>
  <c r="I35" i="29"/>
  <c r="F43" i="58"/>
  <c r="F33" i="58"/>
  <c r="I55" i="59"/>
  <c r="I34" i="59"/>
  <c r="F55" i="29"/>
  <c r="F34" i="59"/>
  <c r="I29" i="59"/>
  <c r="H29" i="59"/>
  <c r="I35" i="59"/>
  <c r="I34" i="29"/>
  <c r="I36" i="58"/>
  <c r="I29" i="58"/>
  <c r="F56" i="59"/>
  <c r="I33" i="59"/>
  <c r="F43" i="59"/>
  <c r="I56" i="29"/>
  <c r="I55" i="29"/>
  <c r="F56" i="29"/>
  <c r="I33" i="29"/>
  <c r="I35" i="58"/>
  <c r="H29" i="58"/>
  <c r="F55" i="59"/>
  <c r="F35" i="59"/>
  <c r="F36" i="29"/>
  <c r="F56" i="58"/>
  <c r="I34" i="58"/>
  <c r="F29" i="58"/>
  <c r="F35" i="29"/>
  <c r="F55" i="58"/>
  <c r="I33" i="58"/>
  <c r="F36" i="59"/>
  <c r="F33" i="59"/>
  <c r="F34" i="29"/>
  <c r="I56" i="58"/>
  <c r="F36" i="58"/>
  <c r="I43" i="59"/>
  <c r="I50" i="59" s="1"/>
  <c r="F33" i="29"/>
  <c r="I55" i="58"/>
  <c r="F35" i="58"/>
  <c r="I36" i="59"/>
  <c r="I36" i="29"/>
  <c r="I43" i="58"/>
  <c r="I50" i="58" s="1"/>
  <c r="F34" i="58"/>
  <c r="I56" i="59"/>
  <c r="F29" i="59"/>
  <c r="AZ8" i="13"/>
  <c r="F59" i="19"/>
  <c r="H59" i="19"/>
  <c r="K33" i="34"/>
  <c r="K33" i="19"/>
  <c r="H33" i="34"/>
  <c r="F33" i="34"/>
  <c r="H33" i="19"/>
  <c r="F33" i="19"/>
  <c r="K59" i="34"/>
  <c r="F47" i="34"/>
  <c r="F38" i="34"/>
  <c r="H39" i="34"/>
  <c r="K40" i="34"/>
  <c r="F60" i="35"/>
  <c r="H40" i="35"/>
  <c r="H37" i="35"/>
  <c r="H60" i="34"/>
  <c r="F37" i="34"/>
  <c r="H38" i="34"/>
  <c r="K39" i="34"/>
  <c r="F59" i="35"/>
  <c r="H39" i="35"/>
  <c r="H59" i="34"/>
  <c r="H37" i="34"/>
  <c r="K38" i="34"/>
  <c r="H38" i="35"/>
  <c r="F37" i="35"/>
  <c r="F60" i="34"/>
  <c r="K37" i="34"/>
  <c r="K40" i="35"/>
  <c r="F59" i="34"/>
  <c r="K60" i="35"/>
  <c r="K39" i="35"/>
  <c r="H47" i="34"/>
  <c r="F38" i="35"/>
  <c r="K59" i="35"/>
  <c r="F40" i="35"/>
  <c r="K38" i="35"/>
  <c r="F39" i="34"/>
  <c r="K47" i="34"/>
  <c r="K54" i="34" s="1"/>
  <c r="F40" i="34"/>
  <c r="H60" i="35"/>
  <c r="F39" i="35"/>
  <c r="K37" i="35"/>
  <c r="K60" i="34"/>
  <c r="H59" i="35"/>
  <c r="H40" i="34"/>
  <c r="M59" i="35"/>
  <c r="M59" i="34"/>
  <c r="M37" i="34"/>
  <c r="F40" i="19"/>
  <c r="M39" i="35"/>
  <c r="M40" i="34"/>
  <c r="K59" i="19"/>
  <c r="K40" i="19"/>
  <c r="F60" i="19"/>
  <c r="H47" i="19"/>
  <c r="K39" i="19"/>
  <c r="F38" i="19"/>
  <c r="M38" i="35"/>
  <c r="M39" i="34"/>
  <c r="F47" i="19"/>
  <c r="H60" i="19"/>
  <c r="K47" i="19"/>
  <c r="K37" i="19"/>
  <c r="H37" i="19"/>
  <c r="K38" i="19"/>
  <c r="M37" i="35"/>
  <c r="M60" i="34"/>
  <c r="M38" i="34"/>
  <c r="H40" i="19"/>
  <c r="M60" i="35"/>
  <c r="M40" i="35"/>
  <c r="H39" i="19"/>
  <c r="K60" i="19"/>
  <c r="F37" i="19"/>
  <c r="H38" i="19"/>
  <c r="F39" i="19"/>
  <c r="X57" i="13"/>
  <c r="BH57" i="13"/>
  <c r="X64" i="13"/>
  <c r="BH64" i="13"/>
  <c r="X63" i="13"/>
  <c r="BH63" i="13"/>
  <c r="X58" i="13"/>
  <c r="BH58" i="13"/>
  <c r="X22" i="13"/>
  <c r="BH22" i="13"/>
  <c r="X56" i="13"/>
  <c r="BH56" i="13"/>
  <c r="X27" i="13"/>
  <c r="BH27" i="13"/>
  <c r="X18" i="13"/>
  <c r="BH18" i="13"/>
  <c r="X23" i="13"/>
  <c r="BH23" i="13"/>
  <c r="X60" i="13"/>
  <c r="BH60" i="13"/>
  <c r="AZ7" i="13"/>
  <c r="M60" i="19"/>
  <c r="M37" i="19"/>
  <c r="M39" i="19"/>
  <c r="M59" i="19"/>
  <c r="M38" i="19"/>
  <c r="M40" i="19"/>
  <c r="X21" i="13"/>
  <c r="BH21" i="13"/>
  <c r="X19" i="13"/>
  <c r="BH19" i="13"/>
  <c r="X59" i="13"/>
  <c r="BH59" i="13"/>
  <c r="X25" i="13"/>
  <c r="BH25" i="13"/>
  <c r="X20" i="13"/>
  <c r="BH20" i="13"/>
  <c r="X62" i="13"/>
  <c r="BH62" i="13"/>
  <c r="AL71" i="13"/>
  <c r="AM71" i="13" s="1"/>
  <c r="AL66" i="13"/>
  <c r="AM66" i="13" s="1"/>
  <c r="AB54" i="13"/>
  <c r="AE72" i="13"/>
  <c r="I65" i="13"/>
  <c r="BD65" i="13" s="1"/>
  <c r="AL65" i="13"/>
  <c r="AM65" i="13" s="1"/>
  <c r="AN65" i="13" s="1"/>
  <c r="W65" i="13" s="1"/>
  <c r="I66" i="13"/>
  <c r="BD66" i="13" s="1"/>
  <c r="AG66" i="13"/>
  <c r="AE71" i="13"/>
  <c r="AI71" i="13"/>
  <c r="M71" i="13" s="1"/>
  <c r="AT71" i="13"/>
  <c r="AR71" i="13"/>
  <c r="H71" i="13"/>
  <c r="BC71" i="13" s="1"/>
  <c r="AC67" i="13"/>
  <c r="AI67" i="13"/>
  <c r="M67" i="13" s="1"/>
  <c r="AT67" i="13"/>
  <c r="AR67" i="13"/>
  <c r="AI72" i="13"/>
  <c r="M72" i="13" s="1"/>
  <c r="AT72" i="13"/>
  <c r="AR72" i="13"/>
  <c r="I67" i="13"/>
  <c r="BD67" i="13" s="1"/>
  <c r="H54" i="13"/>
  <c r="BC54" i="13" s="1"/>
  <c r="AI54" i="13"/>
  <c r="M54" i="13" s="1"/>
  <c r="AG65" i="13"/>
  <c r="AI65" i="13"/>
  <c r="M65" i="13" s="1"/>
  <c r="AT65" i="13"/>
  <c r="AR65" i="13"/>
  <c r="AG71" i="13"/>
  <c r="AB65" i="13"/>
  <c r="AB72" i="13"/>
  <c r="H65" i="13"/>
  <c r="BC65" i="13" s="1"/>
  <c r="AD67" i="13"/>
  <c r="AE66" i="13"/>
  <c r="AI66" i="13"/>
  <c r="M66" i="13" s="1"/>
  <c r="AT66" i="13"/>
  <c r="AR66" i="13"/>
  <c r="AG67" i="13"/>
  <c r="AC72" i="13"/>
  <c r="H66" i="13"/>
  <c r="BC66" i="13" s="1"/>
  <c r="I71" i="13"/>
  <c r="BD71" i="13" s="1"/>
  <c r="AL72" i="13"/>
  <c r="AM72" i="13" s="1"/>
  <c r="AE67" i="13"/>
  <c r="H72" i="13"/>
  <c r="BC72" i="13" s="1"/>
  <c r="AF67" i="13"/>
  <c r="AD72" i="13"/>
  <c r="H67" i="13"/>
  <c r="BC67" i="13" s="1"/>
  <c r="AL67" i="13"/>
  <c r="AM67" i="13" s="1"/>
  <c r="AC54" i="13"/>
  <c r="I54" i="13"/>
  <c r="BD54" i="13" s="1"/>
  <c r="AL54" i="13"/>
  <c r="AM54" i="13" s="1"/>
  <c r="AF54" i="13"/>
  <c r="AG54" i="13"/>
  <c r="AT54" i="13"/>
  <c r="AR54" i="13"/>
  <c r="AH65" i="13"/>
  <c r="L65" i="13" s="1"/>
  <c r="BF65" i="13" s="1"/>
  <c r="AF66" i="13"/>
  <c r="AF71" i="13"/>
  <c r="AH66" i="13"/>
  <c r="L66" i="13" s="1"/>
  <c r="BF66" i="13" s="1"/>
  <c r="AH71" i="13"/>
  <c r="L71" i="13" s="1"/>
  <c r="BF71" i="13" s="1"/>
  <c r="AC65" i="13"/>
  <c r="AD65" i="13"/>
  <c r="AB66" i="13"/>
  <c r="AH67" i="13"/>
  <c r="L67" i="13" s="1"/>
  <c r="BF67" i="13" s="1"/>
  <c r="AB71" i="13"/>
  <c r="AF72" i="13"/>
  <c r="AE65" i="13"/>
  <c r="AC66" i="13"/>
  <c r="AC71" i="13"/>
  <c r="AG72" i="13"/>
  <c r="AF65" i="13"/>
  <c r="AD66" i="13"/>
  <c r="AB67" i="13"/>
  <c r="AD71" i="13"/>
  <c r="AH72" i="13"/>
  <c r="L72" i="13" s="1"/>
  <c r="BF72" i="13" s="1"/>
  <c r="I42" i="59" l="1"/>
  <c r="I57" i="59"/>
  <c r="I57" i="58"/>
  <c r="I42" i="58"/>
  <c r="J40" i="34"/>
  <c r="I40" i="34"/>
  <c r="J37" i="34"/>
  <c r="I37" i="34"/>
  <c r="H46" i="34"/>
  <c r="I37" i="35"/>
  <c r="J37" i="35"/>
  <c r="H46" i="35"/>
  <c r="J59" i="34"/>
  <c r="I59" i="34"/>
  <c r="H61" i="34"/>
  <c r="I40" i="35"/>
  <c r="J40" i="35"/>
  <c r="K61" i="35"/>
  <c r="K46" i="34"/>
  <c r="J39" i="35"/>
  <c r="I39" i="35"/>
  <c r="J47" i="34"/>
  <c r="J54" i="34" s="1"/>
  <c r="I47" i="34"/>
  <c r="I54" i="34" s="1"/>
  <c r="H54" i="34"/>
  <c r="J60" i="35"/>
  <c r="I60" i="35"/>
  <c r="J39" i="34"/>
  <c r="I39" i="34"/>
  <c r="J38" i="35"/>
  <c r="I38" i="35"/>
  <c r="J38" i="34"/>
  <c r="I38" i="34"/>
  <c r="J59" i="35"/>
  <c r="I59" i="35"/>
  <c r="H61" i="35"/>
  <c r="J60" i="34"/>
  <c r="I60" i="34"/>
  <c r="K61" i="34"/>
  <c r="AO72" i="13"/>
  <c r="AS72" i="13"/>
  <c r="AV72" i="13" s="1"/>
  <c r="AN72" i="13"/>
  <c r="W72" i="13" s="1"/>
  <c r="U72" i="13"/>
  <c r="BG72" i="13" s="1"/>
  <c r="U66" i="13"/>
  <c r="BG66" i="13" s="1"/>
  <c r="AN66" i="13"/>
  <c r="W66" i="13" s="1"/>
  <c r="AO66" i="13"/>
  <c r="AS66" i="13"/>
  <c r="AV66" i="13" s="1"/>
  <c r="AS71" i="13"/>
  <c r="AV71" i="13" s="1"/>
  <c r="AN71" i="13"/>
  <c r="W71" i="13" s="1"/>
  <c r="AO71" i="13"/>
  <c r="U71" i="13"/>
  <c r="BG71" i="13" s="1"/>
  <c r="AN67" i="13"/>
  <c r="W67" i="13" s="1"/>
  <c r="U67" i="13"/>
  <c r="BG67" i="13" s="1"/>
  <c r="AS67" i="13"/>
  <c r="AV67" i="13" s="1"/>
  <c r="AO67" i="13"/>
  <c r="U65" i="13"/>
  <c r="BG65" i="13" s="1"/>
  <c r="AS65" i="13"/>
  <c r="AV65" i="13" s="1"/>
  <c r="AO65" i="13"/>
  <c r="AN54" i="13"/>
  <c r="W54" i="13" s="1"/>
  <c r="U54" i="13"/>
  <c r="BG54" i="13" s="1"/>
  <c r="AS54" i="13"/>
  <c r="AV54" i="13" s="1"/>
  <c r="I61" i="35" l="1"/>
  <c r="J61" i="35"/>
  <c r="I61" i="34"/>
  <c r="I46" i="34"/>
  <c r="J46" i="35"/>
  <c r="I46" i="35"/>
  <c r="J46" i="34"/>
  <c r="J61" i="34"/>
  <c r="X66" i="13"/>
  <c r="BH66" i="13"/>
  <c r="X65" i="13"/>
  <c r="BH65" i="13"/>
  <c r="X71" i="13"/>
  <c r="BH71" i="13"/>
  <c r="X67" i="13"/>
  <c r="BH67" i="13"/>
  <c r="X72" i="13"/>
  <c r="BH72" i="13"/>
  <c r="V36" i="13"/>
  <c r="V35" i="13"/>
  <c r="V34" i="13"/>
  <c r="V33" i="13"/>
  <c r="V32" i="13"/>
  <c r="V31" i="13"/>
  <c r="V30" i="13"/>
  <c r="V29" i="13"/>
  <c r="V28" i="13"/>
  <c r="V17" i="13"/>
  <c r="V16" i="13"/>
  <c r="V15" i="13"/>
  <c r="V14" i="13"/>
  <c r="V13" i="13"/>
  <c r="V12" i="13"/>
  <c r="V11" i="13"/>
  <c r="V10" i="13"/>
  <c r="V9" i="13"/>
  <c r="V8" i="13"/>
  <c r="AK36" i="13"/>
  <c r="AK35" i="13"/>
  <c r="AK34" i="13"/>
  <c r="AK33" i="13"/>
  <c r="AK32" i="13"/>
  <c r="AK31" i="13"/>
  <c r="AK30" i="13"/>
  <c r="AK29" i="13"/>
  <c r="AK28" i="13"/>
  <c r="AK17" i="13"/>
  <c r="AK16" i="13"/>
  <c r="AK15" i="13"/>
  <c r="AK14" i="13"/>
  <c r="AK13" i="13"/>
  <c r="AK12" i="13"/>
  <c r="AK11" i="13"/>
  <c r="AK10" i="13"/>
  <c r="AK9" i="13"/>
  <c r="AK8" i="13"/>
  <c r="AK7" i="13"/>
  <c r="S7" i="10"/>
  <c r="U7" i="10" s="1"/>
  <c r="AA36" i="13"/>
  <c r="Z36" i="13"/>
  <c r="AF36" i="13" s="1"/>
  <c r="AA35" i="13"/>
  <c r="Z35" i="13"/>
  <c r="H35" i="13" s="1"/>
  <c r="AA34" i="13"/>
  <c r="Z34" i="13"/>
  <c r="AL34" i="13" s="1"/>
  <c r="AA33" i="13"/>
  <c r="Z33" i="13"/>
  <c r="I33" i="13" s="1"/>
  <c r="BD33" i="13" s="1"/>
  <c r="AA32" i="13"/>
  <c r="Z32" i="13"/>
  <c r="AG32" i="13" s="1"/>
  <c r="AA31" i="13"/>
  <c r="Z31" i="13"/>
  <c r="AL31" i="13" s="1"/>
  <c r="AA30" i="13"/>
  <c r="Z30" i="13"/>
  <c r="H30" i="13" s="1"/>
  <c r="AA29" i="13"/>
  <c r="Z29" i="13"/>
  <c r="H29" i="13" s="1"/>
  <c r="AA28" i="13"/>
  <c r="Z28" i="13"/>
  <c r="AG28" i="13" s="1"/>
  <c r="AA17" i="13"/>
  <c r="Z17" i="13"/>
  <c r="AA16" i="13"/>
  <c r="Z16" i="13"/>
  <c r="AL16" i="13" s="1"/>
  <c r="AA15" i="13"/>
  <c r="Z15" i="13"/>
  <c r="AL15" i="13" s="1"/>
  <c r="AA14" i="13"/>
  <c r="Z14" i="13"/>
  <c r="AA13" i="13"/>
  <c r="Z13" i="13"/>
  <c r="AA12" i="13"/>
  <c r="Z12" i="13"/>
  <c r="I12" i="13" s="1"/>
  <c r="BD12" i="13" s="1"/>
  <c r="AA11" i="13"/>
  <c r="Z11" i="13"/>
  <c r="AA10" i="13"/>
  <c r="Z10" i="13"/>
  <c r="AA9" i="13"/>
  <c r="Z9" i="13"/>
  <c r="AA8" i="13"/>
  <c r="Z8" i="13"/>
  <c r="S44" i="32"/>
  <c r="S43" i="32"/>
  <c r="S42" i="32"/>
  <c r="S41" i="32"/>
  <c r="S40" i="32"/>
  <c r="S39" i="32"/>
  <c r="S38" i="32"/>
  <c r="S37" i="32"/>
  <c r="S36" i="32"/>
  <c r="S35" i="32"/>
  <c r="S34" i="32"/>
  <c r="S33" i="32"/>
  <c r="S32" i="32"/>
  <c r="S31" i="32"/>
  <c r="S30" i="32"/>
  <c r="S29" i="32"/>
  <c r="S28" i="32"/>
  <c r="S27" i="32"/>
  <c r="S26" i="32"/>
  <c r="S25" i="32"/>
  <c r="S24" i="32"/>
  <c r="S23" i="32"/>
  <c r="S22" i="32"/>
  <c r="S21" i="32"/>
  <c r="S20" i="32"/>
  <c r="S19" i="32"/>
  <c r="S18" i="32"/>
  <c r="S17" i="32"/>
  <c r="S16" i="32"/>
  <c r="S15" i="32"/>
  <c r="S14" i="32"/>
  <c r="S13" i="32"/>
  <c r="S12" i="32"/>
  <c r="S11" i="32"/>
  <c r="S10" i="32"/>
  <c r="S9" i="32"/>
  <c r="S8"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E8" i="32"/>
  <c r="T7" i="32"/>
  <c r="T44" i="32" s="1"/>
  <c r="T3" i="32"/>
  <c r="T4" i="32" s="1"/>
  <c r="AA29" i="30"/>
  <c r="AA28" i="30"/>
  <c r="AA27" i="30"/>
  <c r="AA26" i="30"/>
  <c r="AA25" i="30"/>
  <c r="AA24" i="30"/>
  <c r="AA23" i="30"/>
  <c r="AA22" i="30"/>
  <c r="AA21" i="30"/>
  <c r="AA20" i="30"/>
  <c r="AA19" i="30"/>
  <c r="AA18" i="30"/>
  <c r="AA17" i="30"/>
  <c r="AA16" i="30"/>
  <c r="AA15" i="30"/>
  <c r="AA14" i="30"/>
  <c r="AA13" i="30"/>
  <c r="AA12" i="30"/>
  <c r="AA11" i="30"/>
  <c r="AA10" i="30"/>
  <c r="AA9" i="30"/>
  <c r="AA8" i="30"/>
  <c r="O8" i="30"/>
  <c r="O27" i="30"/>
  <c r="O26" i="30"/>
  <c r="O25" i="30"/>
  <c r="O24" i="30"/>
  <c r="O23" i="30"/>
  <c r="O22" i="30"/>
  <c r="O21" i="30"/>
  <c r="O20" i="30"/>
  <c r="O19" i="30"/>
  <c r="O18" i="30"/>
  <c r="O17" i="30"/>
  <c r="O16" i="30"/>
  <c r="O15" i="30"/>
  <c r="O14" i="30"/>
  <c r="O13" i="30"/>
  <c r="O12" i="30"/>
  <c r="O11" i="30"/>
  <c r="O10" i="30"/>
  <c r="O9" i="30"/>
  <c r="D8" i="30"/>
  <c r="AB7" i="30"/>
  <c r="AB27" i="30" s="1"/>
  <c r="AB3" i="30"/>
  <c r="AB4" i="30" s="1"/>
  <c r="P7" i="30"/>
  <c r="P28" i="30" s="1"/>
  <c r="P3" i="30"/>
  <c r="P4" i="30" s="1"/>
  <c r="S3" i="31"/>
  <c r="S5" i="31" s="1"/>
  <c r="R1092" i="31"/>
  <c r="R1091" i="31"/>
  <c r="R1090" i="31"/>
  <c r="R1089" i="31"/>
  <c r="R1088" i="31"/>
  <c r="R1087" i="31"/>
  <c r="R1086" i="31"/>
  <c r="R1085" i="31"/>
  <c r="R1084" i="31"/>
  <c r="R1083" i="31"/>
  <c r="R1082" i="31"/>
  <c r="R1081" i="31"/>
  <c r="R1080" i="31"/>
  <c r="R1079" i="31"/>
  <c r="R1078" i="31"/>
  <c r="R1077" i="31"/>
  <c r="R1076" i="31"/>
  <c r="R1075" i="31"/>
  <c r="R1074" i="31"/>
  <c r="R1073" i="31"/>
  <c r="R1072" i="31"/>
  <c r="R1071" i="31"/>
  <c r="R1070" i="31"/>
  <c r="R1069" i="31"/>
  <c r="R1068" i="31"/>
  <c r="R1067" i="31"/>
  <c r="R1066" i="31"/>
  <c r="R1065" i="31"/>
  <c r="R1064" i="31"/>
  <c r="R1063" i="31"/>
  <c r="R1062" i="31"/>
  <c r="R1061" i="31"/>
  <c r="R1060" i="31"/>
  <c r="R1059" i="31"/>
  <c r="R1058" i="31"/>
  <c r="R1057" i="31"/>
  <c r="R1056" i="31"/>
  <c r="R1055" i="31"/>
  <c r="R1054" i="31"/>
  <c r="R1053" i="31"/>
  <c r="R1052" i="31"/>
  <c r="R1051" i="31"/>
  <c r="R1050" i="31"/>
  <c r="R1049" i="31"/>
  <c r="R1048" i="31"/>
  <c r="R1047" i="31"/>
  <c r="R1046" i="31"/>
  <c r="R1045" i="31"/>
  <c r="R1044" i="31"/>
  <c r="R1043" i="31"/>
  <c r="R1042" i="31"/>
  <c r="R1041" i="31"/>
  <c r="R1040" i="31"/>
  <c r="R1039" i="31"/>
  <c r="R1038" i="31"/>
  <c r="R1037" i="31"/>
  <c r="R1036" i="31"/>
  <c r="R1035" i="31"/>
  <c r="R1034" i="31"/>
  <c r="R1033" i="31"/>
  <c r="R1032" i="31"/>
  <c r="R1031" i="31"/>
  <c r="R1030" i="31"/>
  <c r="R1029" i="31"/>
  <c r="R1028" i="31"/>
  <c r="R1027" i="31"/>
  <c r="R1026" i="31"/>
  <c r="R1025" i="31"/>
  <c r="R1024" i="31"/>
  <c r="R1023" i="31"/>
  <c r="R1022" i="31"/>
  <c r="R1021" i="31"/>
  <c r="R1020" i="31"/>
  <c r="R1019" i="31"/>
  <c r="R1018" i="31"/>
  <c r="R1017" i="31"/>
  <c r="R1016" i="31"/>
  <c r="R1015" i="31"/>
  <c r="R1014" i="31"/>
  <c r="R1013" i="31"/>
  <c r="R1012" i="31"/>
  <c r="R1011" i="31"/>
  <c r="R1010" i="31"/>
  <c r="R1009" i="31"/>
  <c r="R1008" i="31"/>
  <c r="R1007" i="31"/>
  <c r="R1006" i="31"/>
  <c r="R1005" i="31"/>
  <c r="R1004" i="31"/>
  <c r="R1003" i="31"/>
  <c r="R1002" i="31"/>
  <c r="R1001" i="31"/>
  <c r="R1000" i="31"/>
  <c r="R999" i="31"/>
  <c r="R998" i="31"/>
  <c r="R997" i="31"/>
  <c r="R996" i="31"/>
  <c r="R995" i="31"/>
  <c r="R994" i="31"/>
  <c r="R993" i="31"/>
  <c r="R992" i="31"/>
  <c r="R991" i="31"/>
  <c r="R990" i="31"/>
  <c r="R989" i="31"/>
  <c r="R988" i="31"/>
  <c r="R987" i="31"/>
  <c r="R986" i="31"/>
  <c r="R985" i="31"/>
  <c r="R984" i="31"/>
  <c r="R983" i="31"/>
  <c r="R982" i="31"/>
  <c r="R981" i="31"/>
  <c r="R980" i="31"/>
  <c r="R979" i="31"/>
  <c r="R978" i="31"/>
  <c r="R977" i="31"/>
  <c r="R976" i="31"/>
  <c r="R975" i="31"/>
  <c r="R974" i="31"/>
  <c r="R973" i="31"/>
  <c r="R972" i="31"/>
  <c r="R971" i="31"/>
  <c r="R970" i="31"/>
  <c r="R969" i="31"/>
  <c r="R968" i="31"/>
  <c r="R967" i="31"/>
  <c r="R966" i="31"/>
  <c r="R965" i="31"/>
  <c r="R964" i="31"/>
  <c r="R963" i="31"/>
  <c r="R962" i="31"/>
  <c r="R961" i="31"/>
  <c r="R960" i="31"/>
  <c r="R959" i="31"/>
  <c r="R958" i="31"/>
  <c r="R957" i="31"/>
  <c r="R956" i="31"/>
  <c r="R955" i="31"/>
  <c r="R954" i="31"/>
  <c r="R953" i="31"/>
  <c r="R952" i="31"/>
  <c r="R951" i="31"/>
  <c r="R950" i="31"/>
  <c r="R949" i="31"/>
  <c r="R948" i="31"/>
  <c r="R947" i="31"/>
  <c r="R946" i="31"/>
  <c r="R945" i="31"/>
  <c r="R944" i="31"/>
  <c r="R943" i="31"/>
  <c r="R942" i="31"/>
  <c r="R941" i="31"/>
  <c r="R940" i="31"/>
  <c r="R939" i="31"/>
  <c r="R938" i="31"/>
  <c r="R937" i="31"/>
  <c r="R936" i="31"/>
  <c r="R935" i="31"/>
  <c r="R934" i="31"/>
  <c r="R933" i="31"/>
  <c r="R932" i="31"/>
  <c r="R931" i="31"/>
  <c r="R930" i="31"/>
  <c r="R929" i="31"/>
  <c r="R928" i="31"/>
  <c r="R927" i="31"/>
  <c r="R926" i="31"/>
  <c r="R925" i="31"/>
  <c r="R924" i="31"/>
  <c r="R923" i="31"/>
  <c r="R922" i="31"/>
  <c r="R921" i="31"/>
  <c r="R920" i="31"/>
  <c r="R919" i="31"/>
  <c r="R918" i="31"/>
  <c r="R917" i="31"/>
  <c r="R916" i="31"/>
  <c r="R915" i="31"/>
  <c r="R914" i="31"/>
  <c r="R913" i="31"/>
  <c r="R912" i="31"/>
  <c r="R911" i="31"/>
  <c r="R910" i="31"/>
  <c r="R909" i="31"/>
  <c r="R908" i="31"/>
  <c r="R907" i="31"/>
  <c r="R906" i="31"/>
  <c r="R905" i="31"/>
  <c r="R904" i="31"/>
  <c r="R903" i="31"/>
  <c r="R902" i="31"/>
  <c r="R901" i="31"/>
  <c r="R900" i="31"/>
  <c r="R899" i="31"/>
  <c r="R898" i="31"/>
  <c r="R897" i="31"/>
  <c r="R896" i="31"/>
  <c r="R895" i="31"/>
  <c r="R894" i="31"/>
  <c r="R893" i="31"/>
  <c r="R892" i="31"/>
  <c r="R891" i="31"/>
  <c r="R890" i="31"/>
  <c r="R889" i="31"/>
  <c r="R888" i="31"/>
  <c r="R887" i="31"/>
  <c r="R886" i="31"/>
  <c r="R885" i="31"/>
  <c r="R884" i="31"/>
  <c r="R883" i="31"/>
  <c r="R882" i="31"/>
  <c r="R881" i="31"/>
  <c r="R880" i="31"/>
  <c r="R879" i="31"/>
  <c r="R878" i="31"/>
  <c r="R877" i="31"/>
  <c r="R876" i="31"/>
  <c r="R875" i="31"/>
  <c r="R874" i="31"/>
  <c r="R873" i="31"/>
  <c r="R872" i="31"/>
  <c r="R871" i="31"/>
  <c r="R870" i="31"/>
  <c r="R869" i="31"/>
  <c r="R868" i="31"/>
  <c r="R867" i="31"/>
  <c r="R866" i="31"/>
  <c r="R865" i="31"/>
  <c r="R864" i="31"/>
  <c r="R863" i="31"/>
  <c r="R862" i="31"/>
  <c r="R861" i="31"/>
  <c r="R860" i="31"/>
  <c r="R859" i="31"/>
  <c r="R858" i="31"/>
  <c r="R857" i="31"/>
  <c r="R856" i="31"/>
  <c r="R855" i="31"/>
  <c r="R854" i="31"/>
  <c r="R853" i="31"/>
  <c r="R852" i="31"/>
  <c r="R851" i="31"/>
  <c r="R850" i="31"/>
  <c r="R849" i="31"/>
  <c r="R848" i="31"/>
  <c r="R847" i="31"/>
  <c r="R846" i="31"/>
  <c r="R845" i="31"/>
  <c r="R844" i="31"/>
  <c r="R843" i="31"/>
  <c r="R842" i="31"/>
  <c r="R841" i="31"/>
  <c r="R840" i="31"/>
  <c r="R839" i="31"/>
  <c r="R838" i="31"/>
  <c r="R837" i="31"/>
  <c r="R836" i="31"/>
  <c r="R835" i="31"/>
  <c r="R834" i="31"/>
  <c r="R833" i="31"/>
  <c r="R832" i="31"/>
  <c r="R831" i="31"/>
  <c r="R830" i="31"/>
  <c r="R829" i="31"/>
  <c r="R828" i="31"/>
  <c r="R827" i="31"/>
  <c r="R826" i="31"/>
  <c r="R825" i="31"/>
  <c r="R824" i="31"/>
  <c r="R823" i="31"/>
  <c r="R822" i="31"/>
  <c r="R821" i="31"/>
  <c r="R820" i="31"/>
  <c r="R819" i="31"/>
  <c r="R818" i="31"/>
  <c r="R817" i="31"/>
  <c r="R816" i="31"/>
  <c r="R815" i="31"/>
  <c r="R814" i="31"/>
  <c r="R813" i="31"/>
  <c r="R812" i="31"/>
  <c r="R811" i="31"/>
  <c r="R810" i="31"/>
  <c r="R809" i="31"/>
  <c r="R808" i="31"/>
  <c r="R807" i="31"/>
  <c r="R806" i="31"/>
  <c r="R805" i="31"/>
  <c r="R804" i="31"/>
  <c r="R803" i="31"/>
  <c r="R802" i="31"/>
  <c r="R801" i="31"/>
  <c r="R800" i="31"/>
  <c r="R799" i="31"/>
  <c r="R798" i="31"/>
  <c r="R797" i="31"/>
  <c r="R796" i="31"/>
  <c r="R795" i="31"/>
  <c r="R794" i="31"/>
  <c r="R793" i="31"/>
  <c r="R792" i="31"/>
  <c r="R791" i="31"/>
  <c r="R790" i="31"/>
  <c r="R789" i="31"/>
  <c r="R788" i="31"/>
  <c r="R787" i="31"/>
  <c r="R786" i="31"/>
  <c r="R785" i="31"/>
  <c r="R784" i="31"/>
  <c r="R783" i="31"/>
  <c r="R782" i="31"/>
  <c r="R781" i="31"/>
  <c r="R780" i="31"/>
  <c r="R779" i="31"/>
  <c r="R778" i="31"/>
  <c r="R777" i="31"/>
  <c r="R776" i="31"/>
  <c r="R775" i="31"/>
  <c r="R774" i="31"/>
  <c r="R773" i="31"/>
  <c r="R772" i="31"/>
  <c r="R771" i="31"/>
  <c r="R770" i="31"/>
  <c r="R769" i="31"/>
  <c r="R768" i="31"/>
  <c r="R767" i="31"/>
  <c r="R766" i="31"/>
  <c r="R765" i="31"/>
  <c r="R764" i="31"/>
  <c r="R763" i="31"/>
  <c r="R762" i="31"/>
  <c r="R761" i="31"/>
  <c r="R760" i="31"/>
  <c r="R759" i="31"/>
  <c r="R758" i="31"/>
  <c r="R757" i="31"/>
  <c r="R756" i="31"/>
  <c r="R755" i="31"/>
  <c r="R754" i="31"/>
  <c r="R753" i="31"/>
  <c r="R752" i="31"/>
  <c r="R751" i="31"/>
  <c r="R750" i="31"/>
  <c r="R749" i="31"/>
  <c r="R748" i="31"/>
  <c r="R747" i="31"/>
  <c r="R746" i="31"/>
  <c r="R745" i="31"/>
  <c r="R744" i="31"/>
  <c r="R743" i="31"/>
  <c r="R742" i="31"/>
  <c r="R741" i="31"/>
  <c r="R740" i="31"/>
  <c r="R739" i="31"/>
  <c r="R738" i="31"/>
  <c r="R737" i="31"/>
  <c r="R736" i="31"/>
  <c r="R735" i="31"/>
  <c r="R734" i="31"/>
  <c r="R733" i="31"/>
  <c r="R732" i="31"/>
  <c r="R731" i="31"/>
  <c r="R730" i="31"/>
  <c r="R729" i="31"/>
  <c r="R728" i="31"/>
  <c r="R727" i="31"/>
  <c r="R726" i="31"/>
  <c r="R725" i="31"/>
  <c r="R724" i="31"/>
  <c r="R723" i="31"/>
  <c r="R722" i="31"/>
  <c r="R721" i="31"/>
  <c r="R720" i="31"/>
  <c r="R719" i="31"/>
  <c r="R718" i="31"/>
  <c r="R717" i="31"/>
  <c r="R716" i="31"/>
  <c r="R715" i="31"/>
  <c r="R714" i="31"/>
  <c r="R713" i="31"/>
  <c r="R712" i="31"/>
  <c r="R711" i="31"/>
  <c r="R710" i="31"/>
  <c r="R709" i="31"/>
  <c r="R708" i="31"/>
  <c r="R707" i="31"/>
  <c r="R706" i="31"/>
  <c r="R705" i="31"/>
  <c r="R704" i="31"/>
  <c r="R703" i="31"/>
  <c r="R702" i="31"/>
  <c r="R701" i="31"/>
  <c r="R700" i="31"/>
  <c r="R699" i="31"/>
  <c r="R698" i="31"/>
  <c r="R697" i="31"/>
  <c r="R696" i="31"/>
  <c r="R695" i="31"/>
  <c r="R694" i="31"/>
  <c r="R693" i="31"/>
  <c r="R692" i="31"/>
  <c r="R691" i="31"/>
  <c r="R690" i="31"/>
  <c r="R689" i="31"/>
  <c r="R688" i="31"/>
  <c r="R687" i="31"/>
  <c r="R686" i="31"/>
  <c r="R685" i="31"/>
  <c r="R684" i="31"/>
  <c r="R683" i="31"/>
  <c r="R682" i="31"/>
  <c r="R681" i="31"/>
  <c r="R680" i="31"/>
  <c r="R679" i="31"/>
  <c r="R678" i="31"/>
  <c r="R677" i="31"/>
  <c r="R676" i="31"/>
  <c r="R675" i="31"/>
  <c r="R674" i="31"/>
  <c r="R673" i="31"/>
  <c r="R672" i="31"/>
  <c r="R671" i="31"/>
  <c r="R670" i="31"/>
  <c r="R669" i="31"/>
  <c r="R668" i="31"/>
  <c r="R667" i="31"/>
  <c r="R666" i="31"/>
  <c r="R665" i="31"/>
  <c r="R664" i="31"/>
  <c r="R663" i="31"/>
  <c r="R662" i="31"/>
  <c r="R661" i="31"/>
  <c r="R660" i="31"/>
  <c r="R659" i="31"/>
  <c r="R658" i="31"/>
  <c r="R657" i="31"/>
  <c r="R656" i="31"/>
  <c r="R655" i="31"/>
  <c r="R654" i="31"/>
  <c r="R653" i="31"/>
  <c r="R652" i="31"/>
  <c r="R651" i="31"/>
  <c r="R650" i="31"/>
  <c r="R649" i="31"/>
  <c r="R648" i="31"/>
  <c r="R647" i="31"/>
  <c r="R646" i="31"/>
  <c r="R645" i="31"/>
  <c r="R644" i="31"/>
  <c r="R643" i="31"/>
  <c r="R642" i="31"/>
  <c r="R641" i="31"/>
  <c r="R640" i="31"/>
  <c r="R639" i="31"/>
  <c r="R638" i="31"/>
  <c r="R637" i="31"/>
  <c r="R636" i="31"/>
  <c r="R635" i="31"/>
  <c r="R634" i="31"/>
  <c r="R633" i="31"/>
  <c r="R632" i="31"/>
  <c r="R631" i="31"/>
  <c r="R630" i="31"/>
  <c r="R629" i="31"/>
  <c r="R628" i="31"/>
  <c r="R627" i="31"/>
  <c r="R626" i="31"/>
  <c r="R625" i="31"/>
  <c r="R624" i="31"/>
  <c r="R623" i="31"/>
  <c r="R622" i="31"/>
  <c r="R621" i="31"/>
  <c r="R620" i="31"/>
  <c r="R619" i="31"/>
  <c r="R618" i="31"/>
  <c r="R617" i="31"/>
  <c r="R616" i="31"/>
  <c r="R615" i="31"/>
  <c r="R614" i="31"/>
  <c r="R613" i="31"/>
  <c r="R612" i="31"/>
  <c r="R611" i="31"/>
  <c r="R610" i="31"/>
  <c r="R609" i="31"/>
  <c r="R608" i="31"/>
  <c r="R607" i="31"/>
  <c r="R606" i="31"/>
  <c r="R605" i="31"/>
  <c r="R604" i="31"/>
  <c r="R603" i="31"/>
  <c r="R602" i="31"/>
  <c r="R601" i="31"/>
  <c r="R600" i="31"/>
  <c r="R599" i="31"/>
  <c r="R598" i="31"/>
  <c r="R597" i="31"/>
  <c r="R596" i="31"/>
  <c r="R595" i="31"/>
  <c r="R594" i="31"/>
  <c r="R593" i="31"/>
  <c r="R592" i="31"/>
  <c r="R591" i="31"/>
  <c r="R590" i="31"/>
  <c r="R589" i="31"/>
  <c r="R588" i="31"/>
  <c r="R587" i="31"/>
  <c r="R586" i="31"/>
  <c r="R585" i="31"/>
  <c r="R584" i="31"/>
  <c r="R583" i="31"/>
  <c r="R582" i="31"/>
  <c r="R581" i="31"/>
  <c r="R580" i="31"/>
  <c r="R579" i="31"/>
  <c r="R578" i="31"/>
  <c r="R577" i="31"/>
  <c r="R576" i="31"/>
  <c r="R575" i="31"/>
  <c r="R574" i="31"/>
  <c r="R573" i="31"/>
  <c r="R572" i="31"/>
  <c r="R571" i="31"/>
  <c r="R570" i="31"/>
  <c r="R569" i="31"/>
  <c r="R568" i="31"/>
  <c r="R567" i="31"/>
  <c r="R566" i="31"/>
  <c r="R565" i="31"/>
  <c r="R564" i="31"/>
  <c r="R563" i="31"/>
  <c r="R562" i="31"/>
  <c r="R561" i="31"/>
  <c r="R560" i="31"/>
  <c r="R559" i="31"/>
  <c r="R558" i="31"/>
  <c r="R557" i="31"/>
  <c r="R556" i="31"/>
  <c r="R555" i="31"/>
  <c r="R554" i="31"/>
  <c r="R553" i="31"/>
  <c r="R552" i="31"/>
  <c r="R551" i="31"/>
  <c r="R550" i="31"/>
  <c r="R549" i="31"/>
  <c r="R548" i="31"/>
  <c r="R547" i="31"/>
  <c r="R546" i="31"/>
  <c r="R545" i="31"/>
  <c r="R544" i="31"/>
  <c r="R543" i="31"/>
  <c r="R542" i="31"/>
  <c r="R541" i="31"/>
  <c r="R540" i="31"/>
  <c r="R539" i="31"/>
  <c r="R538" i="31"/>
  <c r="R537" i="31"/>
  <c r="R536" i="31"/>
  <c r="R535" i="31"/>
  <c r="R534" i="31"/>
  <c r="R533" i="31"/>
  <c r="R532" i="31"/>
  <c r="R531" i="31"/>
  <c r="R530" i="31"/>
  <c r="R529" i="31"/>
  <c r="R528" i="31"/>
  <c r="R527" i="31"/>
  <c r="R526" i="31"/>
  <c r="R525" i="31"/>
  <c r="R524" i="31"/>
  <c r="R523" i="31"/>
  <c r="R522" i="31"/>
  <c r="R521" i="31"/>
  <c r="R520" i="31"/>
  <c r="R519" i="31"/>
  <c r="R518" i="31"/>
  <c r="R517" i="31"/>
  <c r="R516" i="31"/>
  <c r="R515" i="31"/>
  <c r="R514" i="31"/>
  <c r="R513" i="31"/>
  <c r="R512" i="31"/>
  <c r="R511" i="31"/>
  <c r="R510" i="31"/>
  <c r="R509" i="31"/>
  <c r="R508" i="31"/>
  <c r="R507" i="31"/>
  <c r="R506" i="31"/>
  <c r="R505" i="31"/>
  <c r="R504" i="31"/>
  <c r="R503" i="31"/>
  <c r="R502" i="31"/>
  <c r="R501" i="31"/>
  <c r="R500" i="31"/>
  <c r="R499" i="31"/>
  <c r="R498" i="31"/>
  <c r="R497" i="31"/>
  <c r="R496" i="31"/>
  <c r="R495" i="31"/>
  <c r="R494" i="31"/>
  <c r="R493" i="31"/>
  <c r="R492" i="31"/>
  <c r="R491" i="31"/>
  <c r="R490" i="31"/>
  <c r="R489" i="31"/>
  <c r="R488" i="31"/>
  <c r="R487" i="31"/>
  <c r="R486" i="31"/>
  <c r="R485" i="31"/>
  <c r="R484" i="31"/>
  <c r="R483" i="31"/>
  <c r="R482" i="31"/>
  <c r="R481" i="31"/>
  <c r="R480" i="31"/>
  <c r="R479" i="31"/>
  <c r="R478" i="31"/>
  <c r="R477" i="31"/>
  <c r="R476" i="31"/>
  <c r="R475" i="31"/>
  <c r="R474" i="31"/>
  <c r="R473" i="31"/>
  <c r="R472" i="31"/>
  <c r="R471" i="31"/>
  <c r="R470" i="31"/>
  <c r="R469" i="31"/>
  <c r="R468" i="31"/>
  <c r="R467" i="31"/>
  <c r="R466" i="31"/>
  <c r="R465" i="31"/>
  <c r="R464" i="31"/>
  <c r="R463" i="31"/>
  <c r="R462" i="31"/>
  <c r="R461" i="31"/>
  <c r="R460" i="31"/>
  <c r="R459" i="31"/>
  <c r="R458" i="31"/>
  <c r="R457" i="31"/>
  <c r="R456" i="31"/>
  <c r="R455" i="31"/>
  <c r="R454" i="31"/>
  <c r="R453" i="31"/>
  <c r="R452" i="31"/>
  <c r="R451" i="31"/>
  <c r="R450" i="31"/>
  <c r="R449" i="31"/>
  <c r="R448" i="31"/>
  <c r="R447" i="31"/>
  <c r="R446" i="31"/>
  <c r="R445" i="31"/>
  <c r="R444" i="31"/>
  <c r="R443" i="31"/>
  <c r="R442" i="31"/>
  <c r="R441" i="31"/>
  <c r="R440" i="31"/>
  <c r="R439" i="31"/>
  <c r="R438" i="31"/>
  <c r="R437" i="31"/>
  <c r="R436" i="31"/>
  <c r="R435" i="31"/>
  <c r="R434" i="31"/>
  <c r="R433" i="31"/>
  <c r="R432" i="31"/>
  <c r="R431" i="31"/>
  <c r="R430" i="31"/>
  <c r="R429" i="31"/>
  <c r="R428" i="31"/>
  <c r="R427" i="31"/>
  <c r="R426" i="31"/>
  <c r="R425" i="31"/>
  <c r="R424" i="31"/>
  <c r="R423" i="31"/>
  <c r="R422" i="31"/>
  <c r="R421" i="31"/>
  <c r="R420" i="31"/>
  <c r="R419" i="31"/>
  <c r="R418" i="31"/>
  <c r="R417" i="31"/>
  <c r="R416" i="31"/>
  <c r="R415" i="31"/>
  <c r="R414" i="31"/>
  <c r="R413" i="31"/>
  <c r="R412" i="31"/>
  <c r="R411" i="31"/>
  <c r="R410" i="31"/>
  <c r="R409" i="31"/>
  <c r="R408" i="31"/>
  <c r="R407" i="31"/>
  <c r="R406" i="31"/>
  <c r="R405" i="31"/>
  <c r="R404" i="31"/>
  <c r="R403" i="31"/>
  <c r="R402" i="31"/>
  <c r="R401" i="31"/>
  <c r="R400" i="31"/>
  <c r="R399" i="31"/>
  <c r="R398" i="31"/>
  <c r="R397" i="31"/>
  <c r="R396" i="31"/>
  <c r="R395" i="31"/>
  <c r="R394" i="31"/>
  <c r="R393" i="31"/>
  <c r="R392" i="31"/>
  <c r="R391" i="31"/>
  <c r="R390" i="31"/>
  <c r="R389" i="31"/>
  <c r="R388" i="31"/>
  <c r="R387" i="31"/>
  <c r="R386" i="31"/>
  <c r="R385" i="31"/>
  <c r="R384" i="31"/>
  <c r="R383" i="31"/>
  <c r="R382" i="31"/>
  <c r="R381" i="31"/>
  <c r="R380" i="31"/>
  <c r="R379" i="31"/>
  <c r="R378" i="31"/>
  <c r="R377" i="31"/>
  <c r="R376" i="31"/>
  <c r="R375" i="31"/>
  <c r="R374" i="31"/>
  <c r="R373" i="31"/>
  <c r="R372" i="31"/>
  <c r="R371" i="31"/>
  <c r="R370" i="31"/>
  <c r="R369" i="31"/>
  <c r="R368" i="31"/>
  <c r="R367" i="31"/>
  <c r="R366" i="31"/>
  <c r="R365" i="31"/>
  <c r="R364" i="31"/>
  <c r="R363" i="31"/>
  <c r="R362" i="31"/>
  <c r="R361" i="31"/>
  <c r="R360" i="31"/>
  <c r="R359" i="31"/>
  <c r="R358" i="31"/>
  <c r="R357" i="31"/>
  <c r="R356" i="31"/>
  <c r="R355" i="31"/>
  <c r="R354" i="31"/>
  <c r="R353" i="31"/>
  <c r="R352" i="31"/>
  <c r="R351" i="31"/>
  <c r="R350" i="31"/>
  <c r="R349" i="31"/>
  <c r="R348" i="31"/>
  <c r="R347" i="31"/>
  <c r="R346" i="31"/>
  <c r="R345" i="31"/>
  <c r="R344" i="31"/>
  <c r="R343" i="31"/>
  <c r="R342" i="31"/>
  <c r="R341" i="31"/>
  <c r="R340" i="31"/>
  <c r="R339" i="31"/>
  <c r="R338" i="31"/>
  <c r="R337" i="31"/>
  <c r="R336" i="31"/>
  <c r="R335" i="31"/>
  <c r="R334" i="31"/>
  <c r="R333" i="31"/>
  <c r="R332" i="31"/>
  <c r="R331" i="31"/>
  <c r="R330" i="31"/>
  <c r="R329" i="31"/>
  <c r="R328" i="31"/>
  <c r="R327" i="31"/>
  <c r="R326" i="31"/>
  <c r="R325" i="31"/>
  <c r="R324" i="31"/>
  <c r="R323" i="31"/>
  <c r="R322" i="31"/>
  <c r="R321" i="31"/>
  <c r="R320" i="31"/>
  <c r="R319" i="31"/>
  <c r="R318" i="31"/>
  <c r="R317" i="31"/>
  <c r="R316" i="31"/>
  <c r="R315" i="31"/>
  <c r="R314" i="31"/>
  <c r="R313" i="31"/>
  <c r="R312" i="31"/>
  <c r="R311" i="31"/>
  <c r="R310" i="31"/>
  <c r="R309" i="31"/>
  <c r="R308" i="31"/>
  <c r="R307" i="31"/>
  <c r="R306" i="31"/>
  <c r="R305" i="31"/>
  <c r="R304" i="31"/>
  <c r="R303" i="31"/>
  <c r="R302" i="31"/>
  <c r="R301" i="31"/>
  <c r="R300" i="31"/>
  <c r="R299" i="31"/>
  <c r="R298" i="31"/>
  <c r="R297" i="31"/>
  <c r="R296" i="31"/>
  <c r="R295" i="31"/>
  <c r="R294" i="31"/>
  <c r="R293" i="31"/>
  <c r="R292" i="31"/>
  <c r="R291" i="31"/>
  <c r="R290" i="31"/>
  <c r="R289" i="31"/>
  <c r="R288" i="31"/>
  <c r="R287" i="31"/>
  <c r="R286" i="31"/>
  <c r="R285" i="31"/>
  <c r="R284" i="31"/>
  <c r="R283" i="31"/>
  <c r="R282" i="31"/>
  <c r="R281" i="31"/>
  <c r="R280" i="31"/>
  <c r="R279" i="31"/>
  <c r="R278" i="31"/>
  <c r="R277" i="31"/>
  <c r="R276" i="31"/>
  <c r="R275" i="31"/>
  <c r="R274" i="31"/>
  <c r="R273" i="31"/>
  <c r="R272" i="31"/>
  <c r="R271" i="31"/>
  <c r="R270" i="31"/>
  <c r="R269" i="31"/>
  <c r="R268" i="31"/>
  <c r="R267" i="31"/>
  <c r="R266" i="31"/>
  <c r="R265" i="31"/>
  <c r="R264" i="31"/>
  <c r="R263" i="31"/>
  <c r="R262" i="31"/>
  <c r="R261" i="31"/>
  <c r="R260" i="31"/>
  <c r="R259" i="31"/>
  <c r="R258" i="31"/>
  <c r="R257" i="31"/>
  <c r="R256" i="31"/>
  <c r="R255" i="31"/>
  <c r="R254" i="31"/>
  <c r="R253" i="31"/>
  <c r="R252" i="31"/>
  <c r="R251" i="31"/>
  <c r="R250" i="31"/>
  <c r="R249" i="31"/>
  <c r="R248" i="31"/>
  <c r="R247" i="31"/>
  <c r="R246" i="31"/>
  <c r="R245" i="31"/>
  <c r="R244" i="31"/>
  <c r="R243" i="31"/>
  <c r="R242" i="31"/>
  <c r="R241" i="31"/>
  <c r="R240" i="31"/>
  <c r="R239" i="31"/>
  <c r="R238" i="31"/>
  <c r="R237" i="31"/>
  <c r="R236" i="31"/>
  <c r="R235" i="31"/>
  <c r="R234" i="31"/>
  <c r="R233" i="31"/>
  <c r="R232" i="31"/>
  <c r="R231" i="31"/>
  <c r="R230" i="31"/>
  <c r="R229" i="31"/>
  <c r="R228" i="31"/>
  <c r="R227" i="31"/>
  <c r="R226" i="31"/>
  <c r="R225" i="31"/>
  <c r="R224" i="31"/>
  <c r="R223" i="31"/>
  <c r="R222" i="31"/>
  <c r="R221" i="31"/>
  <c r="R220" i="31"/>
  <c r="R219" i="31"/>
  <c r="R218" i="31"/>
  <c r="R217" i="31"/>
  <c r="R216" i="31"/>
  <c r="R215" i="31"/>
  <c r="R214" i="31"/>
  <c r="R213" i="31"/>
  <c r="R212" i="31"/>
  <c r="R211" i="31"/>
  <c r="R210" i="31"/>
  <c r="R209" i="31"/>
  <c r="R208" i="31"/>
  <c r="R207" i="31"/>
  <c r="R206" i="31"/>
  <c r="R205" i="31"/>
  <c r="R204" i="31"/>
  <c r="R203" i="31"/>
  <c r="R202" i="31"/>
  <c r="R201" i="31"/>
  <c r="R200" i="31"/>
  <c r="R199" i="31"/>
  <c r="R198" i="31"/>
  <c r="R197" i="31"/>
  <c r="R196" i="31"/>
  <c r="R195" i="31"/>
  <c r="R194" i="31"/>
  <c r="R193" i="31"/>
  <c r="R192" i="31"/>
  <c r="R191" i="31"/>
  <c r="R190" i="31"/>
  <c r="R189" i="31"/>
  <c r="R188" i="31"/>
  <c r="R187" i="31"/>
  <c r="R186" i="31"/>
  <c r="R185" i="31"/>
  <c r="R184" i="31"/>
  <c r="R183" i="31"/>
  <c r="R182" i="31"/>
  <c r="R181" i="31"/>
  <c r="R180" i="31"/>
  <c r="R179" i="31"/>
  <c r="R178" i="31"/>
  <c r="R177" i="31"/>
  <c r="R176" i="31"/>
  <c r="R175" i="31"/>
  <c r="R174" i="31"/>
  <c r="R173" i="31"/>
  <c r="R172" i="31"/>
  <c r="R171" i="31"/>
  <c r="R170" i="31"/>
  <c r="R169" i="31"/>
  <c r="R168" i="31"/>
  <c r="R167" i="31"/>
  <c r="R166" i="31"/>
  <c r="R165" i="31"/>
  <c r="R164" i="31"/>
  <c r="R163" i="31"/>
  <c r="R162" i="31"/>
  <c r="R161" i="31"/>
  <c r="R160" i="31"/>
  <c r="R159" i="31"/>
  <c r="R158" i="31"/>
  <c r="R157" i="31"/>
  <c r="R156" i="31"/>
  <c r="R155" i="31"/>
  <c r="R154" i="31"/>
  <c r="R153" i="31"/>
  <c r="R152" i="31"/>
  <c r="R151" i="31"/>
  <c r="R150" i="31"/>
  <c r="R149" i="31"/>
  <c r="R148" i="31"/>
  <c r="R147" i="31"/>
  <c r="R146" i="31"/>
  <c r="R145" i="31"/>
  <c r="R144" i="31"/>
  <c r="R143" i="31"/>
  <c r="R142" i="31"/>
  <c r="R141" i="31"/>
  <c r="R140" i="31"/>
  <c r="R139" i="31"/>
  <c r="R138" i="31"/>
  <c r="R137" i="31"/>
  <c r="R136" i="31"/>
  <c r="R135" i="31"/>
  <c r="R134" i="31"/>
  <c r="R133" i="31"/>
  <c r="R132" i="31"/>
  <c r="R131" i="31"/>
  <c r="R130" i="31"/>
  <c r="R129" i="31"/>
  <c r="R128" i="31"/>
  <c r="R127" i="31"/>
  <c r="R126" i="31"/>
  <c r="R125" i="31"/>
  <c r="R124" i="31"/>
  <c r="R123" i="31"/>
  <c r="R122" i="31"/>
  <c r="R121" i="31"/>
  <c r="R120" i="31"/>
  <c r="R119" i="31"/>
  <c r="R118" i="31"/>
  <c r="R117" i="31"/>
  <c r="R116" i="31"/>
  <c r="R115" i="31"/>
  <c r="R114" i="31"/>
  <c r="R113" i="31"/>
  <c r="R112" i="31"/>
  <c r="R111" i="31"/>
  <c r="R110" i="31"/>
  <c r="R109" i="31"/>
  <c r="R108" i="31"/>
  <c r="R107" i="31"/>
  <c r="R106" i="31"/>
  <c r="R105" i="31"/>
  <c r="R104" i="31"/>
  <c r="R103" i="31"/>
  <c r="R102" i="31"/>
  <c r="R101" i="31"/>
  <c r="R100" i="31"/>
  <c r="R99" i="31"/>
  <c r="R98" i="31"/>
  <c r="R97" i="31"/>
  <c r="R96" i="31"/>
  <c r="R95" i="31"/>
  <c r="R94" i="31"/>
  <c r="R93" i="31"/>
  <c r="R92" i="31"/>
  <c r="R91" i="31"/>
  <c r="R90" i="31"/>
  <c r="R89" i="31"/>
  <c r="R88" i="31"/>
  <c r="R87" i="31"/>
  <c r="R86" i="31"/>
  <c r="R85" i="31"/>
  <c r="R84" i="31"/>
  <c r="R83" i="31"/>
  <c r="R82" i="31"/>
  <c r="R81" i="31"/>
  <c r="R80" i="31"/>
  <c r="R79" i="31"/>
  <c r="R78" i="31"/>
  <c r="R77" i="31"/>
  <c r="R76" i="31"/>
  <c r="R75" i="31"/>
  <c r="R74" i="31"/>
  <c r="R73" i="31"/>
  <c r="R72" i="31"/>
  <c r="R71" i="31"/>
  <c r="R70" i="31"/>
  <c r="R69" i="31"/>
  <c r="R68" i="31"/>
  <c r="R67" i="31"/>
  <c r="R66" i="31"/>
  <c r="R65" i="31"/>
  <c r="R64" i="31"/>
  <c r="R63" i="31"/>
  <c r="R62" i="31"/>
  <c r="R61" i="31"/>
  <c r="R60" i="31"/>
  <c r="R59" i="31"/>
  <c r="R58" i="31"/>
  <c r="R57" i="31"/>
  <c r="R56" i="31"/>
  <c r="R55" i="31"/>
  <c r="R54" i="31"/>
  <c r="R53" i="31"/>
  <c r="R52" i="31"/>
  <c r="R51" i="31"/>
  <c r="R50" i="31"/>
  <c r="R49" i="31"/>
  <c r="R48" i="31"/>
  <c r="R47" i="31"/>
  <c r="R46" i="31"/>
  <c r="R45" i="31"/>
  <c r="R44" i="31"/>
  <c r="R43" i="31"/>
  <c r="R42" i="31"/>
  <c r="R41" i="31"/>
  <c r="R40" i="31"/>
  <c r="R39" i="31"/>
  <c r="R38" i="31"/>
  <c r="R37" i="31"/>
  <c r="R36" i="31"/>
  <c r="R35" i="31"/>
  <c r="R34" i="31"/>
  <c r="R33" i="31"/>
  <c r="R32" i="31"/>
  <c r="R31" i="31"/>
  <c r="R30" i="31"/>
  <c r="R29" i="31"/>
  <c r="R28" i="31"/>
  <c r="R27" i="31"/>
  <c r="R26" i="31"/>
  <c r="R25" i="31"/>
  <c r="R24" i="31"/>
  <c r="R23" i="31"/>
  <c r="R22" i="31"/>
  <c r="R21" i="31"/>
  <c r="R20" i="31"/>
  <c r="R19" i="31"/>
  <c r="R18" i="31"/>
  <c r="R17" i="31"/>
  <c r="R16" i="31"/>
  <c r="R15" i="31"/>
  <c r="R14" i="31"/>
  <c r="R13" i="31"/>
  <c r="R12" i="31"/>
  <c r="R11" i="31"/>
  <c r="R10" i="31"/>
  <c r="R9" i="31"/>
  <c r="S8" i="31"/>
  <c r="P2" i="10"/>
  <c r="AM31" i="13" l="1"/>
  <c r="AM15" i="13"/>
  <c r="AS15" i="13" s="1"/>
  <c r="AD14" i="13"/>
  <c r="I14" i="13"/>
  <c r="BD14" i="13" s="1"/>
  <c r="AM16" i="13"/>
  <c r="AS16" i="13" s="1"/>
  <c r="AM34" i="13"/>
  <c r="U34" i="13" s="1"/>
  <c r="BG34" i="13" s="1"/>
  <c r="K7" i="10"/>
  <c r="V7" i="10"/>
  <c r="AG58" i="14"/>
  <c r="AG62" i="14"/>
  <c r="I32" i="13"/>
  <c r="BD32" i="13" s="1"/>
  <c r="AH30" i="13"/>
  <c r="L30" i="13" s="1"/>
  <c r="BF30" i="13" s="1"/>
  <c r="AD28" i="13"/>
  <c r="AF28" i="13"/>
  <c r="H28" i="13"/>
  <c r="H32" i="13"/>
  <c r="H33" i="13"/>
  <c r="AL32" i="13"/>
  <c r="AM32" i="13" s="1"/>
  <c r="U32" i="13" s="1"/>
  <c r="BG32" i="13" s="1"/>
  <c r="I36" i="13"/>
  <c r="BD36" i="13" s="1"/>
  <c r="H36" i="13"/>
  <c r="AB33" i="13"/>
  <c r="AB36" i="13"/>
  <c r="AL33" i="13"/>
  <c r="AM33" i="13" s="1"/>
  <c r="AS33" i="13" s="1"/>
  <c r="AV33" i="13" s="1"/>
  <c r="AL36" i="13"/>
  <c r="AM36" i="13" s="1"/>
  <c r="AB29" i="13"/>
  <c r="AD32" i="13"/>
  <c r="I29" i="13"/>
  <c r="BD29" i="13" s="1"/>
  <c r="AF32" i="13"/>
  <c r="I31" i="13"/>
  <c r="BD31" i="13" s="1"/>
  <c r="AF35" i="13"/>
  <c r="AN31" i="13"/>
  <c r="W31" i="13" s="1"/>
  <c r="I35" i="13"/>
  <c r="BD35" i="13" s="1"/>
  <c r="I11" i="13"/>
  <c r="BD11" i="13" s="1"/>
  <c r="AI11" i="13"/>
  <c r="M11" i="13" s="1"/>
  <c r="AC14" i="13"/>
  <c r="AI29" i="13"/>
  <c r="M29" i="13" s="1"/>
  <c r="AR29" i="13"/>
  <c r="AT29" i="13"/>
  <c r="AF31" i="13"/>
  <c r="AI33" i="13"/>
  <c r="M33" i="13" s="1"/>
  <c r="AT33" i="13"/>
  <c r="AR33" i="13"/>
  <c r="AH36" i="13"/>
  <c r="L36" i="13" s="1"/>
  <c r="BF36" i="13" s="1"/>
  <c r="AI36" i="13"/>
  <c r="M36" i="13" s="1"/>
  <c r="AR36" i="13"/>
  <c r="AT36" i="13"/>
  <c r="AL35" i="13"/>
  <c r="AM35" i="13" s="1"/>
  <c r="AS35" i="13" s="1"/>
  <c r="AV35" i="13" s="1"/>
  <c r="AL17" i="13"/>
  <c r="AM17" i="13" s="1"/>
  <c r="AN17" i="13" s="1"/>
  <c r="W17" i="13" s="1"/>
  <c r="AI17" i="13"/>
  <c r="M17" i="13" s="1"/>
  <c r="H31" i="13"/>
  <c r="AH28" i="13"/>
  <c r="L28" i="13" s="1"/>
  <c r="BF28" i="13" s="1"/>
  <c r="AI28" i="13"/>
  <c r="M28" i="13" s="1"/>
  <c r="AR28" i="13"/>
  <c r="AT28" i="13"/>
  <c r="AH32" i="13"/>
  <c r="L32" i="13" s="1"/>
  <c r="BF32" i="13" s="1"/>
  <c r="AI32" i="13"/>
  <c r="M32" i="13" s="1"/>
  <c r="AR32" i="13"/>
  <c r="AT32" i="13"/>
  <c r="AL28" i="13"/>
  <c r="AM28" i="13" s="1"/>
  <c r="AI8" i="13"/>
  <c r="M8" i="13" s="1"/>
  <c r="AL12" i="13"/>
  <c r="AM12" i="13" s="1"/>
  <c r="AI12" i="13"/>
  <c r="M12" i="13" s="1"/>
  <c r="AL29" i="13"/>
  <c r="AM29" i="13" s="1"/>
  <c r="U29" i="13" s="1"/>
  <c r="BG29" i="13" s="1"/>
  <c r="I28" i="13"/>
  <c r="BD28" i="13" s="1"/>
  <c r="AI15" i="13"/>
  <c r="M15" i="13" s="1"/>
  <c r="AR15" i="13"/>
  <c r="AB28" i="13"/>
  <c r="AG30" i="13"/>
  <c r="AI30" i="13"/>
  <c r="M30" i="13" s="1"/>
  <c r="AT30" i="13"/>
  <c r="AR30" i="13"/>
  <c r="AB32" i="13"/>
  <c r="AG34" i="13"/>
  <c r="AI34" i="13"/>
  <c r="M34" i="13" s="1"/>
  <c r="AT34" i="13"/>
  <c r="AR34" i="13"/>
  <c r="AC36" i="13"/>
  <c r="AL30" i="13"/>
  <c r="AM30" i="13" s="1"/>
  <c r="U30" i="13" s="1"/>
  <c r="BG30" i="13" s="1"/>
  <c r="I9" i="13"/>
  <c r="BD9" i="13" s="1"/>
  <c r="AI9" i="13"/>
  <c r="M9" i="13" s="1"/>
  <c r="AL13" i="13"/>
  <c r="AM13" i="13" s="1"/>
  <c r="AI13" i="13"/>
  <c r="M13" i="13" s="1"/>
  <c r="AC28" i="13"/>
  <c r="AC32" i="13"/>
  <c r="AD36" i="13"/>
  <c r="AI16" i="13"/>
  <c r="M16" i="13" s="1"/>
  <c r="AR16" i="13"/>
  <c r="AE35" i="13"/>
  <c r="AI35" i="13"/>
  <c r="M35" i="13" s="1"/>
  <c r="AR35" i="13"/>
  <c r="AT35" i="13"/>
  <c r="I10" i="13"/>
  <c r="BD10" i="13" s="1"/>
  <c r="AI10" i="13"/>
  <c r="M10" i="13" s="1"/>
  <c r="AR14" i="13"/>
  <c r="AI14" i="13"/>
  <c r="M14" i="13" s="1"/>
  <c r="AE31" i="13"/>
  <c r="AI31" i="13"/>
  <c r="M31" i="13" s="1"/>
  <c r="AR31" i="13"/>
  <c r="AT31" i="13"/>
  <c r="T24" i="32"/>
  <c r="T32" i="32"/>
  <c r="S1356" i="31"/>
  <c r="S1348" i="31"/>
  <c r="S1340" i="31"/>
  <c r="S1332" i="31"/>
  <c r="S1324" i="31"/>
  <c r="S1316" i="31"/>
  <c r="S1308" i="31"/>
  <c r="S1300" i="31"/>
  <c r="S1292" i="31"/>
  <c r="S1284" i="31"/>
  <c r="S1276" i="31"/>
  <c r="S1268" i="31"/>
  <c r="S1260" i="31"/>
  <c r="S1252" i="31"/>
  <c r="S1244" i="31"/>
  <c r="S1236" i="31"/>
  <c r="S1228" i="31"/>
  <c r="S1220" i="31"/>
  <c r="S1212" i="31"/>
  <c r="S1204" i="31"/>
  <c r="S1196" i="31"/>
  <c r="S1188" i="31"/>
  <c r="S1180" i="31"/>
  <c r="S1172" i="31"/>
  <c r="S1164" i="31"/>
  <c r="S1156" i="31"/>
  <c r="S1148" i="31"/>
  <c r="S1140" i="31"/>
  <c r="S1132" i="31"/>
  <c r="S1124" i="31"/>
  <c r="S1116" i="31"/>
  <c r="S1108" i="31"/>
  <c r="S1100" i="31"/>
  <c r="S1092" i="31"/>
  <c r="S1084" i="31"/>
  <c r="S1076" i="31"/>
  <c r="S1068" i="31"/>
  <c r="S1060" i="31"/>
  <c r="S1052" i="31"/>
  <c r="S1044" i="31"/>
  <c r="S1036" i="31"/>
  <c r="S1028" i="31"/>
  <c r="S1020" i="31"/>
  <c r="S1012" i="31"/>
  <c r="S1004" i="31"/>
  <c r="S996" i="31"/>
  <c r="S988" i="31"/>
  <c r="S980" i="31"/>
  <c r="S972" i="31"/>
  <c r="S964" i="31"/>
  <c r="S956" i="31"/>
  <c r="S948" i="31"/>
  <c r="S940" i="31"/>
  <c r="S932" i="31"/>
  <c r="S924" i="31"/>
  <c r="S916" i="31"/>
  <c r="S908" i="31"/>
  <c r="S900" i="31"/>
  <c r="S892" i="31"/>
  <c r="S884" i="31"/>
  <c r="S876" i="31"/>
  <c r="S868" i="31"/>
  <c r="S860" i="31"/>
  <c r="S852" i="31"/>
  <c r="S844" i="31"/>
  <c r="S836" i="31"/>
  <c r="S828" i="31"/>
  <c r="S820" i="31"/>
  <c r="S812" i="31"/>
  <c r="S804" i="31"/>
  <c r="S796" i="31"/>
  <c r="S788" i="31"/>
  <c r="S780" i="31"/>
  <c r="S772" i="31"/>
  <c r="S764" i="31"/>
  <c r="S756" i="31"/>
  <c r="S748" i="31"/>
  <c r="S740" i="31"/>
  <c r="S732" i="31"/>
  <c r="S724" i="31"/>
  <c r="S716" i="31"/>
  <c r="S708" i="31"/>
  <c r="S700" i="31"/>
  <c r="S692" i="31"/>
  <c r="S684" i="31"/>
  <c r="S1355" i="31"/>
  <c r="S1347" i="31"/>
  <c r="S1339" i="31"/>
  <c r="S1331" i="31"/>
  <c r="S1323" i="31"/>
  <c r="S1315" i="31"/>
  <c r="S1307" i="31"/>
  <c r="S1299" i="31"/>
  <c r="S1291" i="31"/>
  <c r="S1283" i="31"/>
  <c r="S1275" i="31"/>
  <c r="S1267" i="31"/>
  <c r="S1259" i="31"/>
  <c r="S1251" i="31"/>
  <c r="S1243" i="31"/>
  <c r="S1235" i="31"/>
  <c r="S1227" i="31"/>
  <c r="S1219" i="31"/>
  <c r="S1211" i="31"/>
  <c r="S1203" i="31"/>
  <c r="S1195" i="31"/>
  <c r="S1187" i="31"/>
  <c r="S1179" i="31"/>
  <c r="S1171" i="31"/>
  <c r="S1163" i="31"/>
  <c r="S1155" i="31"/>
  <c r="S1147" i="31"/>
  <c r="S1139" i="31"/>
  <c r="S1131" i="31"/>
  <c r="S1123" i="31"/>
  <c r="S1115" i="31"/>
  <c r="S1107" i="31"/>
  <c r="S1099" i="31"/>
  <c r="S1091" i="31"/>
  <c r="S1083" i="31"/>
  <c r="S1075" i="31"/>
  <c r="S1067" i="31"/>
  <c r="S1059" i="31"/>
  <c r="S1051" i="31"/>
  <c r="S1043" i="31"/>
  <c r="S1035" i="31"/>
  <c r="S1027" i="31"/>
  <c r="S1019" i="31"/>
  <c r="S1011" i="31"/>
  <c r="S1003" i="31"/>
  <c r="S995" i="31"/>
  <c r="S987" i="31"/>
  <c r="S979" i="31"/>
  <c r="S971" i="31"/>
  <c r="S963" i="31"/>
  <c r="S955" i="31"/>
  <c r="S947" i="31"/>
  <c r="S939" i="31"/>
  <c r="S931" i="31"/>
  <c r="S923" i="31"/>
  <c r="S915" i="31"/>
  <c r="S907" i="31"/>
  <c r="S899" i="31"/>
  <c r="S891" i="31"/>
  <c r="S883" i="31"/>
  <c r="S875" i="31"/>
  <c r="S867" i="31"/>
  <c r="S859" i="31"/>
  <c r="S851" i="31"/>
  <c r="S843" i="31"/>
  <c r="S835" i="31"/>
  <c r="S827" i="31"/>
  <c r="S1353" i="31"/>
  <c r="S1345" i="31"/>
  <c r="S1337" i="31"/>
  <c r="S1329" i="31"/>
  <c r="S1321" i="31"/>
  <c r="S1313" i="31"/>
  <c r="S1305" i="31"/>
  <c r="S1297" i="31"/>
  <c r="S1289" i="31"/>
  <c r="S1281" i="31"/>
  <c r="S1273" i="31"/>
  <c r="S1265" i="31"/>
  <c r="S1257" i="31"/>
  <c r="S1249" i="31"/>
  <c r="S1241" i="31"/>
  <c r="S1233" i="31"/>
  <c r="S1225" i="31"/>
  <c r="S1217" i="31"/>
  <c r="S1209" i="31"/>
  <c r="S1201" i="31"/>
  <c r="S1193" i="31"/>
  <c r="S1185" i="31"/>
  <c r="S1177" i="31"/>
  <c r="S1169" i="31"/>
  <c r="S1161" i="31"/>
  <c r="S1153" i="31"/>
  <c r="S1145" i="31"/>
  <c r="S1137" i="31"/>
  <c r="S1129" i="31"/>
  <c r="S1121" i="31"/>
  <c r="S1113" i="31"/>
  <c r="S1105" i="31"/>
  <c r="S1097" i="31"/>
  <c r="S1089" i="31"/>
  <c r="S1081" i="31"/>
  <c r="S1073" i="31"/>
  <c r="S1065" i="31"/>
  <c r="S1057" i="31"/>
  <c r="S1049" i="31"/>
  <c r="S1041" i="31"/>
  <c r="S1033" i="31"/>
  <c r="S1025" i="31"/>
  <c r="S1017" i="31"/>
  <c r="S1009" i="31"/>
  <c r="S1001" i="31"/>
  <c r="S993" i="31"/>
  <c r="S985" i="31"/>
  <c r="S977" i="31"/>
  <c r="S969" i="31"/>
  <c r="S961" i="31"/>
  <c r="S953" i="31"/>
  <c r="S945" i="31"/>
  <c r="S937" i="31"/>
  <c r="S929" i="31"/>
  <c r="S921" i="31"/>
  <c r="S913" i="31"/>
  <c r="S905" i="31"/>
  <c r="S897" i="31"/>
  <c r="S1352" i="31"/>
  <c r="S1344" i="31"/>
  <c r="S1336" i="31"/>
  <c r="S1328" i="31"/>
  <c r="S1320" i="31"/>
  <c r="S1312" i="31"/>
  <c r="S1304" i="31"/>
  <c r="S1296" i="31"/>
  <c r="S1288" i="31"/>
  <c r="S1280" i="31"/>
  <c r="S1272" i="31"/>
  <c r="S1264" i="31"/>
  <c r="S1256" i="31"/>
  <c r="S1248" i="31"/>
  <c r="S1240" i="31"/>
  <c r="S1232" i="31"/>
  <c r="S1224" i="31"/>
  <c r="S1216" i="31"/>
  <c r="S1208" i="31"/>
  <c r="S1200" i="31"/>
  <c r="S1192" i="31"/>
  <c r="S1184" i="31"/>
  <c r="S1176" i="31"/>
  <c r="S1168" i="31"/>
  <c r="S1160" i="31"/>
  <c r="S1152" i="31"/>
  <c r="S1144" i="31"/>
  <c r="S1136" i="31"/>
  <c r="S1128" i="31"/>
  <c r="S1120" i="31"/>
  <c r="S1112" i="31"/>
  <c r="S1104" i="31"/>
  <c r="S1096" i="31"/>
  <c r="S1088" i="31"/>
  <c r="S1080" i="31"/>
  <c r="S1072" i="31"/>
  <c r="S1064" i="31"/>
  <c r="S1056" i="31"/>
  <c r="S1048" i="31"/>
  <c r="S1040" i="31"/>
  <c r="S1032" i="31"/>
  <c r="S1024" i="31"/>
  <c r="S1016" i="31"/>
  <c r="S1008" i="31"/>
  <c r="S1000" i="31"/>
  <c r="S992" i="31"/>
  <c r="S1351" i="31"/>
  <c r="S1343" i="31"/>
  <c r="S1335" i="31"/>
  <c r="S1327" i="31"/>
  <c r="S1319" i="31"/>
  <c r="S1311" i="31"/>
  <c r="S1303" i="31"/>
  <c r="S1295" i="31"/>
  <c r="S1287" i="31"/>
  <c r="S1279" i="31"/>
  <c r="S1271" i="31"/>
  <c r="S1263" i="31"/>
  <c r="S1255" i="31"/>
  <c r="S1247" i="31"/>
  <c r="S1239" i="31"/>
  <c r="S1231" i="31"/>
  <c r="S1223" i="31"/>
  <c r="S1215" i="31"/>
  <c r="S1207" i="31"/>
  <c r="S1199" i="31"/>
  <c r="S1191" i="31"/>
  <c r="S1183" i="31"/>
  <c r="S1175" i="31"/>
  <c r="S1167" i="31"/>
  <c r="S1159" i="31"/>
  <c r="S1151" i="31"/>
  <c r="S1143" i="31"/>
  <c r="S1354" i="31"/>
  <c r="S1333" i="31"/>
  <c r="S1310" i="31"/>
  <c r="S1290" i="31"/>
  <c r="S1269" i="31"/>
  <c r="S1246" i="31"/>
  <c r="S1226" i="31"/>
  <c r="S1205" i="31"/>
  <c r="S1182" i="31"/>
  <c r="S1162" i="31"/>
  <c r="S1141" i="31"/>
  <c r="S1125" i="31"/>
  <c r="S1109" i="31"/>
  <c r="S1093" i="31"/>
  <c r="S1077" i="31"/>
  <c r="S1061" i="31"/>
  <c r="S1045" i="31"/>
  <c r="S1029" i="31"/>
  <c r="S1013" i="31"/>
  <c r="S997" i="31"/>
  <c r="S982" i="31"/>
  <c r="S968" i="31"/>
  <c r="S957" i="31"/>
  <c r="S943" i="31"/>
  <c r="S930" i="31"/>
  <c r="S918" i="31"/>
  <c r="S904" i="31"/>
  <c r="S893" i="31"/>
  <c r="S881" i="31"/>
  <c r="S871" i="31"/>
  <c r="S861" i="31"/>
  <c r="S849" i="31"/>
  <c r="S839" i="31"/>
  <c r="S829" i="31"/>
  <c r="S818" i="31"/>
  <c r="S809" i="31"/>
  <c r="S800" i="31"/>
  <c r="S791" i="31"/>
  <c r="S782" i="31"/>
  <c r="S773" i="31"/>
  <c r="S763" i="31"/>
  <c r="S754" i="31"/>
  <c r="S745" i="31"/>
  <c r="S736" i="31"/>
  <c r="S727" i="31"/>
  <c r="S718" i="31"/>
  <c r="S709" i="31"/>
  <c r="S699" i="31"/>
  <c r="S690" i="31"/>
  <c r="S681" i="31"/>
  <c r="S673" i="31"/>
  <c r="S665" i="31"/>
  <c r="S657" i="31"/>
  <c r="S649" i="31"/>
  <c r="S641" i="31"/>
  <c r="S633" i="31"/>
  <c r="S625" i="31"/>
  <c r="S617" i="31"/>
  <c r="S609" i="31"/>
  <c r="S601" i="31"/>
  <c r="S593" i="31"/>
  <c r="S585" i="31"/>
  <c r="S577" i="31"/>
  <c r="S569" i="31"/>
  <c r="S561" i="31"/>
  <c r="S553" i="31"/>
  <c r="S545" i="31"/>
  <c r="S537" i="31"/>
  <c r="S529" i="31"/>
  <c r="S521" i="31"/>
  <c r="S513" i="31"/>
  <c r="S505" i="31"/>
  <c r="S497" i="31"/>
  <c r="S489" i="31"/>
  <c r="S481" i="31"/>
  <c r="S473" i="31"/>
  <c r="S465" i="31"/>
  <c r="S457" i="31"/>
  <c r="S449" i="31"/>
  <c r="S441" i="31"/>
  <c r="S433" i="31"/>
  <c r="S425" i="31"/>
  <c r="S417" i="31"/>
  <c r="S409" i="31"/>
  <c r="S401" i="31"/>
  <c r="S393" i="31"/>
  <c r="S385" i="31"/>
  <c r="S377" i="31"/>
  <c r="S369" i="31"/>
  <c r="S361" i="31"/>
  <c r="S353" i="31"/>
  <c r="S345" i="31"/>
  <c r="S337" i="31"/>
  <c r="S329" i="31"/>
  <c r="S321" i="31"/>
  <c r="S313" i="31"/>
  <c r="S305" i="31"/>
  <c r="S297" i="31"/>
  <c r="S289" i="31"/>
  <c r="S281" i="31"/>
  <c r="S273" i="31"/>
  <c r="S265" i="31"/>
  <c r="S257" i="31"/>
  <c r="S249" i="31"/>
  <c r="S241" i="31"/>
  <c r="S233" i="31"/>
  <c r="S225" i="31"/>
  <c r="S217" i="31"/>
  <c r="S209" i="31"/>
  <c r="S201" i="31"/>
  <c r="S1350" i="31"/>
  <c r="S1330" i="31"/>
  <c r="S1309" i="31"/>
  <c r="S1286" i="31"/>
  <c r="S1266" i="31"/>
  <c r="S1245" i="31"/>
  <c r="S1222" i="31"/>
  <c r="S1202" i="31"/>
  <c r="S1181" i="31"/>
  <c r="S1158" i="31"/>
  <c r="S1138" i="31"/>
  <c r="S1122" i="31"/>
  <c r="S1106" i="31"/>
  <c r="S1090" i="31"/>
  <c r="S1074" i="31"/>
  <c r="S1058" i="31"/>
  <c r="S1042" i="31"/>
  <c r="S1026" i="31"/>
  <c r="S1010" i="31"/>
  <c r="S994" i="31"/>
  <c r="S981" i="31"/>
  <c r="S967" i="31"/>
  <c r="S954" i="31"/>
  <c r="S942" i="31"/>
  <c r="S928" i="31"/>
  <c r="S917" i="31"/>
  <c r="S903" i="31"/>
  <c r="S890" i="31"/>
  <c r="S880" i="31"/>
  <c r="S870" i="31"/>
  <c r="S858" i="31"/>
  <c r="S848" i="31"/>
  <c r="S838" i="31"/>
  <c r="S826" i="31"/>
  <c r="S817" i="31"/>
  <c r="S808" i="31"/>
  <c r="S799" i="31"/>
  <c r="S790" i="31"/>
  <c r="S781" i="31"/>
  <c r="S771" i="31"/>
  <c r="S762" i="31"/>
  <c r="S753" i="31"/>
  <c r="S744" i="31"/>
  <c r="S735" i="31"/>
  <c r="S726" i="31"/>
  <c r="S717" i="31"/>
  <c r="S707" i="31"/>
  <c r="S698" i="31"/>
  <c r="S689" i="31"/>
  <c r="S680" i="31"/>
  <c r="S672" i="31"/>
  <c r="S664" i="31"/>
  <c r="S656" i="31"/>
  <c r="S648" i="31"/>
  <c r="S1349" i="31"/>
  <c r="S1326" i="31"/>
  <c r="S1306" i="31"/>
  <c r="S1285" i="31"/>
  <c r="S1262" i="31"/>
  <c r="S1242" i="31"/>
  <c r="S1221" i="31"/>
  <c r="S1198" i="31"/>
  <c r="S1178" i="31"/>
  <c r="S1157" i="31"/>
  <c r="S1135" i="31"/>
  <c r="S1119" i="31"/>
  <c r="S1103" i="31"/>
  <c r="S1087" i="31"/>
  <c r="S1071" i="31"/>
  <c r="S1055" i="31"/>
  <c r="S1039" i="31"/>
  <c r="S1023" i="31"/>
  <c r="S1007" i="31"/>
  <c r="S991" i="31"/>
  <c r="S978" i="31"/>
  <c r="S966" i="31"/>
  <c r="S952" i="31"/>
  <c r="S941" i="31"/>
  <c r="S927" i="31"/>
  <c r="S914" i="31"/>
  <c r="S902" i="31"/>
  <c r="S889" i="31"/>
  <c r="S879" i="31"/>
  <c r="S869" i="31"/>
  <c r="S857" i="31"/>
  <c r="S847" i="31"/>
  <c r="S837" i="31"/>
  <c r="S825" i="31"/>
  <c r="S816" i="31"/>
  <c r="S807" i="31"/>
  <c r="S798" i="31"/>
  <c r="S789" i="31"/>
  <c r="S779" i="31"/>
  <c r="S770" i="31"/>
  <c r="S761" i="31"/>
  <c r="S752" i="31"/>
  <c r="S743" i="31"/>
  <c r="S734" i="31"/>
  <c r="S725" i="31"/>
  <c r="S715" i="31"/>
  <c r="S706" i="31"/>
  <c r="S697" i="31"/>
  <c r="S688" i="31"/>
  <c r="S679" i="31"/>
  <c r="S671" i="31"/>
  <c r="S663" i="31"/>
  <c r="S655" i="31"/>
  <c r="S647" i="31"/>
  <c r="S639" i="31"/>
  <c r="S631" i="31"/>
  <c r="S623" i="31"/>
  <c r="S615" i="31"/>
  <c r="S607" i="31"/>
  <c r="S599" i="31"/>
  <c r="S591" i="31"/>
  <c r="S583" i="31"/>
  <c r="S575" i="31"/>
  <c r="S567" i="31"/>
  <c r="S559" i="31"/>
  <c r="S551" i="31"/>
  <c r="S543" i="31"/>
  <c r="S535" i="31"/>
  <c r="S527" i="31"/>
  <c r="S519" i="31"/>
  <c r="S511" i="31"/>
  <c r="S503" i="31"/>
  <c r="S495" i="31"/>
  <c r="S487" i="31"/>
  <c r="S479" i="31"/>
  <c r="S471" i="31"/>
  <c r="S463" i="31"/>
  <c r="S455" i="31"/>
  <c r="S447" i="31"/>
  <c r="S439" i="31"/>
  <c r="S431" i="31"/>
  <c r="S423" i="31"/>
  <c r="S415" i="31"/>
  <c r="S407" i="31"/>
  <c r="S399" i="31"/>
  <c r="S1346" i="31"/>
  <c r="S1325" i="31"/>
  <c r="S1302" i="31"/>
  <c r="S1282" i="31"/>
  <c r="S1261" i="31"/>
  <c r="S1238" i="31"/>
  <c r="S1218" i="31"/>
  <c r="S1197" i="31"/>
  <c r="S1174" i="31"/>
  <c r="S1154" i="31"/>
  <c r="S1134" i="31"/>
  <c r="S1118" i="31"/>
  <c r="S1102" i="31"/>
  <c r="S1086" i="31"/>
  <c r="S1070" i="31"/>
  <c r="S1054" i="31"/>
  <c r="S1038" i="31"/>
  <c r="S1022" i="31"/>
  <c r="S1006" i="31"/>
  <c r="S990" i="31"/>
  <c r="S976" i="31"/>
  <c r="S965" i="31"/>
  <c r="S951" i="31"/>
  <c r="S938" i="31"/>
  <c r="S926" i="31"/>
  <c r="S912" i="31"/>
  <c r="S901" i="31"/>
  <c r="S888" i="31"/>
  <c r="S878" i="31"/>
  <c r="S866" i="31"/>
  <c r="S856" i="31"/>
  <c r="S846" i="31"/>
  <c r="S834" i="31"/>
  <c r="S824" i="31"/>
  <c r="S815" i="31"/>
  <c r="S806" i="31"/>
  <c r="S797" i="31"/>
  <c r="S787" i="31"/>
  <c r="S778" i="31"/>
  <c r="S769" i="31"/>
  <c r="S760" i="31"/>
  <c r="S751" i="31"/>
  <c r="S742" i="31"/>
  <c r="S733" i="31"/>
  <c r="S723" i="31"/>
  <c r="S714" i="31"/>
  <c r="S705" i="31"/>
  <c r="S696" i="31"/>
  <c r="S687" i="31"/>
  <c r="S678" i="31"/>
  <c r="S670" i="31"/>
  <c r="S662" i="31"/>
  <c r="S654" i="31"/>
  <c r="S646" i="31"/>
  <c r="S638" i="31"/>
  <c r="S630" i="31"/>
  <c r="S622" i="31"/>
  <c r="S614" i="31"/>
  <c r="S606" i="31"/>
  <c r="S598" i="31"/>
  <c r="S590" i="31"/>
  <c r="S582" i="31"/>
  <c r="S574" i="31"/>
  <c r="S1342" i="31"/>
  <c r="S1301" i="31"/>
  <c r="S1258" i="31"/>
  <c r="S1214" i="31"/>
  <c r="S1173" i="31"/>
  <c r="S1133" i="31"/>
  <c r="S1101" i="31"/>
  <c r="S1069" i="31"/>
  <c r="S1037" i="31"/>
  <c r="S1005" i="31"/>
  <c r="S975" i="31"/>
  <c r="S950" i="31"/>
  <c r="S925" i="31"/>
  <c r="S898" i="31"/>
  <c r="S877" i="31"/>
  <c r="S855" i="31"/>
  <c r="S833" i="31"/>
  <c r="S814" i="31"/>
  <c r="S795" i="31"/>
  <c r="S777" i="31"/>
  <c r="S759" i="31"/>
  <c r="S741" i="31"/>
  <c r="S722" i="31"/>
  <c r="S704" i="31"/>
  <c r="S686" i="31"/>
  <c r="S669" i="31"/>
  <c r="S653" i="31"/>
  <c r="S640" i="31"/>
  <c r="S627" i="31"/>
  <c r="S613" i="31"/>
  <c r="S602" i="31"/>
  <c r="S588" i="31"/>
  <c r="S576" i="31"/>
  <c r="S564" i="31"/>
  <c r="S554" i="31"/>
  <c r="S542" i="31"/>
  <c r="S532" i="31"/>
  <c r="S522" i="31"/>
  <c r="S510" i="31"/>
  <c r="S500" i="31"/>
  <c r="S490" i="31"/>
  <c r="S478" i="31"/>
  <c r="S468" i="31"/>
  <c r="S458" i="31"/>
  <c r="S446" i="31"/>
  <c r="S436" i="31"/>
  <c r="S426" i="31"/>
  <c r="S414" i="31"/>
  <c r="S404" i="31"/>
  <c r="S394" i="31"/>
  <c r="S384" i="31"/>
  <c r="S375" i="31"/>
  <c r="S366" i="31"/>
  <c r="S357" i="31"/>
  <c r="S348" i="31"/>
  <c r="S339" i="31"/>
  <c r="S330" i="31"/>
  <c r="S320" i="31"/>
  <c r="S311" i="31"/>
  <c r="S302" i="31"/>
  <c r="S293" i="31"/>
  <c r="S284" i="31"/>
  <c r="S275" i="31"/>
  <c r="S266" i="31"/>
  <c r="S256" i="31"/>
  <c r="S247" i="31"/>
  <c r="S238" i="31"/>
  <c r="S229" i="31"/>
  <c r="S220" i="31"/>
  <c r="S211" i="31"/>
  <c r="S202" i="31"/>
  <c r="S193" i="31"/>
  <c r="S185" i="31"/>
  <c r="S177" i="31"/>
  <c r="S169" i="31"/>
  <c r="S161" i="31"/>
  <c r="S153" i="31"/>
  <c r="S145" i="31"/>
  <c r="S137" i="31"/>
  <c r="S129" i="31"/>
  <c r="S121" i="31"/>
  <c r="S113" i="31"/>
  <c r="S105" i="31"/>
  <c r="S97" i="31"/>
  <c r="S89" i="31"/>
  <c r="S81" i="31"/>
  <c r="S73" i="31"/>
  <c r="S65" i="31"/>
  <c r="S57" i="31"/>
  <c r="S49" i="31"/>
  <c r="S41" i="31"/>
  <c r="S33" i="31"/>
  <c r="S25" i="31"/>
  <c r="S17" i="31"/>
  <c r="S9" i="31"/>
  <c r="S1334" i="31"/>
  <c r="S1293" i="31"/>
  <c r="S1250" i="31"/>
  <c r="S1206" i="31"/>
  <c r="S1165" i="31"/>
  <c r="S1126" i="31"/>
  <c r="S1094" i="31"/>
  <c r="S1062" i="31"/>
  <c r="S1030" i="31"/>
  <c r="S998" i="31"/>
  <c r="S970" i="31"/>
  <c r="S944" i="31"/>
  <c r="S919" i="31"/>
  <c r="S894" i="31"/>
  <c r="S872" i="31"/>
  <c r="S850" i="31"/>
  <c r="S830" i="31"/>
  <c r="S810" i="31"/>
  <c r="S792" i="31"/>
  <c r="S774" i="31"/>
  <c r="S755" i="31"/>
  <c r="S737" i="31"/>
  <c r="S719" i="31"/>
  <c r="S701" i="31"/>
  <c r="S682" i="31"/>
  <c r="S666" i="31"/>
  <c r="S650" i="31"/>
  <c r="S635" i="31"/>
  <c r="S621" i="31"/>
  <c r="S610" i="31"/>
  <c r="S596" i="31"/>
  <c r="S584" i="31"/>
  <c r="S571" i="31"/>
  <c r="S560" i="31"/>
  <c r="S549" i="31"/>
  <c r="S539" i="31"/>
  <c r="S528" i="31"/>
  <c r="S517" i="31"/>
  <c r="S507" i="31"/>
  <c r="S496" i="31"/>
  <c r="S485" i="31"/>
  <c r="S475" i="31"/>
  <c r="S464" i="31"/>
  <c r="S453" i="31"/>
  <c r="S443" i="31"/>
  <c r="S432" i="31"/>
  <c r="S421" i="31"/>
  <c r="S411" i="31"/>
  <c r="S400" i="31"/>
  <c r="S390" i="31"/>
  <c r="S381" i="31"/>
  <c r="S372" i="31"/>
  <c r="S363" i="31"/>
  <c r="S354" i="31"/>
  <c r="S344" i="31"/>
  <c r="S335" i="31"/>
  <c r="S326" i="31"/>
  <c r="S317" i="31"/>
  <c r="S308" i="31"/>
  <c r="S299" i="31"/>
  <c r="S290" i="31"/>
  <c r="S280" i="31"/>
  <c r="S271" i="31"/>
  <c r="S262" i="31"/>
  <c r="S253" i="31"/>
  <c r="S244" i="31"/>
  <c r="S235" i="31"/>
  <c r="S226" i="31"/>
  <c r="S216" i="31"/>
  <c r="S207" i="31"/>
  <c r="S198" i="31"/>
  <c r="S190" i="31"/>
  <c r="S182" i="31"/>
  <c r="S174" i="31"/>
  <c r="S166" i="31"/>
  <c r="S158" i="31"/>
  <c r="S150" i="31"/>
  <c r="S142" i="31"/>
  <c r="S134" i="31"/>
  <c r="S126" i="31"/>
  <c r="S118" i="31"/>
  <c r="S110" i="31"/>
  <c r="S102" i="31"/>
  <c r="S94" i="31"/>
  <c r="S86" i="31"/>
  <c r="S1322" i="31"/>
  <c r="S1278" i="31"/>
  <c r="S1237" i="31"/>
  <c r="S1194" i="31"/>
  <c r="S1150" i="31"/>
  <c r="S1117" i="31"/>
  <c r="S1085" i="31"/>
  <c r="S1053" i="31"/>
  <c r="S1021" i="31"/>
  <c r="S989" i="31"/>
  <c r="S962" i="31"/>
  <c r="S936" i="31"/>
  <c r="S911" i="31"/>
  <c r="S887" i="31"/>
  <c r="S865" i="31"/>
  <c r="S845" i="31"/>
  <c r="S823" i="31"/>
  <c r="S805" i="31"/>
  <c r="S786" i="31"/>
  <c r="S768" i="31"/>
  <c r="S750" i="31"/>
  <c r="S731" i="31"/>
  <c r="S713" i="31"/>
  <c r="S695" i="31"/>
  <c r="S677" i="31"/>
  <c r="S661" i="31"/>
  <c r="S645" i="31"/>
  <c r="S634" i="31"/>
  <c r="S620" i="31"/>
  <c r="S608" i="31"/>
  <c r="S595" i="31"/>
  <c r="S581" i="31"/>
  <c r="S570" i="31"/>
  <c r="S558" i="31"/>
  <c r="S548" i="31"/>
  <c r="S538" i="31"/>
  <c r="S526" i="31"/>
  <c r="S516" i="31"/>
  <c r="S506" i="31"/>
  <c r="S494" i="31"/>
  <c r="S484" i="31"/>
  <c r="S474" i="31"/>
  <c r="S462" i="31"/>
  <c r="S452" i="31"/>
  <c r="S442" i="31"/>
  <c r="S430" i="31"/>
  <c r="S420" i="31"/>
  <c r="S410" i="31"/>
  <c r="S398" i="31"/>
  <c r="S389" i="31"/>
  <c r="S380" i="31"/>
  <c r="S371" i="31"/>
  <c r="S362" i="31"/>
  <c r="S352" i="31"/>
  <c r="S343" i="31"/>
  <c r="S334" i="31"/>
  <c r="S325" i="31"/>
  <c r="S316" i="31"/>
  <c r="S307" i="31"/>
  <c r="S298" i="31"/>
  <c r="S1314" i="31"/>
  <c r="S1270" i="31"/>
  <c r="S1229" i="31"/>
  <c r="S1186" i="31"/>
  <c r="S1142" i="31"/>
  <c r="S1110" i="31"/>
  <c r="S1078" i="31"/>
  <c r="S1046" i="31"/>
  <c r="S1014" i="31"/>
  <c r="S983" i="31"/>
  <c r="S958" i="31"/>
  <c r="S933" i="31"/>
  <c r="S906" i="31"/>
  <c r="S882" i="31"/>
  <c r="S862" i="31"/>
  <c r="S840" i="31"/>
  <c r="S819" i="31"/>
  <c r="S801" i="31"/>
  <c r="S783" i="31"/>
  <c r="S765" i="31"/>
  <c r="S746" i="31"/>
  <c r="S728" i="31"/>
  <c r="S710" i="31"/>
  <c r="S691" i="31"/>
  <c r="S674" i="31"/>
  <c r="S658" i="31"/>
  <c r="S642" i="31"/>
  <c r="S628" i="31"/>
  <c r="S616" i="31"/>
  <c r="S603" i="31"/>
  <c r="S589" i="31"/>
  <c r="S578" i="31"/>
  <c r="S565" i="31"/>
  <c r="S555" i="31"/>
  <c r="S544" i="31"/>
  <c r="S533" i="31"/>
  <c r="S523" i="31"/>
  <c r="S512" i="31"/>
  <c r="S501" i="31"/>
  <c r="S491" i="31"/>
  <c r="S480" i="31"/>
  <c r="S469" i="31"/>
  <c r="S459" i="31"/>
  <c r="S448" i="31"/>
  <c r="S437" i="31"/>
  <c r="S427" i="31"/>
  <c r="S416" i="31"/>
  <c r="S405" i="31"/>
  <c r="S395" i="31"/>
  <c r="S386" i="31"/>
  <c r="S376" i="31"/>
  <c r="S367" i="31"/>
  <c r="S358" i="31"/>
  <c r="S349" i="31"/>
  <c r="S340" i="31"/>
  <c r="S331" i="31"/>
  <c r="S322" i="31"/>
  <c r="S312" i="31"/>
  <c r="S303" i="31"/>
  <c r="S294" i="31"/>
  <c r="S1341" i="31"/>
  <c r="S1254" i="31"/>
  <c r="S1170" i="31"/>
  <c r="S1098" i="31"/>
  <c r="S1034" i="31"/>
  <c r="S974" i="31"/>
  <c r="S922" i="31"/>
  <c r="S874" i="31"/>
  <c r="S832" i="31"/>
  <c r="S794" i="31"/>
  <c r="S758" i="31"/>
  <c r="S721" i="31"/>
  <c r="S685" i="31"/>
  <c r="S652" i="31"/>
  <c r="S626" i="31"/>
  <c r="S600" i="31"/>
  <c r="S573" i="31"/>
  <c r="S552" i="31"/>
  <c r="S531" i="31"/>
  <c r="S509" i="31"/>
  <c r="S488" i="31"/>
  <c r="S467" i="31"/>
  <c r="S445" i="31"/>
  <c r="S424" i="31"/>
  <c r="S403" i="31"/>
  <c r="S383" i="31"/>
  <c r="S365" i="31"/>
  <c r="S347" i="31"/>
  <c r="S328" i="31"/>
  <c r="S310" i="31"/>
  <c r="S292" i="31"/>
  <c r="S279" i="31"/>
  <c r="S268" i="31"/>
  <c r="S255" i="31"/>
  <c r="S243" i="31"/>
  <c r="S231" i="31"/>
  <c r="S219" i="31"/>
  <c r="S206" i="31"/>
  <c r="S195" i="31"/>
  <c r="S184" i="31"/>
  <c r="S173" i="31"/>
  <c r="S163" i="31"/>
  <c r="S152" i="31"/>
  <c r="S141" i="31"/>
  <c r="S131" i="31"/>
  <c r="S120" i="31"/>
  <c r="S109" i="31"/>
  <c r="S99" i="31"/>
  <c r="S88" i="31"/>
  <c r="S78" i="31"/>
  <c r="S69" i="31"/>
  <c r="S60" i="31"/>
  <c r="S51" i="31"/>
  <c r="S42" i="31"/>
  <c r="S32" i="31"/>
  <c r="S23" i="31"/>
  <c r="S14" i="31"/>
  <c r="S1298" i="31"/>
  <c r="S854" i="31"/>
  <c r="S739" i="31"/>
  <c r="S703" i="31"/>
  <c r="S612" i="31"/>
  <c r="S541" i="31"/>
  <c r="S477" i="31"/>
  <c r="S435" i="31"/>
  <c r="S356" i="31"/>
  <c r="S319" i="31"/>
  <c r="S261" i="31"/>
  <c r="S237" i="31"/>
  <c r="S200" i="31"/>
  <c r="S179" i="31"/>
  <c r="S157" i="31"/>
  <c r="S136" i="31"/>
  <c r="S115" i="31"/>
  <c r="S83" i="31"/>
  <c r="S74" i="31"/>
  <c r="S46" i="31"/>
  <c r="AC8" i="13" s="1"/>
  <c r="S19" i="31"/>
  <c r="S1338" i="31"/>
  <c r="S1253" i="31"/>
  <c r="S1166" i="31"/>
  <c r="S1095" i="31"/>
  <c r="S1031" i="31"/>
  <c r="S973" i="31"/>
  <c r="S920" i="31"/>
  <c r="S873" i="31"/>
  <c r="S831" i="31"/>
  <c r="S793" i="31"/>
  <c r="S757" i="31"/>
  <c r="S720" i="31"/>
  <c r="S683" i="31"/>
  <c r="S651" i="31"/>
  <c r="S624" i="31"/>
  <c r="S597" i="31"/>
  <c r="S572" i="31"/>
  <c r="S550" i="31"/>
  <c r="S530" i="31"/>
  <c r="S508" i="31"/>
  <c r="S486" i="31"/>
  <c r="S466" i="31"/>
  <c r="S444" i="31"/>
  <c r="S422" i="31"/>
  <c r="S402" i="31"/>
  <c r="S382" i="31"/>
  <c r="S364" i="31"/>
  <c r="S346" i="31"/>
  <c r="S327" i="31"/>
  <c r="S309" i="31"/>
  <c r="S291" i="31"/>
  <c r="S278" i="31"/>
  <c r="S267" i="31"/>
  <c r="S254" i="31"/>
  <c r="S242" i="31"/>
  <c r="S230" i="31"/>
  <c r="S218" i="31"/>
  <c r="S205" i="31"/>
  <c r="S194" i="31"/>
  <c r="S183" i="31"/>
  <c r="S172" i="31"/>
  <c r="S162" i="31"/>
  <c r="S151" i="31"/>
  <c r="S140" i="31"/>
  <c r="S130" i="31"/>
  <c r="S119" i="31"/>
  <c r="S108" i="31"/>
  <c r="S98" i="31"/>
  <c r="S87" i="31"/>
  <c r="S77" i="31"/>
  <c r="S68" i="31"/>
  <c r="S59" i="31"/>
  <c r="S50" i="31"/>
  <c r="S40" i="31"/>
  <c r="S31" i="31"/>
  <c r="S22" i="31"/>
  <c r="S13" i="31"/>
  <c r="S1130" i="31"/>
  <c r="S587" i="31"/>
  <c r="S413" i="31"/>
  <c r="S301" i="31"/>
  <c r="S224" i="31"/>
  <c r="S168" i="31"/>
  <c r="S104" i="31"/>
  <c r="S37" i="31"/>
  <c r="S1318" i="31"/>
  <c r="S1234" i="31"/>
  <c r="S1149" i="31"/>
  <c r="S1082" i="31"/>
  <c r="S1018" i="31"/>
  <c r="S960" i="31"/>
  <c r="S910" i="31"/>
  <c r="S864" i="31"/>
  <c r="S822" i="31"/>
  <c r="S785" i="31"/>
  <c r="S749" i="31"/>
  <c r="S712" i="31"/>
  <c r="S676" i="31"/>
  <c r="S644" i="31"/>
  <c r="S619" i="31"/>
  <c r="S594" i="31"/>
  <c r="S568" i="31"/>
  <c r="S547" i="31"/>
  <c r="S525" i="31"/>
  <c r="S504" i="31"/>
  <c r="S483" i="31"/>
  <c r="S461" i="31"/>
  <c r="S440" i="31"/>
  <c r="S419" i="31"/>
  <c r="S397" i="31"/>
  <c r="S379" i="31"/>
  <c r="S360" i="31"/>
  <c r="S342" i="31"/>
  <c r="S324" i="31"/>
  <c r="S306" i="31"/>
  <c r="S288" i="31"/>
  <c r="S277" i="31"/>
  <c r="S264" i="31"/>
  <c r="S252" i="31"/>
  <c r="S240" i="31"/>
  <c r="S228" i="31"/>
  <c r="S215" i="31"/>
  <c r="S204" i="31"/>
  <c r="S192" i="31"/>
  <c r="S181" i="31"/>
  <c r="S171" i="31"/>
  <c r="S160" i="31"/>
  <c r="S149" i="31"/>
  <c r="S139" i="31"/>
  <c r="S128" i="31"/>
  <c r="S117" i="31"/>
  <c r="S107" i="31"/>
  <c r="S96" i="31"/>
  <c r="S85" i="31"/>
  <c r="S76" i="31"/>
  <c r="S67" i="31"/>
  <c r="S58" i="31"/>
  <c r="S48" i="31"/>
  <c r="S39" i="31"/>
  <c r="S30" i="31"/>
  <c r="S21" i="31"/>
  <c r="S12" i="31"/>
  <c r="S1213" i="31"/>
  <c r="S949" i="31"/>
  <c r="S813" i="31"/>
  <c r="S668" i="31"/>
  <c r="S563" i="31"/>
  <c r="S499" i="31"/>
  <c r="S456" i="31"/>
  <c r="S374" i="31"/>
  <c r="S338" i="31"/>
  <c r="S286" i="31"/>
  <c r="S250" i="31"/>
  <c r="S213" i="31"/>
  <c r="S147" i="31"/>
  <c r="S93" i="31"/>
  <c r="S55" i="31"/>
  <c r="S28" i="31"/>
  <c r="S660" i="31"/>
  <c r="S1317" i="31"/>
  <c r="S1230" i="31"/>
  <c r="S1146" i="31"/>
  <c r="S1079" i="31"/>
  <c r="S1015" i="31"/>
  <c r="S959" i="31"/>
  <c r="S909" i="31"/>
  <c r="S863" i="31"/>
  <c r="S821" i="31"/>
  <c r="S784" i="31"/>
  <c r="S747" i="31"/>
  <c r="S711" i="31"/>
  <c r="S675" i="31"/>
  <c r="S643" i="31"/>
  <c r="S618" i="31"/>
  <c r="S592" i="31"/>
  <c r="S566" i="31"/>
  <c r="S546" i="31"/>
  <c r="S524" i="31"/>
  <c r="S502" i="31"/>
  <c r="S482" i="31"/>
  <c r="S460" i="31"/>
  <c r="S438" i="31"/>
  <c r="S418" i="31"/>
  <c r="S396" i="31"/>
  <c r="S378" i="31"/>
  <c r="S359" i="31"/>
  <c r="S341" i="31"/>
  <c r="S323" i="31"/>
  <c r="S304" i="31"/>
  <c r="S287" i="31"/>
  <c r="S276" i="31"/>
  <c r="S263" i="31"/>
  <c r="S251" i="31"/>
  <c r="S239" i="31"/>
  <c r="S227" i="31"/>
  <c r="S214" i="31"/>
  <c r="S203" i="31"/>
  <c r="S191" i="31"/>
  <c r="S180" i="31"/>
  <c r="S170" i="31"/>
  <c r="S159" i="31"/>
  <c r="S148" i="31"/>
  <c r="S138" i="31"/>
  <c r="S127" i="31"/>
  <c r="S116" i="31"/>
  <c r="S106" i="31"/>
  <c r="S95" i="31"/>
  <c r="S84" i="31"/>
  <c r="S75" i="31"/>
  <c r="S66" i="31"/>
  <c r="S56" i="31"/>
  <c r="S47" i="31"/>
  <c r="S38" i="31"/>
  <c r="S29" i="31"/>
  <c r="S20" i="31"/>
  <c r="S11" i="31"/>
  <c r="S1066" i="31"/>
  <c r="S1002" i="31"/>
  <c r="S896" i="31"/>
  <c r="S776" i="31"/>
  <c r="S637" i="31"/>
  <c r="S520" i="31"/>
  <c r="S392" i="31"/>
  <c r="S274" i="31"/>
  <c r="S189" i="31"/>
  <c r="S125" i="31"/>
  <c r="S64" i="31"/>
  <c r="S10" i="31"/>
  <c r="S632" i="31"/>
  <c r="S1294" i="31"/>
  <c r="S1210" i="31"/>
  <c r="S1127" i="31"/>
  <c r="S1063" i="31"/>
  <c r="S999" i="31"/>
  <c r="S946" i="31"/>
  <c r="S895" i="31"/>
  <c r="S853" i="31"/>
  <c r="S811" i="31"/>
  <c r="S775" i="31"/>
  <c r="S738" i="31"/>
  <c r="S702" i="31"/>
  <c r="S667" i="31"/>
  <c r="S636" i="31"/>
  <c r="S611" i="31"/>
  <c r="S586" i="31"/>
  <c r="S562" i="31"/>
  <c r="S540" i="31"/>
  <c r="S518" i="31"/>
  <c r="S498" i="31"/>
  <c r="S476" i="31"/>
  <c r="S454" i="31"/>
  <c r="S434" i="31"/>
  <c r="S412" i="31"/>
  <c r="S391" i="31"/>
  <c r="S373" i="31"/>
  <c r="S355" i="31"/>
  <c r="S336" i="31"/>
  <c r="S318" i="31"/>
  <c r="S300" i="31"/>
  <c r="S285" i="31"/>
  <c r="S272" i="31"/>
  <c r="S260" i="31"/>
  <c r="S248" i="31"/>
  <c r="S236" i="31"/>
  <c r="S223" i="31"/>
  <c r="S212" i="31"/>
  <c r="S199" i="31"/>
  <c r="S188" i="31"/>
  <c r="S178" i="31"/>
  <c r="S167" i="31"/>
  <c r="S156" i="31"/>
  <c r="S146" i="31"/>
  <c r="S135" i="31"/>
  <c r="S124" i="31"/>
  <c r="S114" i="31"/>
  <c r="S103" i="31"/>
  <c r="S92" i="31"/>
  <c r="S82" i="31"/>
  <c r="S72" i="31"/>
  <c r="S63" i="31"/>
  <c r="S54" i="31"/>
  <c r="S45" i="31"/>
  <c r="S36" i="31"/>
  <c r="S27" i="31"/>
  <c r="S18" i="31"/>
  <c r="S1277" i="31"/>
  <c r="S1190" i="31"/>
  <c r="S1114" i="31"/>
  <c r="S1050" i="31"/>
  <c r="S986" i="31"/>
  <c r="S935" i="31"/>
  <c r="S886" i="31"/>
  <c r="S842" i="31"/>
  <c r="S803" i="31"/>
  <c r="S767" i="31"/>
  <c r="S694" i="31"/>
  <c r="S605" i="31"/>
  <c r="S580" i="31"/>
  <c r="S557" i="31"/>
  <c r="S536" i="31"/>
  <c r="S493" i="31"/>
  <c r="S472" i="31"/>
  <c r="S451" i="31"/>
  <c r="S429" i="31"/>
  <c r="S408" i="31"/>
  <c r="S388" i="31"/>
  <c r="S370" i="31"/>
  <c r="S351" i="31"/>
  <c r="S333" i="31"/>
  <c r="S315" i="31"/>
  <c r="S296" i="31"/>
  <c r="S283" i="31"/>
  <c r="S270" i="31"/>
  <c r="S259" i="31"/>
  <c r="S1189" i="31"/>
  <c r="S766" i="31"/>
  <c r="S556" i="31"/>
  <c r="S406" i="31"/>
  <c r="S269" i="31"/>
  <c r="S210" i="31"/>
  <c r="S165" i="31"/>
  <c r="S123" i="31"/>
  <c r="S80" i="31"/>
  <c r="S44" i="31"/>
  <c r="S1111" i="31"/>
  <c r="S730" i="31"/>
  <c r="S534" i="31"/>
  <c r="S387" i="31"/>
  <c r="S258" i="31"/>
  <c r="S208" i="31"/>
  <c r="S164" i="31"/>
  <c r="S122" i="31"/>
  <c r="S79" i="31"/>
  <c r="S43" i="31"/>
  <c r="S515" i="31"/>
  <c r="S984" i="31"/>
  <c r="S350" i="31"/>
  <c r="S245" i="31"/>
  <c r="S196" i="31"/>
  <c r="S154" i="31"/>
  <c r="S70" i="31"/>
  <c r="S934" i="31"/>
  <c r="S659" i="31"/>
  <c r="S492" i="31"/>
  <c r="S332" i="31"/>
  <c r="S234" i="31"/>
  <c r="S187" i="31"/>
  <c r="S144" i="31"/>
  <c r="S101" i="31"/>
  <c r="S62" i="31"/>
  <c r="S26" i="31"/>
  <c r="S604" i="31"/>
  <c r="S176" i="31"/>
  <c r="S91" i="31"/>
  <c r="S16" i="31"/>
  <c r="S802" i="31"/>
  <c r="S579" i="31"/>
  <c r="S282" i="31"/>
  <c r="S175" i="31"/>
  <c r="S90" i="31"/>
  <c r="S15" i="31"/>
  <c r="S729" i="31"/>
  <c r="S368" i="31"/>
  <c r="S246" i="31"/>
  <c r="S155" i="31"/>
  <c r="S112" i="31"/>
  <c r="S71" i="31"/>
  <c r="S514" i="31"/>
  <c r="S885" i="31"/>
  <c r="S629" i="31"/>
  <c r="S470" i="31"/>
  <c r="S314" i="31"/>
  <c r="S232" i="31"/>
  <c r="S186" i="31"/>
  <c r="S143" i="31"/>
  <c r="S100" i="31"/>
  <c r="S61" i="31"/>
  <c r="S24" i="31"/>
  <c r="S841" i="31"/>
  <c r="S450" i="31"/>
  <c r="S295" i="31"/>
  <c r="S222" i="31"/>
  <c r="S133" i="31"/>
  <c r="S53" i="31"/>
  <c r="S1274" i="31"/>
  <c r="S428" i="31"/>
  <c r="S221" i="31"/>
  <c r="S132" i="31"/>
  <c r="S52" i="31"/>
  <c r="S1047" i="31"/>
  <c r="S197" i="31"/>
  <c r="S35" i="31"/>
  <c r="S693" i="31"/>
  <c r="S111" i="31"/>
  <c r="S34" i="31"/>
  <c r="AB13" i="30"/>
  <c r="AB20" i="30"/>
  <c r="AB12" i="30"/>
  <c r="P13" i="30"/>
  <c r="AB29" i="30"/>
  <c r="AB21" i="30"/>
  <c r="P8" i="30"/>
  <c r="H14" i="13" s="1"/>
  <c r="AB28" i="30"/>
  <c r="AF14" i="13"/>
  <c r="P21" i="30"/>
  <c r="AB14" i="30"/>
  <c r="AB22" i="30"/>
  <c r="AB15" i="30"/>
  <c r="AB23" i="30"/>
  <c r="AB8" i="30"/>
  <c r="AG11" i="13" s="1"/>
  <c r="AB17" i="30"/>
  <c r="AB25" i="30"/>
  <c r="AB16" i="30"/>
  <c r="AB24" i="30"/>
  <c r="AB10" i="30"/>
  <c r="AG15" i="13" s="1"/>
  <c r="AB18" i="30"/>
  <c r="AB26" i="30"/>
  <c r="AB9" i="30"/>
  <c r="AG14" i="13" s="1"/>
  <c r="AH14" i="13" s="1"/>
  <c r="L14" i="13" s="1"/>
  <c r="BF14" i="13" s="1"/>
  <c r="AB11" i="30"/>
  <c r="AB19" i="30"/>
  <c r="T35" i="32"/>
  <c r="T11" i="32"/>
  <c r="T40" i="32"/>
  <c r="T13" i="32"/>
  <c r="T16" i="32"/>
  <c r="T37" i="32"/>
  <c r="T19" i="32"/>
  <c r="T9" i="32"/>
  <c r="T21" i="32"/>
  <c r="T43" i="32"/>
  <c r="T8" i="32"/>
  <c r="AE10" i="13" s="1"/>
  <c r="AH10" i="13" s="1"/>
  <c r="L10" i="13" s="1"/>
  <c r="BF10" i="13" s="1"/>
  <c r="J7" i="7"/>
  <c r="E7" i="7" s="1"/>
  <c r="AD54" i="13"/>
  <c r="AH54" i="13" s="1"/>
  <c r="L54" i="13" s="1"/>
  <c r="T27" i="32"/>
  <c r="AE54" i="13"/>
  <c r="T29" i="32"/>
  <c r="J8" i="7"/>
  <c r="E8" i="7" s="1"/>
  <c r="J9" i="7"/>
  <c r="E9" i="7" s="1"/>
  <c r="J6" i="7"/>
  <c r="I17" i="13"/>
  <c r="BD17" i="13" s="1"/>
  <c r="AF17" i="13"/>
  <c r="AE17" i="13"/>
  <c r="AT17" i="13"/>
  <c r="AR17" i="13"/>
  <c r="H17" i="13"/>
  <c r="H13" i="13"/>
  <c r="AF9" i="13"/>
  <c r="AL14" i="13"/>
  <c r="AM14" i="13" s="1"/>
  <c r="H9" i="13"/>
  <c r="AB14" i="13"/>
  <c r="AT10" i="13"/>
  <c r="AR10" i="13"/>
  <c r="AB10" i="13"/>
  <c r="AD11" i="13"/>
  <c r="AG8" i="13"/>
  <c r="AR8" i="13"/>
  <c r="AC10" i="13"/>
  <c r="AG12" i="13"/>
  <c r="AT12" i="13"/>
  <c r="AR12" i="13"/>
  <c r="AB11" i="13"/>
  <c r="AD10" i="13"/>
  <c r="AE9" i="13"/>
  <c r="AT9" i="13"/>
  <c r="AR9" i="13"/>
  <c r="AF10" i="13"/>
  <c r="AE13" i="13"/>
  <c r="AT13" i="13"/>
  <c r="AR13" i="13"/>
  <c r="AL8" i="13"/>
  <c r="AM8" i="13" s="1"/>
  <c r="AL11" i="13"/>
  <c r="AM11" i="13" s="1"/>
  <c r="F33" i="35" s="1"/>
  <c r="H10" i="13"/>
  <c r="AL9" i="13"/>
  <c r="AM9" i="13" s="1"/>
  <c r="AR11" i="13"/>
  <c r="AF13" i="13"/>
  <c r="AL10" i="13"/>
  <c r="AM10" i="13" s="1"/>
  <c r="AG16" i="13"/>
  <c r="I15" i="13"/>
  <c r="BD15" i="13" s="1"/>
  <c r="AB15" i="13"/>
  <c r="AH34" i="13"/>
  <c r="L34" i="13" s="1"/>
  <c r="BF34" i="13" s="1"/>
  <c r="I13" i="13"/>
  <c r="BD13" i="13" s="1"/>
  <c r="H12" i="13"/>
  <c r="AG9" i="13"/>
  <c r="AC11" i="13"/>
  <c r="AG13" i="13"/>
  <c r="AE14" i="13"/>
  <c r="AC15" i="13"/>
  <c r="AG17" i="13"/>
  <c r="AE28" i="13"/>
  <c r="AC29" i="13"/>
  <c r="AG31" i="13"/>
  <c r="AE32" i="13"/>
  <c r="AC33" i="13"/>
  <c r="AG35" i="13"/>
  <c r="AE36" i="13"/>
  <c r="AB12" i="13"/>
  <c r="AD15" i="13"/>
  <c r="AB16" i="13"/>
  <c r="AH17" i="13"/>
  <c r="L17" i="13" s="1"/>
  <c r="BF17" i="13" s="1"/>
  <c r="AD29" i="13"/>
  <c r="AB30" i="13"/>
  <c r="AH31" i="13"/>
  <c r="L31" i="13" s="1"/>
  <c r="BF31" i="13" s="1"/>
  <c r="AD33" i="13"/>
  <c r="AB34" i="13"/>
  <c r="AH35" i="13"/>
  <c r="L35" i="13" s="1"/>
  <c r="BF35" i="13" s="1"/>
  <c r="I16" i="13"/>
  <c r="BD16" i="13" s="1"/>
  <c r="I34" i="13"/>
  <c r="BD34" i="13" s="1"/>
  <c r="AG10" i="13"/>
  <c r="AE11" i="13"/>
  <c r="AC12" i="13"/>
  <c r="AE15" i="13"/>
  <c r="AC16" i="13"/>
  <c r="AE29" i="13"/>
  <c r="AC30" i="13"/>
  <c r="AE33" i="13"/>
  <c r="AC34" i="13"/>
  <c r="AG36" i="13"/>
  <c r="I8" i="13"/>
  <c r="BD8" i="13" s="1"/>
  <c r="H34" i="13"/>
  <c r="AD8" i="13"/>
  <c r="AF11" i="13"/>
  <c r="AD12" i="13"/>
  <c r="AH12" i="13" s="1"/>
  <c r="L12" i="13" s="1"/>
  <c r="BF12" i="13" s="1"/>
  <c r="AF15" i="13"/>
  <c r="AH15" i="13" s="1"/>
  <c r="L15" i="13" s="1"/>
  <c r="BF15" i="13" s="1"/>
  <c r="AD16" i="13"/>
  <c r="AB17" i="13"/>
  <c r="AF29" i="13"/>
  <c r="AD30" i="13"/>
  <c r="AB31" i="13"/>
  <c r="AF33" i="13"/>
  <c r="AD34" i="13"/>
  <c r="AB35" i="13"/>
  <c r="AE8" i="13"/>
  <c r="AE12" i="13"/>
  <c r="AC13" i="13"/>
  <c r="AE16" i="13"/>
  <c r="AC17" i="13"/>
  <c r="AG29" i="13"/>
  <c r="AE30" i="13"/>
  <c r="AC31" i="13"/>
  <c r="AG33" i="13"/>
  <c r="AE34" i="13"/>
  <c r="AC35" i="13"/>
  <c r="H8" i="13"/>
  <c r="AF8" i="13"/>
  <c r="AD9" i="13"/>
  <c r="AF12" i="13"/>
  <c r="AD13" i="13"/>
  <c r="AF16" i="13"/>
  <c r="AH16" i="13" s="1"/>
  <c r="L16" i="13" s="1"/>
  <c r="BF16" i="13" s="1"/>
  <c r="AD17" i="13"/>
  <c r="AH29" i="13"/>
  <c r="L29" i="13" s="1"/>
  <c r="BF29" i="13" s="1"/>
  <c r="AF30" i="13"/>
  <c r="AD31" i="13"/>
  <c r="AH33" i="13"/>
  <c r="L33" i="13" s="1"/>
  <c r="BF33" i="13" s="1"/>
  <c r="AF34" i="13"/>
  <c r="AD35" i="13"/>
  <c r="I30" i="13"/>
  <c r="BD30" i="13" s="1"/>
  <c r="T14" i="32"/>
  <c r="T22" i="32"/>
  <c r="T30" i="32"/>
  <c r="T38" i="32"/>
  <c r="T15" i="32"/>
  <c r="T23" i="32"/>
  <c r="T31" i="32"/>
  <c r="T39" i="32"/>
  <c r="T17" i="32"/>
  <c r="T25" i="32"/>
  <c r="T33" i="32"/>
  <c r="T41" i="32"/>
  <c r="T10" i="32"/>
  <c r="T18" i="32"/>
  <c r="T26" i="32"/>
  <c r="T34" i="32"/>
  <c r="T42" i="32"/>
  <c r="T12" i="32"/>
  <c r="T20" i="32"/>
  <c r="T28" i="32"/>
  <c r="T36" i="32"/>
  <c r="P14" i="30"/>
  <c r="P22" i="30"/>
  <c r="P15" i="30"/>
  <c r="P23" i="30"/>
  <c r="P16" i="30"/>
  <c r="P24" i="30"/>
  <c r="P9" i="30"/>
  <c r="H15" i="13" s="1"/>
  <c r="P17" i="30"/>
  <c r="P25" i="30"/>
  <c r="P10" i="30"/>
  <c r="P18" i="30"/>
  <c r="P26" i="30"/>
  <c r="P11" i="30"/>
  <c r="P19" i="30"/>
  <c r="P27" i="30"/>
  <c r="P12" i="30"/>
  <c r="H16" i="13" s="1"/>
  <c r="P20" i="30"/>
  <c r="W2" i="13"/>
  <c r="AS34" i="13" l="1"/>
  <c r="AV34" i="13" s="1"/>
  <c r="AH13" i="13"/>
  <c r="L13" i="13" s="1"/>
  <c r="BF13" i="13" s="1"/>
  <c r="AO36" i="13"/>
  <c r="X36" i="13" s="1"/>
  <c r="AS36" i="13"/>
  <c r="AV36" i="13" s="1"/>
  <c r="H11" i="13"/>
  <c r="M33" i="34"/>
  <c r="M33" i="19"/>
  <c r="M33" i="35"/>
  <c r="AS28" i="13"/>
  <c r="AV28" i="13" s="1"/>
  <c r="AO28" i="13"/>
  <c r="U28" i="13"/>
  <c r="BG28" i="13" s="1"/>
  <c r="AO54" i="13"/>
  <c r="BF54" i="13"/>
  <c r="AN33" i="13"/>
  <c r="W33" i="13" s="1"/>
  <c r="AN28" i="13"/>
  <c r="W28" i="13" s="1"/>
  <c r="AO31" i="13"/>
  <c r="AN34" i="13"/>
  <c r="W34" i="13" s="1"/>
  <c r="AN36" i="13"/>
  <c r="W36" i="13" s="1"/>
  <c r="AN15" i="13"/>
  <c r="W15" i="13" s="1"/>
  <c r="AS29" i="13"/>
  <c r="AV29" i="13" s="1"/>
  <c r="U36" i="13"/>
  <c r="BG36" i="13" s="1"/>
  <c r="AS30" i="13"/>
  <c r="AV30" i="13" s="1"/>
  <c r="AN32" i="13"/>
  <c r="W32" i="13" s="1"/>
  <c r="AO30" i="13"/>
  <c r="AN16" i="13"/>
  <c r="W16" i="13" s="1"/>
  <c r="U33" i="13"/>
  <c r="BG33" i="13" s="1"/>
  <c r="AO32" i="13"/>
  <c r="AO33" i="13"/>
  <c r="AO29" i="13"/>
  <c r="AO17" i="13"/>
  <c r="AS32" i="13"/>
  <c r="AV32" i="13" s="1"/>
  <c r="AS17" i="13"/>
  <c r="AV17" i="13" s="1"/>
  <c r="AN35" i="13"/>
  <c r="W35" i="13" s="1"/>
  <c r="U35" i="13"/>
  <c r="BG35" i="13" s="1"/>
  <c r="AO34" i="13"/>
  <c r="AN30" i="13"/>
  <c r="W30" i="13" s="1"/>
  <c r="U17" i="13"/>
  <c r="BG17" i="13" s="1"/>
  <c r="U31" i="13"/>
  <c r="BG31" i="13" s="1"/>
  <c r="AS31" i="13"/>
  <c r="AV31" i="13" s="1"/>
  <c r="AN29" i="13"/>
  <c r="W29" i="13" s="1"/>
  <c r="AO35" i="13"/>
  <c r="U13" i="13"/>
  <c r="BG13" i="13" s="1"/>
  <c r="AO13" i="13"/>
  <c r="BH13" i="13" s="1"/>
  <c r="AS13" i="13"/>
  <c r="AV13" i="13" s="1"/>
  <c r="AN14" i="13"/>
  <c r="J57" i="14"/>
  <c r="J32" i="14"/>
  <c r="AL33" i="14"/>
  <c r="BD33" i="14" s="1"/>
  <c r="AC9" i="13"/>
  <c r="AO16" i="13"/>
  <c r="AS11" i="13"/>
  <c r="F29" i="29" s="1"/>
  <c r="M7" i="7"/>
  <c r="E6" i="7"/>
  <c r="M6" i="7"/>
  <c r="M9" i="7"/>
  <c r="M8" i="7"/>
  <c r="AS14" i="13"/>
  <c r="U14" i="13"/>
  <c r="BG14" i="13" s="1"/>
  <c r="AO14" i="13"/>
  <c r="BH14" i="13" s="1"/>
  <c r="U12" i="13"/>
  <c r="BG12" i="13" s="1"/>
  <c r="U11" i="13"/>
  <c r="BG11" i="13" s="1"/>
  <c r="AS12" i="13"/>
  <c r="AV12" i="13" s="1"/>
  <c r="AO12" i="13"/>
  <c r="BH12" i="13" s="1"/>
  <c r="AH11" i="13"/>
  <c r="AS9" i="13"/>
  <c r="AV9" i="13" s="1"/>
  <c r="U9" i="13"/>
  <c r="BG9" i="13" s="1"/>
  <c r="AS10" i="13"/>
  <c r="U10" i="13"/>
  <c r="BG10" i="13" s="1"/>
  <c r="AO10" i="13"/>
  <c r="BH10" i="13" s="1"/>
  <c r="U15" i="13"/>
  <c r="BG15" i="13" s="1"/>
  <c r="AO15" i="13"/>
  <c r="U16" i="13"/>
  <c r="BG16" i="13" s="1"/>
  <c r="AT15" i="13"/>
  <c r="AV15" i="13" s="1"/>
  <c r="AT16" i="13"/>
  <c r="AV16" i="13" s="1"/>
  <c r="D28" i="30"/>
  <c r="D27" i="30"/>
  <c r="D26" i="30"/>
  <c r="D25" i="30"/>
  <c r="D24" i="30"/>
  <c r="D23" i="30"/>
  <c r="D22" i="30"/>
  <c r="D21" i="30"/>
  <c r="D20" i="30"/>
  <c r="D19" i="30"/>
  <c r="D18" i="30"/>
  <c r="D17" i="30"/>
  <c r="D16" i="30"/>
  <c r="D15" i="30"/>
  <c r="D14" i="30"/>
  <c r="D13" i="30"/>
  <c r="D12" i="30"/>
  <c r="D11" i="30"/>
  <c r="D10" i="30"/>
  <c r="D9" i="30"/>
  <c r="BH36" i="13" l="1"/>
  <c r="AT11" i="13"/>
  <c r="H29" i="29" s="1"/>
  <c r="X29" i="13"/>
  <c r="BH29" i="13"/>
  <c r="X17" i="13"/>
  <c r="BH17" i="13"/>
  <c r="X33" i="13"/>
  <c r="BH33" i="13"/>
  <c r="X34" i="13"/>
  <c r="BH34" i="13"/>
  <c r="X16" i="13"/>
  <c r="BH16" i="13"/>
  <c r="X54" i="13"/>
  <c r="BH54" i="13"/>
  <c r="X35" i="13"/>
  <c r="BH35" i="13"/>
  <c r="X30" i="13"/>
  <c r="BH30" i="13"/>
  <c r="X31" i="13"/>
  <c r="BH31" i="13"/>
  <c r="X28" i="13"/>
  <c r="BH28" i="13"/>
  <c r="X32" i="13"/>
  <c r="BH32" i="13"/>
  <c r="X15" i="13"/>
  <c r="BH15" i="13"/>
  <c r="AL32" i="14"/>
  <c r="BD32" i="14" s="1"/>
  <c r="BB32" i="14"/>
  <c r="AL57" i="14"/>
  <c r="BB57" i="14"/>
  <c r="F7" i="7"/>
  <c r="Q7" i="7"/>
  <c r="F8" i="7"/>
  <c r="Q8" i="7"/>
  <c r="F9" i="7"/>
  <c r="Q9" i="7"/>
  <c r="Q6" i="7"/>
  <c r="L11" i="13"/>
  <c r="BF11" i="13" s="1"/>
  <c r="W14" i="13"/>
  <c r="X14" i="13"/>
  <c r="U33" i="14"/>
  <c r="X13" i="13"/>
  <c r="X12" i="13"/>
  <c r="X10" i="13"/>
  <c r="U8" i="13"/>
  <c r="BG8" i="13" s="1"/>
  <c r="AV10" i="13"/>
  <c r="AS8" i="13"/>
  <c r="AT14" i="13"/>
  <c r="D556" i="31"/>
  <c r="D555" i="31"/>
  <c r="D554" i="31"/>
  <c r="D553" i="31"/>
  <c r="D552" i="31"/>
  <c r="D551" i="31"/>
  <c r="D550" i="31"/>
  <c r="D549" i="31"/>
  <c r="D548" i="31"/>
  <c r="D547" i="31"/>
  <c r="D546" i="31"/>
  <c r="D545" i="31"/>
  <c r="D544" i="31"/>
  <c r="D543" i="31"/>
  <c r="D542" i="31"/>
  <c r="D541" i="31"/>
  <c r="D540" i="31"/>
  <c r="D539" i="31"/>
  <c r="D538" i="31"/>
  <c r="D537" i="31"/>
  <c r="D536" i="31"/>
  <c r="D535" i="31"/>
  <c r="D534" i="31"/>
  <c r="D533" i="31"/>
  <c r="D532" i="31"/>
  <c r="D531" i="31"/>
  <c r="D530" i="31"/>
  <c r="D529" i="31"/>
  <c r="D528" i="31"/>
  <c r="D527" i="31"/>
  <c r="D526" i="31"/>
  <c r="D525" i="31"/>
  <c r="D524" i="31"/>
  <c r="D523" i="31"/>
  <c r="D522" i="31"/>
  <c r="D521" i="31"/>
  <c r="D520" i="31"/>
  <c r="D519" i="31"/>
  <c r="D518" i="31"/>
  <c r="D517" i="31"/>
  <c r="D516" i="31"/>
  <c r="D515" i="31"/>
  <c r="D514" i="31"/>
  <c r="D513" i="31"/>
  <c r="D512" i="31"/>
  <c r="D511" i="31"/>
  <c r="D510" i="31"/>
  <c r="D509" i="31"/>
  <c r="D508" i="31"/>
  <c r="D507" i="31"/>
  <c r="D506" i="31"/>
  <c r="D505" i="31"/>
  <c r="D504" i="31"/>
  <c r="D503" i="31"/>
  <c r="D502" i="31"/>
  <c r="D501" i="31"/>
  <c r="D500" i="31"/>
  <c r="D499" i="31"/>
  <c r="D498" i="31"/>
  <c r="D497" i="31"/>
  <c r="D496" i="31"/>
  <c r="D495" i="31"/>
  <c r="D494" i="31"/>
  <c r="D493" i="31"/>
  <c r="D492" i="31"/>
  <c r="D491" i="31"/>
  <c r="D490" i="31"/>
  <c r="D489" i="31"/>
  <c r="D488" i="31"/>
  <c r="D487" i="31"/>
  <c r="D486" i="31"/>
  <c r="D485" i="31"/>
  <c r="D484" i="31"/>
  <c r="D483" i="31"/>
  <c r="D482" i="31"/>
  <c r="D481" i="31"/>
  <c r="D480" i="31"/>
  <c r="D479" i="31"/>
  <c r="D478" i="31"/>
  <c r="D477" i="31"/>
  <c r="D476" i="31"/>
  <c r="D475" i="31"/>
  <c r="D474" i="31"/>
  <c r="D473" i="31"/>
  <c r="D472" i="31"/>
  <c r="D471" i="31"/>
  <c r="D470" i="31"/>
  <c r="D469" i="31"/>
  <c r="D468" i="31"/>
  <c r="D467" i="31"/>
  <c r="D466" i="31"/>
  <c r="D465" i="31"/>
  <c r="D464" i="31"/>
  <c r="D463" i="31"/>
  <c r="D462" i="31"/>
  <c r="D461" i="31"/>
  <c r="D460" i="31"/>
  <c r="D459" i="31"/>
  <c r="D458" i="31"/>
  <c r="D457" i="31"/>
  <c r="D456" i="31"/>
  <c r="D455" i="31"/>
  <c r="D454" i="31"/>
  <c r="D453" i="31"/>
  <c r="D452" i="31"/>
  <c r="D451" i="31"/>
  <c r="D450" i="31"/>
  <c r="D449" i="31"/>
  <c r="D448" i="31"/>
  <c r="D447" i="31"/>
  <c r="D446" i="31"/>
  <c r="D445" i="31"/>
  <c r="D444" i="31"/>
  <c r="D443" i="31"/>
  <c r="D442" i="31"/>
  <c r="D441" i="31"/>
  <c r="D440" i="31"/>
  <c r="D439" i="31"/>
  <c r="D438" i="31"/>
  <c r="D437" i="31"/>
  <c r="D436" i="31"/>
  <c r="D435" i="31"/>
  <c r="D434" i="31"/>
  <c r="D433" i="31"/>
  <c r="D432" i="31"/>
  <c r="D431" i="31"/>
  <c r="D430" i="31"/>
  <c r="D429" i="31"/>
  <c r="D428" i="31"/>
  <c r="D427" i="31"/>
  <c r="D426" i="31"/>
  <c r="D425" i="31"/>
  <c r="D424" i="31"/>
  <c r="D423" i="31"/>
  <c r="D422" i="31"/>
  <c r="D421" i="31"/>
  <c r="D420" i="31"/>
  <c r="D419" i="31"/>
  <c r="D418" i="31"/>
  <c r="D417" i="31"/>
  <c r="D416" i="31"/>
  <c r="D415" i="31"/>
  <c r="D414" i="31"/>
  <c r="D413" i="31"/>
  <c r="D412" i="31"/>
  <c r="D411" i="31"/>
  <c r="D410" i="31"/>
  <c r="D409" i="31"/>
  <c r="D408" i="31"/>
  <c r="D407" i="31"/>
  <c r="D406" i="31"/>
  <c r="D405" i="31"/>
  <c r="D404" i="31"/>
  <c r="D403" i="31"/>
  <c r="D402" i="31"/>
  <c r="D401" i="31"/>
  <c r="D400" i="31"/>
  <c r="D399" i="31"/>
  <c r="D398" i="31"/>
  <c r="D397" i="31"/>
  <c r="D396" i="31"/>
  <c r="D395" i="31"/>
  <c r="D394" i="31"/>
  <c r="D393" i="31"/>
  <c r="D392" i="31"/>
  <c r="D391" i="31"/>
  <c r="D390" i="31"/>
  <c r="D389" i="31"/>
  <c r="D388" i="31"/>
  <c r="D387" i="31"/>
  <c r="D386" i="31"/>
  <c r="D385" i="31"/>
  <c r="D384" i="31"/>
  <c r="D383" i="31"/>
  <c r="D382" i="31"/>
  <c r="D381" i="31"/>
  <c r="D380" i="31"/>
  <c r="D379" i="31"/>
  <c r="D378" i="31"/>
  <c r="D377" i="31"/>
  <c r="D376" i="31"/>
  <c r="D375" i="31"/>
  <c r="D374" i="31"/>
  <c r="D373" i="31"/>
  <c r="D372" i="31"/>
  <c r="D371" i="31"/>
  <c r="D370" i="31"/>
  <c r="P4" i="31"/>
  <c r="O4" i="31"/>
  <c r="N4" i="31"/>
  <c r="M4" i="31"/>
  <c r="L4" i="31"/>
  <c r="K66" i="35" l="1"/>
  <c r="M66" i="34"/>
  <c r="M66" i="35"/>
  <c r="M64" i="19"/>
  <c r="K64" i="35"/>
  <c r="M64" i="35"/>
  <c r="M64" i="34"/>
  <c r="M63" i="19"/>
  <c r="M63" i="34"/>
  <c r="M63" i="35"/>
  <c r="K63" i="35"/>
  <c r="U32" i="14"/>
  <c r="M66" i="19"/>
  <c r="M62" i="34"/>
  <c r="M62" i="19"/>
  <c r="M62" i="35"/>
  <c r="K62" i="35"/>
  <c r="AO11" i="13"/>
  <c r="AV11" i="13"/>
  <c r="I29" i="29" s="1"/>
  <c r="AV8" i="13"/>
  <c r="AT8" i="13"/>
  <c r="U57" i="14"/>
  <c r="BD57" i="14"/>
  <c r="K68" i="19"/>
  <c r="AV14" i="13"/>
  <c r="S4" i="31"/>
  <c r="J36" i="13"/>
  <c r="BC36" i="13" s="1"/>
  <c r="J35" i="13"/>
  <c r="BC35" i="13" s="1"/>
  <c r="J34" i="13"/>
  <c r="BC34" i="13" s="1"/>
  <c r="J33" i="13"/>
  <c r="BC33" i="13" s="1"/>
  <c r="J32" i="13"/>
  <c r="BC32" i="13" s="1"/>
  <c r="J31" i="13"/>
  <c r="BC31" i="13" s="1"/>
  <c r="J30" i="13"/>
  <c r="BC30" i="13" s="1"/>
  <c r="J29" i="13"/>
  <c r="BC29" i="13" s="1"/>
  <c r="J28" i="13"/>
  <c r="BC28" i="13" s="1"/>
  <c r="J17" i="13"/>
  <c r="BC17" i="13" s="1"/>
  <c r="J16" i="13"/>
  <c r="BC16" i="13" s="1"/>
  <c r="J15" i="13"/>
  <c r="BC15" i="13" s="1"/>
  <c r="AB25" i="13" l="1"/>
  <c r="AB13" i="13"/>
  <c r="K68" i="35"/>
  <c r="X11" i="13"/>
  <c r="K33" i="35"/>
  <c r="BH11" i="13"/>
  <c r="AG59" i="14"/>
  <c r="AG60" i="14"/>
  <c r="AG61" i="14"/>
  <c r="AG8" i="14"/>
  <c r="J8" i="14" s="1"/>
  <c r="AG33" i="14"/>
  <c r="AG57" i="14"/>
  <c r="AG7" i="14"/>
  <c r="J7" i="14" s="1"/>
  <c r="AG31" i="14"/>
  <c r="AG32" i="14"/>
  <c r="AG9" i="14"/>
  <c r="J9" i="14" s="1"/>
  <c r="AG11" i="14"/>
  <c r="AG55" i="14"/>
  <c r="AG10" i="14"/>
  <c r="AG56" i="14"/>
  <c r="AB8" i="13"/>
  <c r="AH8" i="13" s="1"/>
  <c r="L8" i="13" s="1"/>
  <c r="BF8" i="13" s="1"/>
  <c r="AB9" i="13"/>
  <c r="AH9" i="13" s="1"/>
  <c r="Z53" i="13"/>
  <c r="Z52" i="13"/>
  <c r="Z51" i="13"/>
  <c r="Z50" i="13"/>
  <c r="Z49" i="13"/>
  <c r="I49" i="13" s="1"/>
  <c r="BD49" i="13" s="1"/>
  <c r="Z48" i="13"/>
  <c r="J48" i="13" s="1"/>
  <c r="J14" i="13"/>
  <c r="BC14" i="13" s="1"/>
  <c r="J13" i="13"/>
  <c r="J12" i="13"/>
  <c r="J11" i="13"/>
  <c r="J10" i="13"/>
  <c r="J9" i="13"/>
  <c r="BC9" i="13" s="1"/>
  <c r="Z7" i="13"/>
  <c r="AA53" i="13"/>
  <c r="AA52" i="13"/>
  <c r="AA51" i="13"/>
  <c r="AA50" i="13"/>
  <c r="AA49" i="13"/>
  <c r="AA7" i="13"/>
  <c r="AN10" i="13" l="1"/>
  <c r="BC10" i="13"/>
  <c r="AN12" i="13"/>
  <c r="W12" i="13" s="1"/>
  <c r="BC12" i="13"/>
  <c r="AN11" i="13"/>
  <c r="BC11" i="13"/>
  <c r="AN13" i="13"/>
  <c r="BC13" i="13"/>
  <c r="AL9" i="14"/>
  <c r="BB9" i="14"/>
  <c r="BB7" i="14"/>
  <c r="AL7" i="14"/>
  <c r="AL8" i="14"/>
  <c r="BB8" i="14"/>
  <c r="AO9" i="13"/>
  <c r="L9" i="13"/>
  <c r="BF9" i="13" s="1"/>
  <c r="J10" i="14"/>
  <c r="AN9" i="13"/>
  <c r="W9" i="13" s="1"/>
  <c r="AO8" i="13"/>
  <c r="AI51" i="13"/>
  <c r="M51" i="13" s="1"/>
  <c r="AT51" i="13"/>
  <c r="AR51" i="13"/>
  <c r="AL51" i="13"/>
  <c r="AM51" i="13" s="1"/>
  <c r="AI52" i="13"/>
  <c r="M52" i="13" s="1"/>
  <c r="AT52" i="13"/>
  <c r="AR52" i="13"/>
  <c r="I52" i="13"/>
  <c r="BD52" i="13" s="1"/>
  <c r="AE52" i="13"/>
  <c r="AH52" i="13" s="1"/>
  <c r="L52" i="13" s="1"/>
  <c r="BF52" i="13" s="1"/>
  <c r="AF52" i="13"/>
  <c r="AD52" i="13"/>
  <c r="AG52" i="13"/>
  <c r="H52" i="13"/>
  <c r="BC52" i="13" s="1"/>
  <c r="AL52" i="13"/>
  <c r="AC52" i="13"/>
  <c r="AI53" i="13"/>
  <c r="M53" i="13" s="1"/>
  <c r="AR53" i="13"/>
  <c r="AT53" i="13"/>
  <c r="AH53" i="13"/>
  <c r="L53" i="13" s="1"/>
  <c r="AG53" i="13"/>
  <c r="AF53" i="13"/>
  <c r="I53" i="13"/>
  <c r="BD53" i="13" s="1"/>
  <c r="AB53" i="13"/>
  <c r="AL53" i="13"/>
  <c r="H53" i="13"/>
  <c r="BC53" i="13" s="1"/>
  <c r="AC53" i="13"/>
  <c r="AD53" i="13"/>
  <c r="AE53" i="13"/>
  <c r="AI48" i="13"/>
  <c r="M48" i="13" s="1"/>
  <c r="AT48" i="13"/>
  <c r="AR48" i="13"/>
  <c r="AG48" i="13"/>
  <c r="AL48" i="13"/>
  <c r="AF48" i="13"/>
  <c r="I48" i="13"/>
  <c r="BD48" i="13" s="1"/>
  <c r="AD48" i="13"/>
  <c r="H48" i="13"/>
  <c r="BC48" i="13" s="1"/>
  <c r="AE48" i="13"/>
  <c r="AC48" i="13"/>
  <c r="AH48" i="13" s="1"/>
  <c r="L48" i="13" s="1"/>
  <c r="BF48" i="13" s="1"/>
  <c r="AI49" i="13"/>
  <c r="M49" i="13" s="1"/>
  <c r="AT49" i="13"/>
  <c r="AR49" i="13"/>
  <c r="AC49" i="13"/>
  <c r="AB49" i="13"/>
  <c r="AG49" i="13"/>
  <c r="AF49" i="13"/>
  <c r="AL49" i="13"/>
  <c r="H49" i="13"/>
  <c r="BC49" i="13" s="1"/>
  <c r="AD49" i="13"/>
  <c r="AH49" i="13" s="1"/>
  <c r="AE49" i="13"/>
  <c r="AB48" i="13"/>
  <c r="AB52" i="13"/>
  <c r="AI50" i="13"/>
  <c r="M50" i="13" s="1"/>
  <c r="AR50" i="13"/>
  <c r="AB50" i="13"/>
  <c r="AE50" i="13"/>
  <c r="AC50" i="13"/>
  <c r="AD50" i="13"/>
  <c r="AL50" i="13"/>
  <c r="I50" i="13"/>
  <c r="BD50" i="13" s="1"/>
  <c r="AF50" i="13"/>
  <c r="AG50" i="13"/>
  <c r="H50" i="13"/>
  <c r="AI7" i="13"/>
  <c r="M7" i="13" s="1"/>
  <c r="J11" i="14"/>
  <c r="J56" i="14"/>
  <c r="H7" i="13"/>
  <c r="J7" i="13"/>
  <c r="AR7" i="13"/>
  <c r="AB7" i="13"/>
  <c r="I7" i="13"/>
  <c r="BD7" i="13" s="1"/>
  <c r="AC7" i="13"/>
  <c r="AD7" i="13"/>
  <c r="AF7" i="13"/>
  <c r="AG7" i="13"/>
  <c r="AL7" i="13"/>
  <c r="AM7" i="13" s="1"/>
  <c r="AE7" i="13"/>
  <c r="W10" i="13"/>
  <c r="H51" i="13"/>
  <c r="BC51" i="13" s="1"/>
  <c r="AE51" i="13"/>
  <c r="AF51" i="13"/>
  <c r="I51" i="13"/>
  <c r="BD51" i="13" s="1"/>
  <c r="AD51" i="13"/>
  <c r="AC51" i="13"/>
  <c r="AB51" i="13"/>
  <c r="AG51" i="13"/>
  <c r="J8" i="13"/>
  <c r="BC8" i="13" s="1"/>
  <c r="AD59" i="10"/>
  <c r="AB59" i="10"/>
  <c r="AD57" i="10"/>
  <c r="AB57" i="10"/>
  <c r="AD56" i="10"/>
  <c r="AB56" i="10"/>
  <c r="AD55" i="10"/>
  <c r="AB55" i="10"/>
  <c r="AD54" i="10"/>
  <c r="AB54" i="10"/>
  <c r="AD53" i="10"/>
  <c r="AB53" i="10"/>
  <c r="AD52" i="10"/>
  <c r="AB52" i="10"/>
  <c r="AD51" i="10"/>
  <c r="AB51" i="10"/>
  <c r="AD50" i="10"/>
  <c r="AB50" i="10"/>
  <c r="AD49" i="10"/>
  <c r="AB49" i="10"/>
  <c r="AD48" i="10"/>
  <c r="AB48" i="10"/>
  <c r="AD47" i="10"/>
  <c r="AB47" i="10"/>
  <c r="AD46" i="10"/>
  <c r="AB46" i="10"/>
  <c r="AD45" i="10"/>
  <c r="AB45" i="10"/>
  <c r="AD43" i="10"/>
  <c r="AB43" i="10"/>
  <c r="AD40" i="10"/>
  <c r="AB40" i="10"/>
  <c r="AD39" i="10"/>
  <c r="AB39" i="10"/>
  <c r="AD36" i="10"/>
  <c r="AB36" i="10"/>
  <c r="AD35" i="10"/>
  <c r="AB35" i="10"/>
  <c r="AD34" i="10"/>
  <c r="AB34" i="10"/>
  <c r="AD33" i="10"/>
  <c r="AB33" i="10"/>
  <c r="AD32" i="10"/>
  <c r="AB32" i="10"/>
  <c r="AD31" i="10"/>
  <c r="AB31" i="10"/>
  <c r="AD30" i="10"/>
  <c r="AB30" i="10"/>
  <c r="AD29" i="10"/>
  <c r="AB29" i="10"/>
  <c r="AD28" i="10"/>
  <c r="AB28" i="10"/>
  <c r="AD27" i="10"/>
  <c r="AB27" i="10"/>
  <c r="AD26" i="10"/>
  <c r="AB26" i="10"/>
  <c r="AD25" i="10"/>
  <c r="AB25" i="10"/>
  <c r="AD24" i="10"/>
  <c r="AB24" i="10"/>
  <c r="AD23" i="10"/>
  <c r="AB23" i="10"/>
  <c r="AD22" i="10"/>
  <c r="AB22" i="10"/>
  <c r="AD21" i="10"/>
  <c r="AB21" i="10"/>
  <c r="AD20" i="10"/>
  <c r="AB20" i="10"/>
  <c r="AD19" i="10"/>
  <c r="AB19" i="10"/>
  <c r="AD18" i="10"/>
  <c r="AB18" i="10"/>
  <c r="AD17" i="10"/>
  <c r="AB17" i="10"/>
  <c r="AD16" i="10"/>
  <c r="AB16" i="10"/>
  <c r="AD15" i="10"/>
  <c r="AB15" i="10"/>
  <c r="AD14" i="10"/>
  <c r="AB14" i="10"/>
  <c r="AD13" i="10"/>
  <c r="AB13" i="10"/>
  <c r="AD12" i="10"/>
  <c r="AB12" i="10"/>
  <c r="AD11" i="10"/>
  <c r="AB11" i="10"/>
  <c r="AD10" i="10"/>
  <c r="AB10" i="10"/>
  <c r="AD9" i="10"/>
  <c r="AB9" i="10"/>
  <c r="AD8" i="10"/>
  <c r="AB8" i="10"/>
  <c r="AD7" i="10"/>
  <c r="AB7" i="10"/>
  <c r="Z59" i="10"/>
  <c r="Z57" i="10"/>
  <c r="Z56" i="10"/>
  <c r="Z55" i="10"/>
  <c r="Z54" i="10"/>
  <c r="Z53" i="10"/>
  <c r="Z52" i="10"/>
  <c r="Z51" i="10"/>
  <c r="Z50" i="10"/>
  <c r="Z49" i="10"/>
  <c r="Z48" i="10"/>
  <c r="Z47" i="10"/>
  <c r="Z46" i="10"/>
  <c r="Z45" i="10"/>
  <c r="Z43" i="10"/>
  <c r="Z40" i="10"/>
  <c r="Z39" i="10"/>
  <c r="Z38" i="10"/>
  <c r="Z37" i="10"/>
  <c r="Z36" i="10"/>
  <c r="Z35" i="10"/>
  <c r="Z34" i="10"/>
  <c r="Z33" i="10"/>
  <c r="Z32" i="10"/>
  <c r="Z31" i="10"/>
  <c r="Z30" i="10"/>
  <c r="Z29" i="10"/>
  <c r="Z28" i="10"/>
  <c r="Z27" i="10"/>
  <c r="Z26" i="10"/>
  <c r="Z25" i="10"/>
  <c r="Z24" i="10"/>
  <c r="Z23" i="10"/>
  <c r="Z22" i="10"/>
  <c r="Z21" i="10"/>
  <c r="Z20" i="10"/>
  <c r="Z19" i="10"/>
  <c r="Z18" i="10"/>
  <c r="Z17" i="10"/>
  <c r="Z16" i="10"/>
  <c r="Z15" i="10"/>
  <c r="Z14" i="10"/>
  <c r="Z13" i="10"/>
  <c r="Z12" i="10"/>
  <c r="Z11" i="10"/>
  <c r="Z10" i="10"/>
  <c r="Z9" i="10"/>
  <c r="Z8" i="10"/>
  <c r="Z7" i="10"/>
  <c r="AF59" i="10"/>
  <c r="AF57" i="10"/>
  <c r="AF56" i="10"/>
  <c r="AF55" i="10"/>
  <c r="AF54" i="10"/>
  <c r="AF53" i="10"/>
  <c r="AF52" i="10"/>
  <c r="AF51" i="10"/>
  <c r="AF50" i="10"/>
  <c r="AF49" i="10"/>
  <c r="AF45" i="10"/>
  <c r="AF43" i="10"/>
  <c r="AF40" i="10"/>
  <c r="AF39" i="10"/>
  <c r="AF38" i="10"/>
  <c r="AF37" i="10"/>
  <c r="AF36" i="10"/>
  <c r="AF35" i="10"/>
  <c r="AF34" i="10"/>
  <c r="AF33" i="10"/>
  <c r="AF32" i="10"/>
  <c r="AF31" i="10"/>
  <c r="AF30" i="10"/>
  <c r="AF29" i="10"/>
  <c r="AF28" i="10"/>
  <c r="AF27" i="10"/>
  <c r="AF26" i="10"/>
  <c r="AF25" i="10"/>
  <c r="D4" i="28"/>
  <c r="D5" i="28" s="1"/>
  <c r="D6" i="28" s="1"/>
  <c r="D7" i="28" s="1"/>
  <c r="D8" i="28" s="1"/>
  <c r="D9" i="28" s="1"/>
  <c r="D10" i="28" s="1"/>
  <c r="D11" i="28" s="1"/>
  <c r="D12" i="28" s="1"/>
  <c r="D13" i="28" s="1"/>
  <c r="D14" i="28" s="1"/>
  <c r="D15" i="28" s="1"/>
  <c r="D16" i="28" s="1"/>
  <c r="D17" i="28" s="1"/>
  <c r="D18" i="28" s="1"/>
  <c r="D19" i="28" s="1"/>
  <c r="D20" i="28" s="1"/>
  <c r="AF24" i="10" s="1"/>
  <c r="I37" i="29" l="1"/>
  <c r="K41" i="35"/>
  <c r="K43" i="35"/>
  <c r="I39" i="29"/>
  <c r="I44" i="29"/>
  <c r="BD9" i="14"/>
  <c r="I46" i="29"/>
  <c r="K50" i="35"/>
  <c r="U9" i="14"/>
  <c r="W11" i="13"/>
  <c r="H33" i="35"/>
  <c r="K48" i="35"/>
  <c r="F47" i="35"/>
  <c r="M47" i="35"/>
  <c r="M47" i="19"/>
  <c r="M47" i="34"/>
  <c r="AM48" i="13"/>
  <c r="AN48" i="13" s="1"/>
  <c r="W48" i="13" s="1"/>
  <c r="X8" i="13"/>
  <c r="BH8" i="13"/>
  <c r="W13" i="13"/>
  <c r="AT50" i="13"/>
  <c r="BC50" i="13"/>
  <c r="AM49" i="13"/>
  <c r="AS49" i="13" s="1"/>
  <c r="X9" i="13"/>
  <c r="BH9" i="13"/>
  <c r="AM53" i="13"/>
  <c r="AN53" i="13" s="1"/>
  <c r="W53" i="13" s="1"/>
  <c r="AM52" i="13"/>
  <c r="AN52" i="13" s="1"/>
  <c r="BC7" i="13"/>
  <c r="AM50" i="13"/>
  <c r="U50" i="13" s="1"/>
  <c r="BG50" i="13" s="1"/>
  <c r="AU53" i="13"/>
  <c r="BF53" i="13"/>
  <c r="AL11" i="14"/>
  <c r="U11" i="14" s="1"/>
  <c r="BB11" i="14"/>
  <c r="AL10" i="14"/>
  <c r="BD10" i="14" s="1"/>
  <c r="BB10" i="14"/>
  <c r="AL56" i="14"/>
  <c r="BB56" i="14"/>
  <c r="U8" i="14"/>
  <c r="BD8" i="14"/>
  <c r="BD7" i="14"/>
  <c r="U7" i="14"/>
  <c r="AU49" i="13"/>
  <c r="L49" i="13"/>
  <c r="BF49" i="13" s="1"/>
  <c r="AF7" i="10"/>
  <c r="AN51" i="13"/>
  <c r="AH51" i="13"/>
  <c r="L51" i="13" s="1"/>
  <c r="BF51" i="13" s="1"/>
  <c r="AH50" i="13"/>
  <c r="L50" i="13" s="1"/>
  <c r="BF50" i="13" s="1"/>
  <c r="AN8" i="13"/>
  <c r="W8" i="13" s="1"/>
  <c r="AN7" i="13"/>
  <c r="AU50" i="13"/>
  <c r="AS48" i="13"/>
  <c r="AV48" i="13" s="1"/>
  <c r="U48" i="13"/>
  <c r="BG48" i="13" s="1"/>
  <c r="U51" i="13"/>
  <c r="BG51" i="13" s="1"/>
  <c r="AS51" i="13"/>
  <c r="AO48" i="13"/>
  <c r="U53" i="13"/>
  <c r="BG53" i="13" s="1"/>
  <c r="AH7" i="13"/>
  <c r="L7" i="13" s="1"/>
  <c r="BF7" i="13" s="1"/>
  <c r="AS7" i="13"/>
  <c r="F43" i="29" s="1"/>
  <c r="U7" i="13"/>
  <c r="BG7" i="13" s="1"/>
  <c r="J39" i="19"/>
  <c r="I39" i="19"/>
  <c r="AF8" i="10"/>
  <c r="AF17" i="10"/>
  <c r="AF10" i="10"/>
  <c r="AF18" i="10"/>
  <c r="AF11" i="10"/>
  <c r="AF19" i="10"/>
  <c r="AF46" i="10"/>
  <c r="AF9" i="10"/>
  <c r="AF12" i="10"/>
  <c r="AF20" i="10"/>
  <c r="AF47" i="10"/>
  <c r="AF13" i="10"/>
  <c r="AF21" i="10"/>
  <c r="AF48" i="10"/>
  <c r="AF14" i="10"/>
  <c r="AF22" i="10"/>
  <c r="AF15" i="10"/>
  <c r="AF23" i="10"/>
  <c r="AF16" i="10"/>
  <c r="I2" i="29"/>
  <c r="U52" i="13" l="1"/>
  <c r="BG52" i="13" s="1"/>
  <c r="AO52" i="13"/>
  <c r="BH52" i="13" s="1"/>
  <c r="AS50" i="13"/>
  <c r="AS53" i="13"/>
  <c r="AV53" i="13" s="1"/>
  <c r="AO53" i="13"/>
  <c r="BH53" i="13" s="1"/>
  <c r="U49" i="13"/>
  <c r="BG49" i="13" s="1"/>
  <c r="AO49" i="13"/>
  <c r="BH49" i="13" s="1"/>
  <c r="AN50" i="13"/>
  <c r="J60" i="19" s="1"/>
  <c r="AN49" i="13"/>
  <c r="W49" i="13" s="1"/>
  <c r="AO50" i="13"/>
  <c r="BH50" i="13" s="1"/>
  <c r="AS52" i="13"/>
  <c r="K46" i="35"/>
  <c r="U10" i="14"/>
  <c r="H30" i="29"/>
  <c r="H25" i="29"/>
  <c r="H21" i="29"/>
  <c r="H17" i="29"/>
  <c r="H13" i="29"/>
  <c r="H9" i="29"/>
  <c r="F27" i="29"/>
  <c r="F19" i="29"/>
  <c r="F11" i="29"/>
  <c r="I31" i="58"/>
  <c r="I27" i="58"/>
  <c r="I23" i="58"/>
  <c r="I19" i="58"/>
  <c r="I15" i="58"/>
  <c r="I7" i="58"/>
  <c r="F22" i="58"/>
  <c r="F14" i="58"/>
  <c r="I6" i="58"/>
  <c r="I7" i="59"/>
  <c r="I15" i="59"/>
  <c r="I19" i="59"/>
  <c r="I23" i="59"/>
  <c r="I27" i="59"/>
  <c r="F28" i="59"/>
  <c r="F14" i="59"/>
  <c r="F22" i="59"/>
  <c r="I28" i="29"/>
  <c r="I24" i="29"/>
  <c r="I20" i="29"/>
  <c r="I12" i="29"/>
  <c r="I8" i="29"/>
  <c r="F26" i="29"/>
  <c r="F18" i="29"/>
  <c r="H31" i="58"/>
  <c r="H27" i="58"/>
  <c r="H23" i="58"/>
  <c r="H19" i="58"/>
  <c r="H15" i="58"/>
  <c r="H7" i="58"/>
  <c r="F21" i="58"/>
  <c r="F13" i="58"/>
  <c r="H6" i="58"/>
  <c r="H12" i="59"/>
  <c r="H16" i="59"/>
  <c r="H20" i="59"/>
  <c r="H24" i="59"/>
  <c r="H28" i="59"/>
  <c r="F7" i="59"/>
  <c r="F15" i="59"/>
  <c r="F23" i="59"/>
  <c r="H28" i="29"/>
  <c r="H24" i="29"/>
  <c r="H20" i="29"/>
  <c r="H12" i="29"/>
  <c r="H8" i="29"/>
  <c r="F25" i="29"/>
  <c r="F17" i="29"/>
  <c r="F9" i="29"/>
  <c r="I30" i="58"/>
  <c r="I26" i="58"/>
  <c r="I22" i="58"/>
  <c r="I18" i="58"/>
  <c r="I14" i="58"/>
  <c r="I10" i="58"/>
  <c r="F28" i="58"/>
  <c r="F20" i="58"/>
  <c r="F6" i="58"/>
  <c r="I12" i="59"/>
  <c r="I16" i="59"/>
  <c r="I20" i="59"/>
  <c r="I24" i="59"/>
  <c r="I28" i="59"/>
  <c r="F16" i="59"/>
  <c r="F24" i="59"/>
  <c r="I27" i="29"/>
  <c r="I23" i="29"/>
  <c r="I19" i="29"/>
  <c r="I15" i="29"/>
  <c r="I11" i="29"/>
  <c r="I7" i="29"/>
  <c r="F24" i="29"/>
  <c r="F8" i="29"/>
  <c r="H30" i="58"/>
  <c r="H26" i="58"/>
  <c r="H22" i="58"/>
  <c r="H18" i="58"/>
  <c r="H14" i="58"/>
  <c r="H10" i="58"/>
  <c r="F27" i="58"/>
  <c r="F19" i="58"/>
  <c r="I31" i="59"/>
  <c r="H9" i="59"/>
  <c r="H13" i="59"/>
  <c r="H17" i="59"/>
  <c r="H21" i="59"/>
  <c r="H25" i="59"/>
  <c r="F31" i="59"/>
  <c r="F9" i="59"/>
  <c r="F17" i="59"/>
  <c r="I6" i="59"/>
  <c r="H27" i="29"/>
  <c r="H19" i="29"/>
  <c r="H11" i="29"/>
  <c r="F23" i="29"/>
  <c r="F7" i="29"/>
  <c r="I25" i="58"/>
  <c r="I17" i="58"/>
  <c r="I9" i="58"/>
  <c r="F18" i="58"/>
  <c r="H31" i="59"/>
  <c r="I13" i="59"/>
  <c r="I21" i="59"/>
  <c r="F30" i="59"/>
  <c r="F18" i="59"/>
  <c r="F31" i="58"/>
  <c r="I25" i="59"/>
  <c r="I31" i="29"/>
  <c r="F25" i="58"/>
  <c r="H31" i="29"/>
  <c r="I10" i="59"/>
  <c r="I30" i="29"/>
  <c r="I26" i="29"/>
  <c r="I18" i="29"/>
  <c r="F22" i="29"/>
  <c r="F6" i="29"/>
  <c r="H25" i="58"/>
  <c r="H17" i="58"/>
  <c r="H9" i="58"/>
  <c r="F17" i="58"/>
  <c r="I30" i="59"/>
  <c r="H14" i="59"/>
  <c r="H22" i="59"/>
  <c r="F25" i="59"/>
  <c r="F19" i="59"/>
  <c r="F15" i="29"/>
  <c r="F10" i="58"/>
  <c r="F14" i="29"/>
  <c r="H10" i="59"/>
  <c r="H14" i="29"/>
  <c r="I20" i="58"/>
  <c r="I26" i="59"/>
  <c r="F28" i="29"/>
  <c r="F7" i="58"/>
  <c r="H26" i="29"/>
  <c r="H18" i="29"/>
  <c r="F21" i="29"/>
  <c r="I6" i="29"/>
  <c r="I24" i="58"/>
  <c r="I16" i="58"/>
  <c r="I8" i="58"/>
  <c r="F16" i="58"/>
  <c r="H30" i="59"/>
  <c r="I14" i="59"/>
  <c r="I22" i="59"/>
  <c r="F26" i="59"/>
  <c r="F20" i="59"/>
  <c r="I21" i="58"/>
  <c r="I17" i="59"/>
  <c r="F31" i="29"/>
  <c r="F9" i="58"/>
  <c r="F30" i="29"/>
  <c r="F12" i="59"/>
  <c r="I13" i="29"/>
  <c r="I25" i="29"/>
  <c r="I17" i="29"/>
  <c r="I9" i="29"/>
  <c r="F20" i="29"/>
  <c r="H6" i="29"/>
  <c r="H24" i="58"/>
  <c r="H16" i="58"/>
  <c r="H8" i="58"/>
  <c r="F15" i="58"/>
  <c r="H7" i="59"/>
  <c r="H15" i="59"/>
  <c r="H23" i="59"/>
  <c r="F27" i="59"/>
  <c r="F21" i="59"/>
  <c r="H23" i="29"/>
  <c r="H15" i="29"/>
  <c r="H7" i="29"/>
  <c r="I13" i="58"/>
  <c r="F26" i="58"/>
  <c r="I9" i="59"/>
  <c r="F10" i="59"/>
  <c r="H6" i="59"/>
  <c r="I22" i="29"/>
  <c r="I14" i="29"/>
  <c r="F30" i="58"/>
  <c r="H21" i="58"/>
  <c r="H13" i="58"/>
  <c r="H18" i="59"/>
  <c r="H26" i="59"/>
  <c r="F6" i="59"/>
  <c r="H22" i="29"/>
  <c r="F13" i="29"/>
  <c r="I28" i="58"/>
  <c r="F24" i="58"/>
  <c r="F8" i="58"/>
  <c r="I18" i="59"/>
  <c r="I21" i="29"/>
  <c r="F12" i="29"/>
  <c r="H28" i="58"/>
  <c r="H20" i="58"/>
  <c r="F23" i="58"/>
  <c r="H19" i="59"/>
  <c r="H27" i="59"/>
  <c r="F13" i="59"/>
  <c r="W7" i="13"/>
  <c r="H47" i="35"/>
  <c r="X48" i="13"/>
  <c r="BH48" i="13"/>
  <c r="I60" i="19"/>
  <c r="U56" i="14"/>
  <c r="BD56" i="14"/>
  <c r="BD11" i="14"/>
  <c r="AO51" i="13"/>
  <c r="BH51" i="13" s="1"/>
  <c r="AU51" i="13"/>
  <c r="AV51" i="13" s="1"/>
  <c r="H61" i="19"/>
  <c r="J59" i="19"/>
  <c r="I59" i="19"/>
  <c r="AO7" i="13"/>
  <c r="AV52" i="13"/>
  <c r="W52" i="13"/>
  <c r="W51" i="13"/>
  <c r="H54" i="19"/>
  <c r="AV50" i="13"/>
  <c r="X50" i="13"/>
  <c r="AV49" i="13"/>
  <c r="AV7" i="13"/>
  <c r="I43" i="29" s="1"/>
  <c r="AT7" i="13"/>
  <c r="X53" i="13"/>
  <c r="O59" i="10"/>
  <c r="M59" i="10"/>
  <c r="L59" i="10"/>
  <c r="O57" i="10"/>
  <c r="M57" i="10"/>
  <c r="L57" i="10"/>
  <c r="O56" i="10"/>
  <c r="M56" i="10"/>
  <c r="L56" i="10"/>
  <c r="O55" i="10"/>
  <c r="M55" i="10"/>
  <c r="L55" i="10"/>
  <c r="O54" i="10"/>
  <c r="M54" i="10"/>
  <c r="L54" i="10"/>
  <c r="O53" i="10"/>
  <c r="M53" i="10"/>
  <c r="L53" i="10"/>
  <c r="O52" i="10"/>
  <c r="M52" i="10"/>
  <c r="L52" i="10"/>
  <c r="O51" i="10"/>
  <c r="M51" i="10"/>
  <c r="L51" i="10"/>
  <c r="O50" i="10"/>
  <c r="M50" i="10"/>
  <c r="L50" i="10"/>
  <c r="O49" i="10"/>
  <c r="M49" i="10"/>
  <c r="L49" i="10"/>
  <c r="O48" i="10"/>
  <c r="M48" i="10"/>
  <c r="L48" i="10"/>
  <c r="O47" i="10"/>
  <c r="M47" i="10"/>
  <c r="L47" i="10"/>
  <c r="O46" i="10"/>
  <c r="M46" i="10"/>
  <c r="L46" i="10"/>
  <c r="X59" i="10"/>
  <c r="Y59" i="10" s="1"/>
  <c r="X57" i="10"/>
  <c r="Y57" i="10" s="1"/>
  <c r="X56" i="10"/>
  <c r="Y56" i="10" s="1"/>
  <c r="X55" i="10"/>
  <c r="Y55" i="10" s="1"/>
  <c r="X54" i="10"/>
  <c r="Y54" i="10" s="1"/>
  <c r="X53" i="10"/>
  <c r="Y53" i="10" s="1"/>
  <c r="X52" i="10"/>
  <c r="Y52" i="10" s="1"/>
  <c r="X51" i="10"/>
  <c r="Y51" i="10" s="1"/>
  <c r="X50" i="10"/>
  <c r="Y50" i="10" s="1"/>
  <c r="X49" i="10"/>
  <c r="Y49" i="10" s="1"/>
  <c r="T59" i="10"/>
  <c r="S59" i="10"/>
  <c r="R59" i="10"/>
  <c r="T57" i="10"/>
  <c r="S57" i="10"/>
  <c r="R57" i="10"/>
  <c r="T56" i="10"/>
  <c r="S56" i="10"/>
  <c r="R56" i="10"/>
  <c r="T55" i="10"/>
  <c r="S55" i="10"/>
  <c r="R55" i="10"/>
  <c r="T54" i="10"/>
  <c r="S54" i="10"/>
  <c r="R54" i="10"/>
  <c r="T53" i="10"/>
  <c r="S53" i="10"/>
  <c r="R53" i="10"/>
  <c r="T52" i="10"/>
  <c r="S52" i="10"/>
  <c r="R52" i="10"/>
  <c r="T51" i="10"/>
  <c r="S51" i="10"/>
  <c r="R51" i="10"/>
  <c r="T50" i="10"/>
  <c r="S50" i="10"/>
  <c r="R50" i="10"/>
  <c r="T49" i="10"/>
  <c r="S49" i="10"/>
  <c r="R49" i="10"/>
  <c r="T48" i="10"/>
  <c r="S48" i="10"/>
  <c r="R48" i="10"/>
  <c r="T47" i="10"/>
  <c r="S47" i="10"/>
  <c r="R47" i="10"/>
  <c r="T46" i="10"/>
  <c r="S46" i="10"/>
  <c r="R46" i="10"/>
  <c r="O45" i="10"/>
  <c r="O7" i="10"/>
  <c r="W7" i="10" s="1"/>
  <c r="X45" i="10"/>
  <c r="Y45" i="10" s="1"/>
  <c r="T45" i="10"/>
  <c r="S45" i="10"/>
  <c r="R45" i="10"/>
  <c r="M45" i="10"/>
  <c r="L45" i="10"/>
  <c r="O33" i="25"/>
  <c r="L37" i="10" s="1"/>
  <c r="O40" i="10"/>
  <c r="L39"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O34" i="25"/>
  <c r="L38" i="10" s="1"/>
  <c r="D48" i="27"/>
  <c r="D47" i="27"/>
  <c r="D46" i="27"/>
  <c r="D45" i="27"/>
  <c r="D44" i="27"/>
  <c r="T23" i="10" s="1"/>
  <c r="D39" i="27"/>
  <c r="D43" i="27"/>
  <c r="D42" i="27"/>
  <c r="D41" i="27"/>
  <c r="D40" i="27"/>
  <c r="T21" i="10"/>
  <c r="T36" i="10"/>
  <c r="R43" i="10"/>
  <c r="R40" i="10"/>
  <c r="R39" i="10"/>
  <c r="R38" i="10"/>
  <c r="R37" i="10"/>
  <c r="R36" i="10"/>
  <c r="R35" i="10"/>
  <c r="R34" i="10"/>
  <c r="R33" i="10"/>
  <c r="R32" i="10"/>
  <c r="R31" i="10"/>
  <c r="R30" i="10"/>
  <c r="R29" i="10"/>
  <c r="R28" i="10"/>
  <c r="R27" i="10"/>
  <c r="R26" i="10"/>
  <c r="R25" i="10"/>
  <c r="R24" i="10"/>
  <c r="R23" i="10"/>
  <c r="R22" i="10"/>
  <c r="R21" i="10"/>
  <c r="R20" i="10"/>
  <c r="R19" i="10"/>
  <c r="R18" i="10"/>
  <c r="R17" i="10"/>
  <c r="R16" i="10"/>
  <c r="R15" i="10"/>
  <c r="R14" i="10"/>
  <c r="R13" i="10"/>
  <c r="R12" i="10"/>
  <c r="R11" i="10"/>
  <c r="R10" i="10"/>
  <c r="R9" i="10"/>
  <c r="R8" i="10"/>
  <c r="R7" i="10"/>
  <c r="C4" i="28"/>
  <c r="C5" i="28" s="1"/>
  <c r="C6" i="28" s="1"/>
  <c r="C7" i="28" s="1"/>
  <c r="C8" i="28" s="1"/>
  <c r="M40" i="10"/>
  <c r="O39" i="10"/>
  <c r="M39" i="10"/>
  <c r="O36" i="10"/>
  <c r="M36" i="10"/>
  <c r="O35" i="10"/>
  <c r="M35" i="10"/>
  <c r="O34" i="10"/>
  <c r="M34" i="10"/>
  <c r="O33" i="10"/>
  <c r="M33" i="10"/>
  <c r="O32" i="10"/>
  <c r="M32" i="10"/>
  <c r="O31" i="10"/>
  <c r="M31" i="10"/>
  <c r="O30" i="10"/>
  <c r="M30" i="10"/>
  <c r="O29" i="10"/>
  <c r="M29" i="10"/>
  <c r="O28" i="10"/>
  <c r="M28" i="10"/>
  <c r="O27" i="10"/>
  <c r="M27" i="10"/>
  <c r="T43" i="10"/>
  <c r="S43" i="10"/>
  <c r="T40" i="10"/>
  <c r="S40" i="10"/>
  <c r="T39" i="10"/>
  <c r="S39" i="10"/>
  <c r="T38" i="10"/>
  <c r="S38" i="10"/>
  <c r="T37" i="10"/>
  <c r="S37" i="10"/>
  <c r="S36" i="10"/>
  <c r="T35" i="10"/>
  <c r="S35" i="10"/>
  <c r="T34" i="10"/>
  <c r="S34" i="10"/>
  <c r="T33" i="10"/>
  <c r="S33" i="10"/>
  <c r="T32" i="10"/>
  <c r="S32" i="10"/>
  <c r="T31" i="10"/>
  <c r="S31" i="10"/>
  <c r="T30" i="10"/>
  <c r="S30" i="10"/>
  <c r="T29" i="10"/>
  <c r="S29" i="10"/>
  <c r="T28" i="10"/>
  <c r="S28" i="10"/>
  <c r="T27" i="10"/>
  <c r="S27" i="10"/>
  <c r="T26" i="10"/>
  <c r="S26" i="10"/>
  <c r="T25" i="10"/>
  <c r="S25" i="10"/>
  <c r="T24" i="10"/>
  <c r="S24" i="10"/>
  <c r="S23" i="10"/>
  <c r="T22" i="10"/>
  <c r="S22" i="10"/>
  <c r="S21" i="10"/>
  <c r="S20" i="10"/>
  <c r="S19" i="10"/>
  <c r="T18" i="10"/>
  <c r="S18" i="10"/>
  <c r="S17" i="10"/>
  <c r="T16" i="10"/>
  <c r="S16" i="10"/>
  <c r="T15" i="10"/>
  <c r="S15" i="10"/>
  <c r="T14" i="10"/>
  <c r="S14" i="10"/>
  <c r="T13" i="10"/>
  <c r="S13" i="10"/>
  <c r="T12" i="10"/>
  <c r="S12" i="10"/>
  <c r="T11" i="10"/>
  <c r="S11" i="10"/>
  <c r="T10" i="10"/>
  <c r="S10" i="10"/>
  <c r="T9" i="10"/>
  <c r="S9" i="10"/>
  <c r="T8" i="10"/>
  <c r="S8" i="10"/>
  <c r="D26" i="27"/>
  <c r="D25" i="27"/>
  <c r="T19" i="10" s="1"/>
  <c r="D24" i="27"/>
  <c r="D23" i="27"/>
  <c r="D22" i="27"/>
  <c r="T20" i="10" s="1"/>
  <c r="D21" i="27"/>
  <c r="D20" i="27"/>
  <c r="D19" i="27"/>
  <c r="T17" i="10" s="1"/>
  <c r="K2" i="8"/>
  <c r="K2" i="19"/>
  <c r="F2" i="7"/>
  <c r="K2" i="11"/>
  <c r="T2" i="14"/>
  <c r="O8" i="10"/>
  <c r="M9" i="10"/>
  <c r="O9" i="10"/>
  <c r="M10" i="10"/>
  <c r="O10" i="10"/>
  <c r="M11" i="10"/>
  <c r="O11" i="10"/>
  <c r="M12" i="10"/>
  <c r="O12" i="10"/>
  <c r="M13" i="10"/>
  <c r="O13" i="10"/>
  <c r="M14" i="10"/>
  <c r="O14" i="10"/>
  <c r="M15" i="10"/>
  <c r="O15" i="10"/>
  <c r="M16" i="10"/>
  <c r="O16" i="10"/>
  <c r="M17" i="10"/>
  <c r="O17" i="10"/>
  <c r="M18" i="10"/>
  <c r="O18" i="10"/>
  <c r="M19" i="10"/>
  <c r="O19" i="10"/>
  <c r="M20" i="10"/>
  <c r="O20" i="10"/>
  <c r="M21" i="10"/>
  <c r="O21" i="10"/>
  <c r="M22" i="10"/>
  <c r="O22" i="10"/>
  <c r="M23" i="10"/>
  <c r="O23" i="10"/>
  <c r="M24" i="10"/>
  <c r="O24" i="10"/>
  <c r="M25" i="10"/>
  <c r="O25" i="10"/>
  <c r="M26" i="10"/>
  <c r="O26" i="10"/>
  <c r="X52" i="13" l="1"/>
  <c r="J61" i="19"/>
  <c r="X49" i="13"/>
  <c r="W50" i="13"/>
  <c r="X51" i="13"/>
  <c r="BH7" i="13"/>
  <c r="K47" i="35"/>
  <c r="K54" i="35" s="1"/>
  <c r="J47" i="35"/>
  <c r="J54" i="35" s="1"/>
  <c r="I47" i="35"/>
  <c r="I54" i="35" s="1"/>
  <c r="H54" i="35"/>
  <c r="I61" i="19"/>
  <c r="K54" i="19"/>
  <c r="X7" i="13"/>
  <c r="C9" i="28"/>
  <c r="C10" i="28" s="1"/>
  <c r="C11" i="28" s="1"/>
  <c r="C12" i="28" s="1"/>
  <c r="C13" i="28" s="1"/>
  <c r="X17" i="10" s="1"/>
  <c r="Y17" i="10" s="1"/>
  <c r="X7" i="10"/>
  <c r="I50" i="29"/>
  <c r="U29" i="10"/>
  <c r="W29" i="10" s="1"/>
  <c r="K46" i="19"/>
  <c r="I42" i="29"/>
  <c r="I38" i="19"/>
  <c r="J38" i="19"/>
  <c r="I47" i="19"/>
  <c r="I54" i="19" s="1"/>
  <c r="J47" i="19"/>
  <c r="J54" i="19" s="1"/>
  <c r="J37" i="19"/>
  <c r="I37" i="19"/>
  <c r="U19" i="10"/>
  <c r="W19" i="10" s="1"/>
  <c r="U50" i="10"/>
  <c r="V50" i="10" s="1"/>
  <c r="N50" i="10" s="1"/>
  <c r="U33" i="10"/>
  <c r="V33" i="10" s="1"/>
  <c r="U25" i="10"/>
  <c r="W25" i="10" s="1"/>
  <c r="U54" i="10"/>
  <c r="AA54" i="10" s="1"/>
  <c r="AC54" i="10" s="1"/>
  <c r="AE54" i="10" s="1"/>
  <c r="U20" i="10"/>
  <c r="V20" i="10" s="1"/>
  <c r="U17" i="10"/>
  <c r="V17" i="10" s="1"/>
  <c r="U18" i="10"/>
  <c r="V18" i="10" s="1"/>
  <c r="U24" i="10"/>
  <c r="V24" i="10" s="1"/>
  <c r="U38" i="10"/>
  <c r="U11" i="10"/>
  <c r="V11" i="10" s="1"/>
  <c r="U8" i="10"/>
  <c r="V8" i="10" s="1"/>
  <c r="U12" i="10"/>
  <c r="V12" i="10" s="1"/>
  <c r="U16" i="10"/>
  <c r="V16" i="10" s="1"/>
  <c r="U22" i="10"/>
  <c r="V22" i="10" s="1"/>
  <c r="U51" i="10"/>
  <c r="W51" i="10" s="1"/>
  <c r="P51" i="10" s="1"/>
  <c r="U59" i="10"/>
  <c r="K59" i="10" s="1"/>
  <c r="U15" i="10"/>
  <c r="V15" i="10" s="1"/>
  <c r="K61" i="19"/>
  <c r="J40" i="19"/>
  <c r="I40" i="19"/>
  <c r="H46" i="19"/>
  <c r="H3" i="7" s="1"/>
  <c r="U53" i="10"/>
  <c r="W53" i="10" s="1"/>
  <c r="P53" i="10" s="1"/>
  <c r="U48" i="10"/>
  <c r="W48" i="10" s="1"/>
  <c r="U56" i="10"/>
  <c r="V56" i="10" s="1"/>
  <c r="N56" i="10" s="1"/>
  <c r="U57" i="10"/>
  <c r="K57" i="10" s="1"/>
  <c r="U46" i="10"/>
  <c r="V46" i="10" s="1"/>
  <c r="U45" i="10"/>
  <c r="W45" i="10" s="1"/>
  <c r="U52" i="10"/>
  <c r="W52" i="10" s="1"/>
  <c r="P52" i="10" s="1"/>
  <c r="U49" i="10"/>
  <c r="V49" i="10" s="1"/>
  <c r="N49" i="10" s="1"/>
  <c r="U47" i="10"/>
  <c r="W47" i="10" s="1"/>
  <c r="U55" i="10"/>
  <c r="V55" i="10" s="1"/>
  <c r="N55" i="10" s="1"/>
  <c r="U26" i="10"/>
  <c r="V26" i="10" s="1"/>
  <c r="U30" i="10"/>
  <c r="V30" i="10" s="1"/>
  <c r="U34" i="10"/>
  <c r="V34" i="10" s="1"/>
  <c r="U39" i="10"/>
  <c r="V39" i="10" s="1"/>
  <c r="U27" i="10"/>
  <c r="V27" i="10" s="1"/>
  <c r="U31" i="10"/>
  <c r="V31" i="10" s="1"/>
  <c r="U35" i="10"/>
  <c r="V35" i="10" s="1"/>
  <c r="U9" i="10"/>
  <c r="V9" i="10" s="1"/>
  <c r="U13" i="10"/>
  <c r="W13" i="10" s="1"/>
  <c r="U40" i="10"/>
  <c r="V40" i="10" s="1"/>
  <c r="U23" i="10"/>
  <c r="W23" i="10" s="1"/>
  <c r="U28" i="10"/>
  <c r="V28" i="10" s="1"/>
  <c r="U32" i="10"/>
  <c r="V32" i="10" s="1"/>
  <c r="U36" i="10"/>
  <c r="V36" i="10" s="1"/>
  <c r="U10" i="10"/>
  <c r="V10" i="10" s="1"/>
  <c r="U14" i="10"/>
  <c r="V14" i="10" s="1"/>
  <c r="U37" i="10"/>
  <c r="U43" i="10"/>
  <c r="U21" i="10"/>
  <c r="W21" i="10" s="1"/>
  <c r="X14" i="10"/>
  <c r="Y14" i="10" s="1"/>
  <c r="X15" i="10"/>
  <c r="Y15" i="10" s="1"/>
  <c r="X13" i="10"/>
  <c r="Y13" i="10" s="1"/>
  <c r="X47" i="10"/>
  <c r="Y47" i="10" s="1"/>
  <c r="X48" i="10"/>
  <c r="Y48" i="10" s="1"/>
  <c r="X16" i="10"/>
  <c r="Y16" i="10" s="1"/>
  <c r="X9" i="10"/>
  <c r="X10" i="10"/>
  <c r="Y10" i="10" s="1"/>
  <c r="X11" i="10"/>
  <c r="Y11" i="10" s="1"/>
  <c r="X12" i="10"/>
  <c r="Y12" i="10" s="1"/>
  <c r="X46" i="10"/>
  <c r="Y46" i="10" s="1"/>
  <c r="X40" i="10"/>
  <c r="Y40" i="10" s="1"/>
  <c r="L43" i="10"/>
  <c r="L40" i="10"/>
  <c r="O43" i="10"/>
  <c r="X8" i="10"/>
  <c r="Y8" i="10" s="1"/>
  <c r="Y9" i="10" l="1"/>
  <c r="Y7" i="10"/>
  <c r="J46" i="19"/>
  <c r="C14" i="28"/>
  <c r="V29" i="10"/>
  <c r="V57" i="10"/>
  <c r="N57" i="10" s="1"/>
  <c r="W57" i="10"/>
  <c r="P57" i="10" s="1"/>
  <c r="W54" i="10"/>
  <c r="P54" i="10" s="1"/>
  <c r="W50" i="10"/>
  <c r="P50" i="10" s="1"/>
  <c r="V19" i="10"/>
  <c r="N19" i="10" s="1"/>
  <c r="W40" i="10"/>
  <c r="P40" i="10" s="1"/>
  <c r="AA45" i="10"/>
  <c r="AC45" i="10" s="1"/>
  <c r="AE45" i="10" s="1"/>
  <c r="I46" i="19"/>
  <c r="V25" i="10"/>
  <c r="N25" i="10" s="1"/>
  <c r="W33" i="10"/>
  <c r="P33" i="10" s="1"/>
  <c r="W30" i="10"/>
  <c r="P30" i="10" s="1"/>
  <c r="W17" i="10"/>
  <c r="P17" i="10" s="1"/>
  <c r="V13" i="10"/>
  <c r="N13" i="10" s="1"/>
  <c r="W11" i="10"/>
  <c r="P11" i="10" s="1"/>
  <c r="AA57" i="10"/>
  <c r="AC57" i="10" s="1"/>
  <c r="AE57" i="10" s="1"/>
  <c r="AA52" i="10"/>
  <c r="AC52" i="10" s="1"/>
  <c r="AE52" i="10" s="1"/>
  <c r="AA50" i="10"/>
  <c r="AC50" i="10" s="1"/>
  <c r="AE50" i="10" s="1"/>
  <c r="K50" i="10"/>
  <c r="K54" i="10"/>
  <c r="AA51" i="10"/>
  <c r="AC51" i="10" s="1"/>
  <c r="AE51" i="10" s="1"/>
  <c r="V54" i="10"/>
  <c r="N54" i="10" s="1"/>
  <c r="K51" i="10"/>
  <c r="W18" i="10"/>
  <c r="P18" i="10" s="1"/>
  <c r="W26" i="10"/>
  <c r="P26" i="10" s="1"/>
  <c r="V51" i="10"/>
  <c r="N51" i="10" s="1"/>
  <c r="W10" i="10"/>
  <c r="P10" i="10" s="1"/>
  <c r="K56" i="10"/>
  <c r="AA56" i="10"/>
  <c r="AC56" i="10" s="1"/>
  <c r="AE56" i="10" s="1"/>
  <c r="V53" i="10"/>
  <c r="N53" i="10" s="1"/>
  <c r="W16" i="10"/>
  <c r="P16" i="10" s="1"/>
  <c r="W24" i="10"/>
  <c r="P24" i="10" s="1"/>
  <c r="W8" i="10"/>
  <c r="W20" i="10"/>
  <c r="P20" i="10" s="1"/>
  <c r="W46" i="10"/>
  <c r="P46" i="10" s="1"/>
  <c r="V59" i="10"/>
  <c r="N59" i="10" s="1"/>
  <c r="W56" i="10"/>
  <c r="P56" i="10" s="1"/>
  <c r="W22" i="10"/>
  <c r="P22" i="10" s="1"/>
  <c r="K49" i="10"/>
  <c r="W39" i="10"/>
  <c r="P39" i="10" s="1"/>
  <c r="W9" i="10"/>
  <c r="P9" i="10" s="1"/>
  <c r="W31" i="10"/>
  <c r="P31" i="10" s="1"/>
  <c r="AA53" i="10"/>
  <c r="AC53" i="10" s="1"/>
  <c r="AE53" i="10" s="1"/>
  <c r="W27" i="10"/>
  <c r="P27" i="10" s="1"/>
  <c r="AA55" i="10"/>
  <c r="AC55" i="10" s="1"/>
  <c r="AE55" i="10" s="1"/>
  <c r="K53" i="10"/>
  <c r="W14" i="10"/>
  <c r="P14" i="10" s="1"/>
  <c r="V45" i="10"/>
  <c r="N45" i="10" s="1"/>
  <c r="W36" i="10"/>
  <c r="P36" i="10" s="1"/>
  <c r="W59" i="10"/>
  <c r="P59" i="10" s="1"/>
  <c r="V47" i="10"/>
  <c r="N47" i="10" s="1"/>
  <c r="K47" i="10"/>
  <c r="AA59" i="10"/>
  <c r="AC59" i="10" s="1"/>
  <c r="AE59" i="10" s="1"/>
  <c r="W34" i="10"/>
  <c r="P34" i="10" s="1"/>
  <c r="AA48" i="10"/>
  <c r="AC48" i="10" s="1"/>
  <c r="W12" i="10"/>
  <c r="P12" i="10" s="1"/>
  <c r="W55" i="10"/>
  <c r="P55" i="10" s="1"/>
  <c r="W35" i="10"/>
  <c r="P35" i="10" s="1"/>
  <c r="V21" i="10"/>
  <c r="N21" i="10" s="1"/>
  <c r="K55" i="10"/>
  <c r="V48" i="10"/>
  <c r="N48" i="10" s="1"/>
  <c r="W49" i="10"/>
  <c r="P49" i="10" s="1"/>
  <c r="V23" i="10"/>
  <c r="N23" i="10" s="1"/>
  <c r="AA49" i="10"/>
  <c r="AC49" i="10" s="1"/>
  <c r="AE49" i="10" s="1"/>
  <c r="W15" i="10"/>
  <c r="P15" i="10" s="1"/>
  <c r="I57" i="29"/>
  <c r="K52" i="10"/>
  <c r="V52" i="10"/>
  <c r="N52" i="10" s="1"/>
  <c r="W32" i="10"/>
  <c r="P32" i="10" s="1"/>
  <c r="W28" i="10"/>
  <c r="P28" i="10" s="1"/>
  <c r="C15" i="28"/>
  <c r="X18" i="10"/>
  <c r="Y18" i="10" s="1"/>
  <c r="K48" i="10"/>
  <c r="AA47" i="10"/>
  <c r="AC47" i="10" s="1"/>
  <c r="P48" i="10"/>
  <c r="AA46" i="10"/>
  <c r="AC46" i="10" s="1"/>
  <c r="N46" i="10"/>
  <c r="K46" i="10"/>
  <c r="P47" i="10"/>
  <c r="K10" i="10"/>
  <c r="AA10" i="10"/>
  <c r="K43" i="10"/>
  <c r="AA43" i="10"/>
  <c r="K33" i="10"/>
  <c r="AA33" i="10"/>
  <c r="K27" i="10"/>
  <c r="AA27" i="10"/>
  <c r="K37" i="10"/>
  <c r="AA37" i="10"/>
  <c r="F8" i="59" s="1"/>
  <c r="K25" i="10"/>
  <c r="AA25" i="10"/>
  <c r="AC25" i="10" s="1"/>
  <c r="AE25" i="10" s="1"/>
  <c r="K16" i="10"/>
  <c r="AA16" i="10"/>
  <c r="K39" i="10"/>
  <c r="AA39" i="10"/>
  <c r="K18" i="10"/>
  <c r="AA18" i="10"/>
  <c r="AC18" i="10" s="1"/>
  <c r="AE18" i="10" s="1"/>
  <c r="K8" i="10"/>
  <c r="AA8" i="10"/>
  <c r="K34" i="10"/>
  <c r="AA34" i="10"/>
  <c r="K22" i="10"/>
  <c r="AA22" i="10"/>
  <c r="F12" i="58" s="1"/>
  <c r="K28" i="10"/>
  <c r="AA28" i="10"/>
  <c r="AC28" i="10" s="1"/>
  <c r="AE28" i="10" s="1"/>
  <c r="K31" i="10"/>
  <c r="AA31" i="10"/>
  <c r="AC31" i="10" s="1"/>
  <c r="AE31" i="10" s="1"/>
  <c r="K17" i="10"/>
  <c r="AA17" i="10"/>
  <c r="K20" i="10"/>
  <c r="AA20" i="10"/>
  <c r="AC20" i="10" s="1"/>
  <c r="AE20" i="10" s="1"/>
  <c r="K23" i="10"/>
  <c r="AA23" i="10"/>
  <c r="K14" i="10"/>
  <c r="AA14" i="10"/>
  <c r="K19" i="10"/>
  <c r="AA19" i="10"/>
  <c r="AC19" i="10" s="1"/>
  <c r="AE19" i="10" s="1"/>
  <c r="K40" i="10"/>
  <c r="AA40" i="10"/>
  <c r="K38" i="10"/>
  <c r="AA38" i="10"/>
  <c r="F11" i="59" s="1"/>
  <c r="K24" i="10"/>
  <c r="AA24" i="10"/>
  <c r="F11" i="58" s="1"/>
  <c r="K26" i="10"/>
  <c r="AA26" i="10"/>
  <c r="AC26" i="10" s="1"/>
  <c r="AE26" i="10" s="1"/>
  <c r="K29" i="10"/>
  <c r="AA29" i="10"/>
  <c r="AC29" i="10" s="1"/>
  <c r="AE29" i="10" s="1"/>
  <c r="K21" i="10"/>
  <c r="AA21" i="10"/>
  <c r="K12" i="10"/>
  <c r="AA12" i="10"/>
  <c r="K36" i="10"/>
  <c r="AA36" i="10"/>
  <c r="K35" i="10"/>
  <c r="AA35" i="10"/>
  <c r="K13" i="10"/>
  <c r="AA13" i="10"/>
  <c r="K15" i="10"/>
  <c r="AA15" i="10"/>
  <c r="K11" i="10"/>
  <c r="AA11" i="10"/>
  <c r="K32" i="10"/>
  <c r="AA32" i="10"/>
  <c r="K30" i="10"/>
  <c r="AA30" i="10"/>
  <c r="AC30" i="10" s="1"/>
  <c r="AE30" i="10" s="1"/>
  <c r="AA7" i="10"/>
  <c r="F10" i="29" s="1"/>
  <c r="K9" i="10"/>
  <c r="AA9" i="10"/>
  <c r="F16" i="29" s="1"/>
  <c r="P7" i="10"/>
  <c r="N11" i="10"/>
  <c r="N34" i="10"/>
  <c r="N15" i="10"/>
  <c r="N8" i="10"/>
  <c r="N32" i="10"/>
  <c r="N17" i="10"/>
  <c r="N30" i="10"/>
  <c r="N36" i="10"/>
  <c r="N12" i="10"/>
  <c r="N28" i="10"/>
  <c r="N10" i="10"/>
  <c r="P13" i="10"/>
  <c r="N16" i="10"/>
  <c r="N39" i="10"/>
  <c r="N14" i="10"/>
  <c r="P21" i="10"/>
  <c r="P29" i="10"/>
  <c r="N20" i="10"/>
  <c r="N35" i="10"/>
  <c r="N18" i="10"/>
  <c r="P25" i="10"/>
  <c r="N24" i="10"/>
  <c r="N31" i="10"/>
  <c r="N22" i="10"/>
  <c r="P19" i="10"/>
  <c r="N33" i="10"/>
  <c r="N27" i="10"/>
  <c r="N26" i="10"/>
  <c r="N29" i="10"/>
  <c r="N9" i="10"/>
  <c r="P23" i="10"/>
  <c r="K45" i="10"/>
  <c r="P45" i="10"/>
  <c r="N40" i="10"/>
  <c r="N7" i="10"/>
  <c r="I33" i="34" l="1"/>
  <c r="J33" i="34"/>
  <c r="I33" i="19"/>
  <c r="J33" i="19"/>
  <c r="J33" i="35"/>
  <c r="I33" i="35"/>
  <c r="P8" i="10"/>
  <c r="AC12" i="10"/>
  <c r="AC14" i="10"/>
  <c r="AC8" i="10"/>
  <c r="AC15" i="10"/>
  <c r="AC21" i="10"/>
  <c r="AC23" i="10"/>
  <c r="AC10" i="10"/>
  <c r="AC7" i="10"/>
  <c r="H10" i="29" s="1"/>
  <c r="AC32" i="10"/>
  <c r="AC35" i="10"/>
  <c r="AC40" i="10"/>
  <c r="AC22" i="10"/>
  <c r="H12" i="58" s="1"/>
  <c r="AC39" i="10"/>
  <c r="AC27" i="10"/>
  <c r="AC24" i="10"/>
  <c r="H11" i="58" s="1"/>
  <c r="AC43" i="10"/>
  <c r="AC13" i="10"/>
  <c r="AC9" i="10"/>
  <c r="H16" i="29" s="1"/>
  <c r="AC11" i="10"/>
  <c r="AC36" i="10"/>
  <c r="AC17" i="10"/>
  <c r="AC34" i="10"/>
  <c r="AC16" i="10"/>
  <c r="AC33" i="10"/>
  <c r="C16" i="28"/>
  <c r="X19" i="10"/>
  <c r="AE48" i="10"/>
  <c r="AE47" i="10"/>
  <c r="AE46" i="10"/>
  <c r="H32" i="58" l="1"/>
  <c r="Y19" i="10"/>
  <c r="AE16" i="10"/>
  <c r="AE11" i="10"/>
  <c r="AE24" i="10"/>
  <c r="AE40" i="10"/>
  <c r="AE10" i="10"/>
  <c r="AE15" i="10"/>
  <c r="AE34" i="10"/>
  <c r="AE9" i="10"/>
  <c r="I16" i="29" s="1"/>
  <c r="AE27" i="10"/>
  <c r="AE35" i="10"/>
  <c r="AE23" i="10"/>
  <c r="AE8" i="10"/>
  <c r="AE17" i="10"/>
  <c r="AE13" i="10"/>
  <c r="AE39" i="10"/>
  <c r="AE32" i="10"/>
  <c r="AE14" i="10"/>
  <c r="AE33" i="10"/>
  <c r="AE36" i="10"/>
  <c r="AE43" i="10"/>
  <c r="AE22" i="10"/>
  <c r="I12" i="58" s="1"/>
  <c r="AE7" i="10"/>
  <c r="I10" i="29" s="1"/>
  <c r="AE21" i="10"/>
  <c r="AE12" i="10"/>
  <c r="C17" i="28"/>
  <c r="X20" i="10"/>
  <c r="I11" i="58" l="1"/>
  <c r="I32" i="58" s="1"/>
  <c r="I58" i="58" s="1"/>
  <c r="Y20" i="10"/>
  <c r="C18" i="28"/>
  <c r="X21" i="10"/>
  <c r="K36" i="24"/>
  <c r="K35" i="24"/>
  <c r="E36" i="24"/>
  <c r="E35" i="24"/>
  <c r="O37" i="10" s="1"/>
  <c r="Y21" i="10" l="1"/>
  <c r="J36" i="24"/>
  <c r="AD38" i="10" s="1"/>
  <c r="O38" i="10"/>
  <c r="C19" i="28"/>
  <c r="X22" i="10"/>
  <c r="J35" i="24"/>
  <c r="AD37" i="10" s="1"/>
  <c r="C36" i="24"/>
  <c r="M38" i="10" s="1"/>
  <c r="C35" i="24"/>
  <c r="M37" i="10" s="1"/>
  <c r="Y22" i="10" l="1"/>
  <c r="V38" i="10"/>
  <c r="N38" i="10" s="1"/>
  <c r="W38" i="10"/>
  <c r="P38" i="10" s="1"/>
  <c r="V37" i="10"/>
  <c r="N37" i="10" s="1"/>
  <c r="W37" i="10"/>
  <c r="P37" i="10" s="1"/>
  <c r="C20" i="28"/>
  <c r="X23" i="10"/>
  <c r="H36" i="24"/>
  <c r="AB38" i="10" s="1"/>
  <c r="AC38" i="10" s="1"/>
  <c r="H11" i="59" s="1"/>
  <c r="M43" i="10"/>
  <c r="H35" i="24"/>
  <c r="AB37" i="10" s="1"/>
  <c r="AC37" i="10" s="1"/>
  <c r="H8" i="59" s="1"/>
  <c r="H32" i="59" l="1"/>
  <c r="Y23" i="10"/>
  <c r="AE37" i="10"/>
  <c r="I8" i="59" s="1"/>
  <c r="AE38" i="10"/>
  <c r="I11" i="59" s="1"/>
  <c r="V43" i="10"/>
  <c r="N43" i="10" s="1"/>
  <c r="W43" i="10"/>
  <c r="C21" i="28"/>
  <c r="X24" i="10"/>
  <c r="I32" i="59" l="1"/>
  <c r="I58" i="59" s="1"/>
  <c r="Y24" i="10"/>
  <c r="H32" i="29"/>
  <c r="I32" i="29"/>
  <c r="I58" i="29" s="1"/>
  <c r="C22" i="28"/>
  <c r="X28" i="10"/>
  <c r="Y28" i="10" s="1"/>
  <c r="X25" i="10"/>
  <c r="P43" i="10"/>
  <c r="Y25" i="10" l="1"/>
  <c r="C23" i="28"/>
  <c r="X26" i="10"/>
  <c r="Y26" i="10" s="1"/>
  <c r="X29" i="10"/>
  <c r="Y29" i="10" s="1"/>
  <c r="J23" i="8"/>
  <c r="C24" i="28" l="1"/>
  <c r="X27" i="10"/>
  <c r="Y27" i="10" s="1"/>
  <c r="X30" i="10"/>
  <c r="Y30" i="10" s="1"/>
  <c r="C25" i="28" l="1"/>
  <c r="X31" i="10"/>
  <c r="Y31" i="10" s="1"/>
  <c r="N26" i="15"/>
  <c r="D36" i="24" s="1"/>
  <c r="I36" i="24" s="1"/>
  <c r="N25" i="15"/>
  <c r="D35" i="24" s="1"/>
  <c r="I35" i="24" s="1"/>
  <c r="Q8" i="15"/>
  <c r="C26" i="28" l="1"/>
  <c r="X32" i="10"/>
  <c r="Y32" i="10" s="1"/>
  <c r="C27" i="28" l="1"/>
  <c r="X33" i="10"/>
  <c r="Y33" i="10" s="1"/>
  <c r="C28" i="28" l="1"/>
  <c r="X34" i="10"/>
  <c r="Y34" i="10" s="1"/>
  <c r="C29" i="28" l="1"/>
  <c r="X35" i="10"/>
  <c r="Y35" i="10" s="1"/>
  <c r="C30" i="28" l="1"/>
  <c r="X36" i="10"/>
  <c r="Y36" i="10" s="1"/>
  <c r="C31" i="28" l="1"/>
  <c r="X37" i="10"/>
  <c r="Y37" i="10" l="1"/>
  <c r="C32" i="28"/>
  <c r="X38" i="10"/>
  <c r="Y38" i="10" s="1"/>
  <c r="F29" i="19" l="1"/>
  <c r="M29" i="34"/>
  <c r="F10" i="19"/>
  <c r="K32" i="35"/>
  <c r="M27" i="35"/>
  <c r="M32" i="34"/>
  <c r="K27" i="34"/>
  <c r="F25" i="34"/>
  <c r="H23" i="35"/>
  <c r="I23" i="35" s="1"/>
  <c r="K23" i="34"/>
  <c r="K10" i="34"/>
  <c r="F15" i="34"/>
  <c r="H11" i="19"/>
  <c r="H14" i="19"/>
  <c r="K26" i="35"/>
  <c r="K13" i="35"/>
  <c r="K11" i="35"/>
  <c r="K28" i="35"/>
  <c r="H27" i="35"/>
  <c r="J27" i="35" s="1"/>
  <c r="H16" i="35"/>
  <c r="I16" i="35" s="1"/>
  <c r="M15" i="34"/>
  <c r="M26" i="35"/>
  <c r="H20" i="34"/>
  <c r="J20" i="34" s="1"/>
  <c r="H34" i="34"/>
  <c r="I34" i="34" s="1"/>
  <c r="H22" i="19"/>
  <c r="F13" i="34"/>
  <c r="K21" i="35"/>
  <c r="M12" i="35"/>
  <c r="K28" i="34"/>
  <c r="F35" i="34"/>
  <c r="M11" i="34"/>
  <c r="K34" i="34"/>
  <c r="F18" i="19"/>
  <c r="F16" i="34"/>
  <c r="F8" i="35"/>
  <c r="F22" i="35"/>
  <c r="H29" i="34"/>
  <c r="J29" i="34" s="1"/>
  <c r="H35" i="19"/>
  <c r="M14" i="34"/>
  <c r="H13" i="19"/>
  <c r="C34" i="28"/>
  <c r="X43" i="10" s="1"/>
  <c r="X39" i="10"/>
  <c r="M18" i="34" s="1"/>
  <c r="H20" i="35" l="1"/>
  <c r="J20" i="35" s="1"/>
  <c r="F29" i="35"/>
  <c r="K35" i="34"/>
  <c r="F29" i="34"/>
  <c r="K25" i="34"/>
  <c r="H24" i="35"/>
  <c r="I24" i="35" s="1"/>
  <c r="K31" i="35"/>
  <c r="M22" i="34"/>
  <c r="F28" i="35"/>
  <c r="H7" i="34"/>
  <c r="J7" i="34" s="1"/>
  <c r="K19" i="34"/>
  <c r="F15" i="19"/>
  <c r="F13" i="35"/>
  <c r="F17" i="34"/>
  <c r="H13" i="35"/>
  <c r="I13" i="35" s="1"/>
  <c r="H34" i="19"/>
  <c r="H28" i="34"/>
  <c r="J28" i="34" s="1"/>
  <c r="F10" i="34"/>
  <c r="K7" i="19"/>
  <c r="H24" i="34"/>
  <c r="I24" i="34" s="1"/>
  <c r="K14" i="19"/>
  <c r="K24" i="35"/>
  <c r="K20" i="19"/>
  <c r="H10" i="34"/>
  <c r="I10" i="34" s="1"/>
  <c r="H8" i="35"/>
  <c r="J8" i="35" s="1"/>
  <c r="H21" i="34"/>
  <c r="J21" i="34" s="1"/>
  <c r="F21" i="35"/>
  <c r="K9" i="35"/>
  <c r="F34" i="34"/>
  <c r="M20" i="34"/>
  <c r="H25" i="35"/>
  <c r="J25" i="35" s="1"/>
  <c r="F6" i="35"/>
  <c r="F25" i="35"/>
  <c r="H8" i="19"/>
  <c r="K18" i="35"/>
  <c r="M7" i="35"/>
  <c r="H29" i="35"/>
  <c r="J29" i="35" s="1"/>
  <c r="F19" i="19"/>
  <c r="K26" i="19"/>
  <c r="H26" i="19"/>
  <c r="K34" i="35"/>
  <c r="F24" i="34"/>
  <c r="H27" i="19"/>
  <c r="K8" i="35"/>
  <c r="F30" i="35"/>
  <c r="F31" i="34"/>
  <c r="M6" i="35"/>
  <c r="H18" i="34"/>
  <c r="H16" i="34"/>
  <c r="K22" i="19"/>
  <c r="F7" i="35"/>
  <c r="F12" i="34"/>
  <c r="H25" i="34"/>
  <c r="M10" i="35"/>
  <c r="F26" i="34"/>
  <c r="K7" i="34"/>
  <c r="M13" i="35"/>
  <c r="K10" i="35"/>
  <c r="K28" i="19"/>
  <c r="H23" i="34"/>
  <c r="M13" i="34"/>
  <c r="M21" i="35"/>
  <c r="M35" i="35"/>
  <c r="M25" i="34"/>
  <c r="K6" i="35"/>
  <c r="K13" i="34"/>
  <c r="H28" i="35"/>
  <c r="M23" i="34"/>
  <c r="M19" i="34"/>
  <c r="H28" i="19"/>
  <c r="F34" i="19"/>
  <c r="K17" i="34"/>
  <c r="H31" i="35"/>
  <c r="F25" i="19"/>
  <c r="K19" i="35"/>
  <c r="F32" i="34"/>
  <c r="K11" i="19"/>
  <c r="M22" i="35"/>
  <c r="K12" i="19"/>
  <c r="F14" i="34"/>
  <c r="F19" i="34"/>
  <c r="F26" i="35"/>
  <c r="M9" i="34"/>
  <c r="H12" i="34"/>
  <c r="K17" i="35"/>
  <c r="K23" i="19"/>
  <c r="M30" i="35"/>
  <c r="F20" i="34"/>
  <c r="K11" i="34"/>
  <c r="M32" i="35"/>
  <c r="H20" i="19"/>
  <c r="H13" i="34"/>
  <c r="M7" i="34"/>
  <c r="K35" i="19"/>
  <c r="K21" i="34"/>
  <c r="M30" i="34"/>
  <c r="F23" i="35"/>
  <c r="F17" i="35"/>
  <c r="H31" i="34"/>
  <c r="F27" i="19"/>
  <c r="K16" i="35"/>
  <c r="F19" i="35"/>
  <c r="K20" i="34"/>
  <c r="H18" i="19"/>
  <c r="H7" i="35"/>
  <c r="M8" i="34"/>
  <c r="H15" i="34"/>
  <c r="M16" i="34"/>
  <c r="M28" i="34"/>
  <c r="F35" i="35"/>
  <c r="K16" i="34"/>
  <c r="M25" i="35"/>
  <c r="K8" i="19"/>
  <c r="H12" i="19"/>
  <c r="F11" i="34"/>
  <c r="K20" i="35"/>
  <c r="H8" i="34"/>
  <c r="M12" i="34"/>
  <c r="F21" i="19"/>
  <c r="H10" i="35"/>
  <c r="F11" i="35"/>
  <c r="F31" i="19"/>
  <c r="H11" i="34"/>
  <c r="H35" i="34"/>
  <c r="F16" i="19"/>
  <c r="K21" i="19"/>
  <c r="H11" i="35"/>
  <c r="H14" i="35"/>
  <c r="H31" i="19"/>
  <c r="F14" i="19"/>
  <c r="H34" i="35"/>
  <c r="H6" i="19"/>
  <c r="H23" i="19"/>
  <c r="H15" i="35"/>
  <c r="M31" i="35"/>
  <c r="H22" i="34"/>
  <c r="F21" i="34"/>
  <c r="F15" i="35"/>
  <c r="F24" i="19"/>
  <c r="K8" i="34"/>
  <c r="M35" i="34"/>
  <c r="M8" i="35"/>
  <c r="H12" i="35"/>
  <c r="H27" i="34"/>
  <c r="K30" i="19"/>
  <c r="F30" i="19"/>
  <c r="K9" i="34"/>
  <c r="F16" i="35"/>
  <c r="M34" i="34"/>
  <c r="K27" i="19"/>
  <c r="K31" i="34"/>
  <c r="F32" i="19"/>
  <c r="K29" i="19"/>
  <c r="F23" i="34"/>
  <c r="H17" i="19"/>
  <c r="K14" i="35"/>
  <c r="F6" i="34"/>
  <c r="K32" i="34"/>
  <c r="M16" i="35"/>
  <c r="K29" i="35"/>
  <c r="H30" i="19"/>
  <c r="M31" i="34"/>
  <c r="F26" i="19"/>
  <c r="F9" i="35"/>
  <c r="K30" i="35"/>
  <c r="H18" i="35"/>
  <c r="K14" i="34"/>
  <c r="F24" i="35"/>
  <c r="H16" i="19"/>
  <c r="H17" i="35"/>
  <c r="K7" i="35"/>
  <c r="K24" i="34"/>
  <c r="H19" i="35"/>
  <c r="K19" i="19"/>
  <c r="K30" i="34"/>
  <c r="M27" i="34"/>
  <c r="H21" i="35"/>
  <c r="K23" i="35"/>
  <c r="F8" i="34"/>
  <c r="H29" i="19"/>
  <c r="K25" i="35"/>
  <c r="F34" i="35"/>
  <c r="F30" i="34"/>
  <c r="F27" i="35"/>
  <c r="F13" i="19"/>
  <c r="K15" i="19"/>
  <c r="M34" i="35"/>
  <c r="K12" i="35"/>
  <c r="H14" i="34"/>
  <c r="K15" i="35"/>
  <c r="M24" i="35"/>
  <c r="H10" i="19"/>
  <c r="M11" i="35"/>
  <c r="H26" i="34"/>
  <c r="F23" i="19"/>
  <c r="K29" i="34"/>
  <c r="F22" i="19"/>
  <c r="K18" i="34"/>
  <c r="H35" i="35"/>
  <c r="H26" i="35"/>
  <c r="K6" i="19"/>
  <c r="K9" i="19"/>
  <c r="F35" i="19"/>
  <c r="M9" i="35"/>
  <c r="F7" i="19"/>
  <c r="K18" i="19"/>
  <c r="K32" i="19"/>
  <c r="M19" i="35"/>
  <c r="H19" i="19"/>
  <c r="H25" i="19"/>
  <c r="H15" i="19"/>
  <c r="F28" i="19"/>
  <c r="K31" i="19"/>
  <c r="M6" i="34"/>
  <c r="H19" i="34"/>
  <c r="I19" i="34" s="1"/>
  <c r="F6" i="19"/>
  <c r="M20" i="35"/>
  <c r="H24" i="19"/>
  <c r="K22" i="34"/>
  <c r="F12" i="19"/>
  <c r="K27" i="35"/>
  <c r="K10" i="19"/>
  <c r="M21" i="34"/>
  <c r="M26" i="34"/>
  <c r="F18" i="34"/>
  <c r="K15" i="34"/>
  <c r="F17" i="19"/>
  <c r="M29" i="35"/>
  <c r="K17" i="19"/>
  <c r="H30" i="35"/>
  <c r="J30" i="35" s="1"/>
  <c r="H17" i="34"/>
  <c r="J17" i="34" s="1"/>
  <c r="K25" i="19"/>
  <c r="M17" i="34"/>
  <c r="M14" i="35"/>
  <c r="F9" i="34"/>
  <c r="H32" i="34"/>
  <c r="K34" i="19"/>
  <c r="H6" i="34"/>
  <c r="H9" i="19"/>
  <c r="F11" i="19"/>
  <c r="H7" i="19"/>
  <c r="K24" i="19"/>
  <c r="H9" i="34"/>
  <c r="I9" i="34" s="1"/>
  <c r="F20" i="19"/>
  <c r="F20" i="35"/>
  <c r="H32" i="19"/>
  <c r="M28" i="35"/>
  <c r="F18" i="35"/>
  <c r="M17" i="35"/>
  <c r="K12" i="34"/>
  <c r="M24" i="34"/>
  <c r="M15" i="35"/>
  <c r="M23" i="35"/>
  <c r="F9" i="19"/>
  <c r="F7" i="34"/>
  <c r="F27" i="34"/>
  <c r="K26" i="34"/>
  <c r="F14" i="35"/>
  <c r="K16" i="19"/>
  <c r="F10" i="35"/>
  <c r="F31" i="35"/>
  <c r="H32" i="35"/>
  <c r="J32" i="35" s="1"/>
  <c r="H9" i="35"/>
  <c r="I9" i="35" s="1"/>
  <c r="K13" i="19"/>
  <c r="M10" i="34"/>
  <c r="H30" i="34"/>
  <c r="J30" i="34" s="1"/>
  <c r="F32" i="35"/>
  <c r="K35" i="35"/>
  <c r="M18" i="35"/>
  <c r="F8" i="19"/>
  <c r="K22" i="35"/>
  <c r="F22" i="34"/>
  <c r="H22" i="35"/>
  <c r="F28" i="34"/>
  <c r="H6" i="35"/>
  <c r="K6" i="34"/>
  <c r="F12" i="35"/>
  <c r="H21" i="19"/>
  <c r="J23" i="35"/>
  <c r="I27" i="35"/>
  <c r="J34" i="34"/>
  <c r="I21" i="34"/>
  <c r="J16" i="35"/>
  <c r="I20" i="35"/>
  <c r="I8" i="35"/>
  <c r="I7" i="34"/>
  <c r="I28" i="34"/>
  <c r="I29" i="34"/>
  <c r="I20" i="34"/>
  <c r="Y43" i="10"/>
  <c r="M27" i="19"/>
  <c r="M17" i="19"/>
  <c r="M14" i="19"/>
  <c r="M11" i="19"/>
  <c r="M26" i="19"/>
  <c r="M12" i="19"/>
  <c r="M28" i="19"/>
  <c r="M18" i="19"/>
  <c r="M34" i="19"/>
  <c r="M29" i="19"/>
  <c r="M13" i="19"/>
  <c r="M25" i="19"/>
  <c r="M15" i="19"/>
  <c r="M10" i="19"/>
  <c r="M30" i="19"/>
  <c r="M16" i="19"/>
  <c r="M32" i="19"/>
  <c r="M20" i="19"/>
  <c r="M22" i="19"/>
  <c r="M7" i="19"/>
  <c r="M31" i="19"/>
  <c r="M6" i="19"/>
  <c r="M19" i="19"/>
  <c r="M24" i="19"/>
  <c r="M8" i="19"/>
  <c r="M9" i="19"/>
  <c r="M21" i="19"/>
  <c r="M35" i="19"/>
  <c r="M23" i="19"/>
  <c r="Y39" i="10"/>
  <c r="J24" i="35" l="1"/>
  <c r="J10" i="34"/>
  <c r="I25" i="35"/>
  <c r="J24" i="34"/>
  <c r="J13" i="35"/>
  <c r="I29" i="35"/>
  <c r="J9" i="35"/>
  <c r="I30" i="35"/>
  <c r="I30" i="34"/>
  <c r="K36" i="34"/>
  <c r="K69" i="34" s="1"/>
  <c r="H104" i="34" s="1"/>
  <c r="H105" i="34" s="1"/>
  <c r="K36" i="35"/>
  <c r="K69" i="35" s="1"/>
  <c r="H104" i="35" s="1"/>
  <c r="H105" i="35" s="1"/>
  <c r="I32" i="35"/>
  <c r="J9" i="34"/>
  <c r="H36" i="35"/>
  <c r="H69" i="35" s="1"/>
  <c r="I10" i="35"/>
  <c r="J10" i="35"/>
  <c r="J12" i="35"/>
  <c r="I12" i="35"/>
  <c r="J14" i="35"/>
  <c r="I14" i="35"/>
  <c r="I11" i="35"/>
  <c r="J11" i="35"/>
  <c r="J6" i="34"/>
  <c r="I6" i="34"/>
  <c r="J18" i="35"/>
  <c r="I18" i="35"/>
  <c r="I15" i="35"/>
  <c r="J15" i="35"/>
  <c r="J31" i="35"/>
  <c r="I31" i="35"/>
  <c r="J18" i="34"/>
  <c r="I18" i="34"/>
  <c r="J14" i="34"/>
  <c r="I14" i="34"/>
  <c r="I19" i="35"/>
  <c r="J19" i="35"/>
  <c r="I8" i="34"/>
  <c r="J8" i="34"/>
  <c r="I25" i="34"/>
  <c r="J25" i="34"/>
  <c r="J22" i="35"/>
  <c r="I22" i="35"/>
  <c r="J7" i="35"/>
  <c r="I7" i="35"/>
  <c r="J35" i="35"/>
  <c r="I35" i="35"/>
  <c r="J32" i="34"/>
  <c r="I32" i="34"/>
  <c r="I35" i="34"/>
  <c r="J35" i="34"/>
  <c r="I13" i="34"/>
  <c r="J13" i="34"/>
  <c r="I12" i="34"/>
  <c r="J12" i="34"/>
  <c r="I23" i="34"/>
  <c r="J23" i="34"/>
  <c r="J21" i="35"/>
  <c r="I21" i="35"/>
  <c r="I16" i="34"/>
  <c r="J16" i="34"/>
  <c r="H36" i="34"/>
  <c r="H69" i="34" s="1"/>
  <c r="J26" i="35"/>
  <c r="I26" i="35"/>
  <c r="I27" i="34"/>
  <c r="J27" i="34"/>
  <c r="J6" i="35"/>
  <c r="I6" i="35"/>
  <c r="I34" i="35"/>
  <c r="J34" i="35"/>
  <c r="J11" i="34"/>
  <c r="I11" i="34"/>
  <c r="J15" i="34"/>
  <c r="I15" i="34"/>
  <c r="I31" i="34"/>
  <c r="J31" i="34"/>
  <c r="I28" i="35"/>
  <c r="J28" i="35"/>
  <c r="I22" i="34"/>
  <c r="J22" i="34"/>
  <c r="J19" i="34"/>
  <c r="I17" i="34"/>
  <c r="J26" i="34"/>
  <c r="I26" i="34"/>
  <c r="J17" i="35"/>
  <c r="I17" i="35"/>
  <c r="K36" i="19"/>
  <c r="J6" i="19"/>
  <c r="H36" i="19"/>
  <c r="H69" i="19" s="1"/>
  <c r="I6" i="19"/>
  <c r="J7" i="19"/>
  <c r="I7" i="19"/>
  <c r="J34" i="19"/>
  <c r="I34" i="19"/>
  <c r="J30" i="19"/>
  <c r="I30" i="19"/>
  <c r="J15" i="19"/>
  <c r="I15" i="19"/>
  <c r="J18" i="19"/>
  <c r="I18" i="19"/>
  <c r="J12" i="19"/>
  <c r="I12" i="19"/>
  <c r="J35" i="19"/>
  <c r="I35" i="19"/>
  <c r="J31" i="19"/>
  <c r="I31" i="19"/>
  <c r="J10" i="19"/>
  <c r="I10" i="19"/>
  <c r="J25" i="19"/>
  <c r="I25" i="19"/>
  <c r="J11" i="19"/>
  <c r="I11" i="19"/>
  <c r="J16" i="19"/>
  <c r="I16" i="19"/>
  <c r="J23" i="19"/>
  <c r="I23" i="19"/>
  <c r="J32" i="19"/>
  <c r="I32" i="19"/>
  <c r="J9" i="19"/>
  <c r="I9" i="19"/>
  <c r="J20" i="19"/>
  <c r="I20" i="19"/>
  <c r="J28" i="19"/>
  <c r="I28" i="19"/>
  <c r="J27" i="19"/>
  <c r="I27" i="19"/>
  <c r="J21" i="19"/>
  <c r="I21" i="19"/>
  <c r="J19" i="19"/>
  <c r="I19" i="19"/>
  <c r="J8" i="19"/>
  <c r="I8" i="19"/>
  <c r="J14" i="19"/>
  <c r="I14" i="19"/>
  <c r="J22" i="19"/>
  <c r="I22" i="19"/>
  <c r="J24" i="19"/>
  <c r="I24" i="19"/>
  <c r="J17" i="19"/>
  <c r="I17" i="19"/>
  <c r="J26" i="19"/>
  <c r="I26" i="19"/>
  <c r="J13" i="19"/>
  <c r="I13" i="19"/>
  <c r="J29" i="19"/>
  <c r="I29" i="19"/>
  <c r="I36" i="35" l="1"/>
  <c r="I69" i="35" s="1"/>
  <c r="H102" i="35" s="1"/>
  <c r="J36" i="34"/>
  <c r="J69" i="34" s="1"/>
  <c r="H103" i="34" s="1"/>
  <c r="J36" i="35"/>
  <c r="J69" i="35" s="1"/>
  <c r="H103" i="35" s="1"/>
  <c r="I36" i="34"/>
  <c r="I69" i="34" s="1"/>
  <c r="H102" i="34" s="1"/>
  <c r="K69" i="19"/>
  <c r="H104" i="19" s="1"/>
  <c r="H105" i="19" s="1"/>
  <c r="I36" i="19"/>
  <c r="J36" i="19"/>
  <c r="G16" i="15" l="1"/>
  <c r="J69" i="19"/>
  <c r="I69" i="19"/>
  <c r="H102" i="19" l="1"/>
  <c r="G14" i="15" s="1"/>
  <c r="H103" i="19"/>
  <c r="G1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000-000001000000}">
      <text>
        <r>
          <rPr>
            <b/>
            <sz val="9"/>
            <color indexed="81"/>
            <rFont val="ＭＳ Ｐ明朝"/>
            <family val="1"/>
            <charset val="128"/>
          </rPr>
          <t>実績年度を選択してください。</t>
        </r>
      </text>
    </comment>
    <comment ref="L8" authorId="0" shapeId="0" xr:uid="{00000000-0006-0000-0000-000002000000}">
      <text>
        <r>
          <rPr>
            <b/>
            <sz val="9"/>
            <color indexed="81"/>
            <rFont val="MS P ゴシック"/>
            <family val="3"/>
            <charset val="128"/>
          </rPr>
          <t>R7.4.1 や 2025/4/1 のように半角で入力してください。元号で表示されます。</t>
        </r>
      </text>
    </comment>
    <comment ref="D13" authorId="0" shapeId="0" xr:uid="{00000000-0006-0000-0000-000003000000}">
      <text>
        <r>
          <rPr>
            <b/>
            <sz val="9"/>
            <color indexed="81"/>
            <rFont val="ＭＳ Ｐ明朝"/>
            <family val="1"/>
            <charset val="128"/>
          </rPr>
          <t>事業所番号は半角数字６桁で入力してください。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L20" authorId="0" shapeId="0" xr:uid="{5C18E6F5-E345-4FBC-96F1-C4434AFE15B9}">
      <text>
        <r>
          <rPr>
            <b/>
            <sz val="9"/>
            <color indexed="81"/>
            <rFont val="ＭＳ Ｐゴシック"/>
            <family val="3"/>
            <charset val="128"/>
          </rPr>
          <t>旧来のＣＯ₂基準排出量を手入力する:</t>
        </r>
        <r>
          <rPr>
            <sz val="9"/>
            <color indexed="81"/>
            <rFont val="ＭＳ Ｐゴシック"/>
            <family val="3"/>
            <charset val="128"/>
          </rPr>
          <t xml:space="preserve">
</t>
        </r>
      </text>
    </comment>
    <comment ref="L35" authorId="0" shapeId="0" xr:uid="{FA728D0F-F6D1-44F7-9A46-C12250A32E7A}">
      <text>
        <r>
          <rPr>
            <b/>
            <sz val="9"/>
            <color indexed="81"/>
            <rFont val="ＭＳ Ｐゴシック"/>
            <family val="3"/>
            <charset val="128"/>
          </rPr>
          <t>旧来のＣＯ₂基準排出量を手入力する:</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G4" authorId="0" shapeId="0" xr:uid="{C1FF7185-6256-4520-A49A-0CE9039265BA}">
      <text>
        <r>
          <rPr>
            <b/>
            <sz val="9"/>
            <color indexed="81"/>
            <rFont val="MS P ゴシック"/>
            <family val="3"/>
            <charset val="128"/>
          </rPr>
          <t>必ず、有り、無しのいずれか
を選択する。
新規の場合は無しを選択する。</t>
        </r>
        <r>
          <rPr>
            <sz val="9"/>
            <color indexed="81"/>
            <rFont val="MS P ゴシック"/>
            <family val="3"/>
            <charset val="128"/>
          </rPr>
          <t xml:space="preserve">
</t>
        </r>
      </text>
    </comment>
  </commentList>
</comments>
</file>

<file path=xl/sharedStrings.xml><?xml version="1.0" encoding="utf-8"?>
<sst xmlns="http://schemas.openxmlformats.org/spreadsheetml/2006/main" count="10942" uniqueCount="2532">
  <si>
    <t>事業所番号</t>
    <rPh sb="0" eb="3">
      <t>ジギョウショ</t>
    </rPh>
    <rPh sb="3" eb="5">
      <t>バンゴウ</t>
    </rPh>
    <phoneticPr fontId="6"/>
  </si>
  <si>
    <t>種類</t>
    <rPh sb="0" eb="2">
      <t>シュルイ</t>
    </rPh>
    <phoneticPr fontId="6"/>
  </si>
  <si>
    <t>熱　量</t>
    <phoneticPr fontId="6"/>
  </si>
  <si>
    <t>二酸化炭素
排　出　量</t>
    <phoneticPr fontId="6"/>
  </si>
  <si>
    <t>①</t>
    <phoneticPr fontId="6"/>
  </si>
  <si>
    <t>②</t>
    <phoneticPr fontId="6"/>
  </si>
  <si>
    <t>③=①×②</t>
    <phoneticPr fontId="6"/>
  </si>
  <si>
    <t>GJ</t>
    <phoneticPr fontId="6"/>
  </si>
  <si>
    <t>kL</t>
    <phoneticPr fontId="6"/>
  </si>
  <si>
    <t>原油（コンデンセートを除く）</t>
    <rPh sb="0" eb="2">
      <t>ゲンユ</t>
    </rPh>
    <rPh sb="11" eb="12">
      <t>ノゾ</t>
    </rPh>
    <phoneticPr fontId="6"/>
  </si>
  <si>
    <t>原油のうちコンデンセート（ＮＧＬ）</t>
    <rPh sb="0" eb="2">
      <t>ゲンユ</t>
    </rPh>
    <phoneticPr fontId="6"/>
  </si>
  <si>
    <t>揮発油（ガソリン）</t>
    <rPh sb="0" eb="3">
      <t>キハツユ</t>
    </rPh>
    <phoneticPr fontId="6"/>
  </si>
  <si>
    <t>t-C/GJ</t>
    <phoneticPr fontId="6"/>
  </si>
  <si>
    <t>ナフサ</t>
    <phoneticPr fontId="6"/>
  </si>
  <si>
    <t>灯油</t>
    <rPh sb="0" eb="2">
      <t>トウユ</t>
    </rPh>
    <phoneticPr fontId="6"/>
  </si>
  <si>
    <t>軽油</t>
    <rPh sb="0" eb="2">
      <t>ケイユ</t>
    </rPh>
    <phoneticPr fontId="6"/>
  </si>
  <si>
    <t>Ａ重油</t>
    <rPh sb="1" eb="3">
      <t>ジュウユ</t>
    </rPh>
    <phoneticPr fontId="6"/>
  </si>
  <si>
    <t>Ｂ・Ｃ重油</t>
    <rPh sb="3" eb="5">
      <t>ジュウユ</t>
    </rPh>
    <phoneticPr fontId="6"/>
  </si>
  <si>
    <t>石油アスファルト</t>
    <rPh sb="0" eb="2">
      <t>セキユ</t>
    </rPh>
    <phoneticPr fontId="6"/>
  </si>
  <si>
    <t>t</t>
    <phoneticPr fontId="6"/>
  </si>
  <si>
    <t>石油コークス</t>
    <rPh sb="0" eb="2">
      <t>セキユ</t>
    </rPh>
    <phoneticPr fontId="6"/>
  </si>
  <si>
    <t>石油ガス</t>
    <rPh sb="0" eb="2">
      <t>セキユ</t>
    </rPh>
    <phoneticPr fontId="6"/>
  </si>
  <si>
    <t>液化石油ガス（ＬＰＧ）</t>
    <phoneticPr fontId="6"/>
  </si>
  <si>
    <t>石油系炭化水素ガス</t>
    <rPh sb="0" eb="3">
      <t>セキユケイ</t>
    </rPh>
    <rPh sb="3" eb="5">
      <t>タンカ</t>
    </rPh>
    <rPh sb="5" eb="7">
      <t>スイソ</t>
    </rPh>
    <phoneticPr fontId="6"/>
  </si>
  <si>
    <t>可燃性天然ガス</t>
    <rPh sb="0" eb="3">
      <t>カネンセイ</t>
    </rPh>
    <rPh sb="3" eb="5">
      <t>テンネン</t>
    </rPh>
    <phoneticPr fontId="6"/>
  </si>
  <si>
    <t>液化天然ガス（ＬＮＧ）</t>
    <rPh sb="0" eb="2">
      <t>エキカ</t>
    </rPh>
    <rPh sb="2" eb="4">
      <t>テンネン</t>
    </rPh>
    <phoneticPr fontId="6"/>
  </si>
  <si>
    <t>その他可燃性天然ガス</t>
    <rPh sb="2" eb="3">
      <t>タ</t>
    </rPh>
    <rPh sb="3" eb="6">
      <t>カネンセイ</t>
    </rPh>
    <rPh sb="6" eb="8">
      <t>テンネン</t>
    </rPh>
    <phoneticPr fontId="6"/>
  </si>
  <si>
    <t>石炭コークス</t>
    <rPh sb="0" eb="2">
      <t>セキタン</t>
    </rPh>
    <phoneticPr fontId="6"/>
  </si>
  <si>
    <t>コールタール</t>
    <phoneticPr fontId="6"/>
  </si>
  <si>
    <t>コークス炉ガス</t>
    <rPh sb="4" eb="5">
      <t>ロ</t>
    </rPh>
    <phoneticPr fontId="6"/>
  </si>
  <si>
    <t>転炉ガス</t>
    <rPh sb="0" eb="2">
      <t>テンロ</t>
    </rPh>
    <phoneticPr fontId="6"/>
  </si>
  <si>
    <t>その他燃料</t>
    <rPh sb="2" eb="3">
      <t>タ</t>
    </rPh>
    <rPh sb="3" eb="5">
      <t>ネンリョウ</t>
    </rPh>
    <phoneticPr fontId="6"/>
  </si>
  <si>
    <t>都市ガス</t>
    <rPh sb="0" eb="2">
      <t>トシ</t>
    </rPh>
    <phoneticPr fontId="6"/>
  </si>
  <si>
    <t>産業用蒸気</t>
    <rPh sb="0" eb="3">
      <t>サンギョウヨウ</t>
    </rPh>
    <rPh sb="3" eb="5">
      <t>ジョウキ</t>
    </rPh>
    <phoneticPr fontId="6"/>
  </si>
  <si>
    <t>産業用以外の蒸気</t>
    <rPh sb="0" eb="3">
      <t>サンギョウヨウ</t>
    </rPh>
    <rPh sb="3" eb="5">
      <t>イガイ</t>
    </rPh>
    <rPh sb="6" eb="8">
      <t>ジョウキ</t>
    </rPh>
    <phoneticPr fontId="6"/>
  </si>
  <si>
    <t>温水</t>
    <rPh sb="0" eb="2">
      <t>オンスイ</t>
    </rPh>
    <phoneticPr fontId="6"/>
  </si>
  <si>
    <t>冷水</t>
    <rPh sb="0" eb="2">
      <t>レイスイ</t>
    </rPh>
    <phoneticPr fontId="6"/>
  </si>
  <si>
    <t>小計</t>
    <phoneticPr fontId="6"/>
  </si>
  <si>
    <t>千kWh</t>
    <rPh sb="0" eb="1">
      <t>セン</t>
    </rPh>
    <phoneticPr fontId="6"/>
  </si>
  <si>
    <t>外部供給</t>
    <rPh sb="0" eb="2">
      <t>ガイブ</t>
    </rPh>
    <rPh sb="2" eb="4">
      <t>キョウキュウ</t>
    </rPh>
    <phoneticPr fontId="6"/>
  </si>
  <si>
    <t>自ら生成した熱の供給</t>
    <rPh sb="0" eb="1">
      <t>ミズカ</t>
    </rPh>
    <rPh sb="2" eb="4">
      <t>セイセイ</t>
    </rPh>
    <rPh sb="6" eb="7">
      <t>ネツ</t>
    </rPh>
    <rPh sb="8" eb="10">
      <t>キョウキュウ</t>
    </rPh>
    <phoneticPr fontId="6"/>
  </si>
  <si>
    <t>自ら生成した電力の供給</t>
    <rPh sb="0" eb="1">
      <t>ミズカ</t>
    </rPh>
    <rPh sb="2" eb="4">
      <t>セイセイ</t>
    </rPh>
    <rPh sb="6" eb="8">
      <t>デンリョク</t>
    </rPh>
    <rPh sb="9" eb="11">
      <t>キョウキュウ</t>
    </rPh>
    <phoneticPr fontId="6"/>
  </si>
  <si>
    <t>合計</t>
    <rPh sb="0" eb="2">
      <t>ゴウケイ</t>
    </rPh>
    <phoneticPr fontId="6"/>
  </si>
  <si>
    <t>原料炭</t>
    <rPh sb="0" eb="2">
      <t>ゲンリョウ</t>
    </rPh>
    <rPh sb="2" eb="3">
      <t>スミ</t>
    </rPh>
    <phoneticPr fontId="5"/>
  </si>
  <si>
    <t>輸入原料炭</t>
    <rPh sb="0" eb="2">
      <t>ユニュウ</t>
    </rPh>
    <rPh sb="2" eb="4">
      <t>ゲンリョウ</t>
    </rPh>
    <rPh sb="4" eb="5">
      <t>タン</t>
    </rPh>
    <phoneticPr fontId="6"/>
  </si>
  <si>
    <t>コークス炉用原料炭</t>
    <rPh sb="4" eb="5">
      <t>ロ</t>
    </rPh>
    <rPh sb="5" eb="6">
      <t>ヨウ</t>
    </rPh>
    <rPh sb="6" eb="8">
      <t>ゲンリョウ</t>
    </rPh>
    <rPh sb="8" eb="9">
      <t>タン</t>
    </rPh>
    <phoneticPr fontId="6"/>
  </si>
  <si>
    <t>一般炭</t>
    <rPh sb="0" eb="2">
      <t>イッパン</t>
    </rPh>
    <rPh sb="2" eb="3">
      <t>スミ</t>
    </rPh>
    <phoneticPr fontId="5"/>
  </si>
  <si>
    <t>輸入一般炭</t>
    <rPh sb="0" eb="4">
      <t>ユニュウイッパン</t>
    </rPh>
    <rPh sb="4" eb="5">
      <t>スミ</t>
    </rPh>
    <phoneticPr fontId="5"/>
  </si>
  <si>
    <t>国産一般炭</t>
    <rPh sb="0" eb="2">
      <t>コクサン</t>
    </rPh>
    <rPh sb="2" eb="4">
      <t>イッパン</t>
    </rPh>
    <rPh sb="4" eb="5">
      <t>スミ</t>
    </rPh>
    <phoneticPr fontId="6"/>
  </si>
  <si>
    <t>発電用高炉ガス</t>
    <rPh sb="0" eb="3">
      <t>ハツデンヨウ</t>
    </rPh>
    <rPh sb="3" eb="5">
      <t>コウロ</t>
    </rPh>
    <phoneticPr fontId="6"/>
  </si>
  <si>
    <t>ジェット燃料油</t>
    <rPh sb="4" eb="6">
      <t>ネンリョウ</t>
    </rPh>
    <rPh sb="6" eb="7">
      <t>アブラ</t>
    </rPh>
    <phoneticPr fontId="6"/>
  </si>
  <si>
    <t>原油換算
エネルギー
使用量</t>
    <rPh sb="0" eb="2">
      <t>ゲンユ</t>
    </rPh>
    <rPh sb="2" eb="4">
      <t>カンサン</t>
    </rPh>
    <rPh sb="11" eb="14">
      <t>シヨウリョウ</t>
    </rPh>
    <phoneticPr fontId="6"/>
  </si>
  <si>
    <t>規模判定
エネルギー
使用量</t>
    <rPh sb="0" eb="4">
      <t>キボハンテイ</t>
    </rPh>
    <rPh sb="11" eb="14">
      <t>シヨウリョウ</t>
    </rPh>
    <phoneticPr fontId="5"/>
  </si>
  <si>
    <t>輸入無煙炭</t>
    <rPh sb="0" eb="2">
      <t>ユニュウ</t>
    </rPh>
    <rPh sb="2" eb="5">
      <t>ムエンタン</t>
    </rPh>
    <phoneticPr fontId="6"/>
  </si>
  <si>
    <t>吹込用原料炭</t>
    <rPh sb="0" eb="2">
      <t>フキコ</t>
    </rPh>
    <rPh sb="2" eb="3">
      <t>ヨウ</t>
    </rPh>
    <rPh sb="3" eb="5">
      <t>ゲンリョウ</t>
    </rPh>
    <rPh sb="5" eb="6">
      <t>タン</t>
    </rPh>
    <phoneticPr fontId="6"/>
  </si>
  <si>
    <t>⑥=①×②×④</t>
    <phoneticPr fontId="6"/>
  </si>
  <si>
    <t>自家消費量</t>
    <phoneticPr fontId="5"/>
  </si>
  <si>
    <t>事業所外からの供給量</t>
    <phoneticPr fontId="5"/>
  </si>
  <si>
    <t>環境価値を
有する熱</t>
    <rPh sb="0" eb="2">
      <t>カンキョウ</t>
    </rPh>
    <rPh sb="2" eb="4">
      <t>カチ</t>
    </rPh>
    <rPh sb="6" eb="7">
      <t>ユウ</t>
    </rPh>
    <rPh sb="9" eb="10">
      <t>ネツ</t>
    </rPh>
    <phoneticPr fontId="5"/>
  </si>
  <si>
    <t>グリーン電力証書</t>
    <rPh sb="4" eb="6">
      <t>デンリョク</t>
    </rPh>
    <rPh sb="6" eb="8">
      <t>ショウショ</t>
    </rPh>
    <phoneticPr fontId="5"/>
  </si>
  <si>
    <t>FIT非化石証書</t>
    <rPh sb="3" eb="6">
      <t>ヒカセキ</t>
    </rPh>
    <rPh sb="6" eb="8">
      <t>ショウショ</t>
    </rPh>
    <phoneticPr fontId="5"/>
  </si>
  <si>
    <t>非FIT非化石証書（再生可能エネルギー指定）</t>
    <rPh sb="0" eb="1">
      <t>ヒ</t>
    </rPh>
    <rPh sb="4" eb="7">
      <t>ヒカセキ</t>
    </rPh>
    <rPh sb="7" eb="9">
      <t>ショウショ</t>
    </rPh>
    <phoneticPr fontId="5"/>
  </si>
  <si>
    <t>J-クレジット制度において認証・発行された
クレジット（①森林経営活動、
②植林活動、③再造林活動）</t>
    <phoneticPr fontId="5"/>
  </si>
  <si>
    <t>高炉ガス（発電用以外）</t>
    <rPh sb="0" eb="2">
      <t>コウロ</t>
    </rPh>
    <rPh sb="5" eb="7">
      <t>ハツデン</t>
    </rPh>
    <rPh sb="7" eb="8">
      <t>ヨウ</t>
    </rPh>
    <rPh sb="8" eb="10">
      <t>イガイ</t>
    </rPh>
    <phoneticPr fontId="6"/>
  </si>
  <si>
    <t>グリーン熱証書</t>
    <rPh sb="4" eb="5">
      <t>デンネツ</t>
    </rPh>
    <rPh sb="5" eb="7">
      <t>ショウショ</t>
    </rPh>
    <phoneticPr fontId="5"/>
  </si>
  <si>
    <t>環境価値を移転した熱</t>
    <rPh sb="0" eb="2">
      <t>カンキョウ</t>
    </rPh>
    <rPh sb="2" eb="4">
      <t>カチ</t>
    </rPh>
    <rPh sb="5" eb="7">
      <t>イテン</t>
    </rPh>
    <rPh sb="9" eb="10">
      <t>ネツ</t>
    </rPh>
    <phoneticPr fontId="5"/>
  </si>
  <si>
    <t>環境価値を有する電気</t>
    <rPh sb="0" eb="2">
      <t>カンキョウ</t>
    </rPh>
    <rPh sb="2" eb="4">
      <t>カチ</t>
    </rPh>
    <rPh sb="5" eb="6">
      <t>ユウ</t>
    </rPh>
    <rPh sb="8" eb="10">
      <t>デンキ</t>
    </rPh>
    <phoneticPr fontId="5"/>
  </si>
  <si>
    <t>環境価値を移転した電気</t>
    <rPh sb="0" eb="2">
      <t>カンキョウ</t>
    </rPh>
    <rPh sb="2" eb="4">
      <t>カチ</t>
    </rPh>
    <rPh sb="5" eb="7">
      <t>イテン</t>
    </rPh>
    <rPh sb="9" eb="11">
      <t>デンキ</t>
    </rPh>
    <phoneticPr fontId="5"/>
  </si>
  <si>
    <t>石炭</t>
    <rPh sb="0" eb="2">
      <t>セキタン</t>
    </rPh>
    <phoneticPr fontId="6"/>
  </si>
  <si>
    <t>単位</t>
    <rPh sb="0" eb="2">
      <t>タンイ</t>
    </rPh>
    <phoneticPr fontId="6"/>
  </si>
  <si>
    <t>排出活動の種類</t>
    <rPh sb="0" eb="2">
      <t>ハイシュツ</t>
    </rPh>
    <rPh sb="2" eb="4">
      <t>カツドウ</t>
    </rPh>
    <rPh sb="5" eb="7">
      <t>シュルイ</t>
    </rPh>
    <phoneticPr fontId="5"/>
  </si>
  <si>
    <t>コークス炉ガス</t>
    <phoneticPr fontId="6"/>
  </si>
  <si>
    <t>排出活動の種類</t>
    <rPh sb="0" eb="2">
      <t>ハイシュツ</t>
    </rPh>
    <rPh sb="2" eb="4">
      <t>カツドウ</t>
    </rPh>
    <rPh sb="5" eb="7">
      <t>シュルイ</t>
    </rPh>
    <phoneticPr fontId="6"/>
  </si>
  <si>
    <t>区  分</t>
    <rPh sb="0" eb="1">
      <t>ク</t>
    </rPh>
    <rPh sb="3" eb="4">
      <t>ブン</t>
    </rPh>
    <phoneticPr fontId="6"/>
  </si>
  <si>
    <t>単  位</t>
    <rPh sb="0" eb="1">
      <t>タン</t>
    </rPh>
    <rPh sb="3" eb="4">
      <t>クライ</t>
    </rPh>
    <phoneticPr fontId="13"/>
  </si>
  <si>
    <t>使用量</t>
    <rPh sb="0" eb="3">
      <t>シヨウリョウ</t>
    </rPh>
    <phoneticPr fontId="6"/>
  </si>
  <si>
    <t>単位補正後使用量</t>
    <phoneticPr fontId="6"/>
  </si>
  <si>
    <t>単位補正</t>
    <rPh sb="0" eb="2">
      <t>タンイ</t>
    </rPh>
    <rPh sb="2" eb="4">
      <t>ホセイ</t>
    </rPh>
    <phoneticPr fontId="6"/>
  </si>
  <si>
    <t xml:space="preserve">廃棄物の焼却
</t>
    <rPh sb="0" eb="3">
      <t>ハイキブツ</t>
    </rPh>
    <rPh sb="4" eb="6">
      <t>ショウキャク</t>
    </rPh>
    <phoneticPr fontId="6"/>
  </si>
  <si>
    <t xml:space="preserve">廃油（特定有害産業廃棄物に限る。） </t>
    <phoneticPr fontId="6"/>
  </si>
  <si>
    <t>合成繊維</t>
    <rPh sb="0" eb="2">
      <t>ゴウセイ</t>
    </rPh>
    <rPh sb="2" eb="4">
      <t>センイ</t>
    </rPh>
    <phoneticPr fontId="6"/>
  </si>
  <si>
    <t>合成繊維及び廃ﾀｲﾔ以外の廃ﾌﾟﾗｽﾁｯｸ類
（産業廃棄物）</t>
    <rPh sb="0" eb="2">
      <t>ゴウセイ</t>
    </rPh>
    <rPh sb="2" eb="4">
      <t>センイ</t>
    </rPh>
    <rPh sb="4" eb="5">
      <t>オヨ</t>
    </rPh>
    <rPh sb="6" eb="7">
      <t>ハイ</t>
    </rPh>
    <rPh sb="10" eb="12">
      <t>イガイ</t>
    </rPh>
    <rPh sb="13" eb="14">
      <t>ハイ</t>
    </rPh>
    <rPh sb="21" eb="22">
      <t>ルイ</t>
    </rPh>
    <rPh sb="24" eb="26">
      <t>サンギョウ</t>
    </rPh>
    <rPh sb="26" eb="29">
      <t>ハイキブツ</t>
    </rPh>
    <phoneticPr fontId="6"/>
  </si>
  <si>
    <t>ポリエチレンテレフタレート製の容器</t>
    <phoneticPr fontId="6"/>
  </si>
  <si>
    <t>廃プラスチック類（合成繊維、廃タイヤ、廃プラスチック類（産業廃棄物であるものに限る。）及びポリエチレンテレフタレート製の容器を除く。）</t>
    <phoneticPr fontId="6"/>
  </si>
  <si>
    <t>紙くず</t>
    <rPh sb="0" eb="1">
      <t>カミ</t>
    </rPh>
    <phoneticPr fontId="5"/>
  </si>
  <si>
    <t>紙おむつ</t>
    <rPh sb="0" eb="1">
      <t>カミ</t>
    </rPh>
    <phoneticPr fontId="5"/>
  </si>
  <si>
    <t>廃棄原燃料
の利用</t>
    <rPh sb="2" eb="5">
      <t>ゲンネンリョウ</t>
    </rPh>
    <rPh sb="3" eb="5">
      <t>ネンリョウ</t>
    </rPh>
    <phoneticPr fontId="5"/>
  </si>
  <si>
    <t>ごみ固形燃料（RDF）</t>
    <phoneticPr fontId="5"/>
  </si>
  <si>
    <t>ごみ固形燃料（RPF）</t>
    <rPh sb="2" eb="4">
      <t>コケイ</t>
    </rPh>
    <rPh sb="4" eb="6">
      <t>ネンリョウ</t>
    </rPh>
    <phoneticPr fontId="5"/>
  </si>
  <si>
    <t>廃タイヤ</t>
    <rPh sb="0" eb="1">
      <t>ハイ</t>
    </rPh>
    <phoneticPr fontId="12"/>
  </si>
  <si>
    <t>廃プラスチック類（一般廃棄物）</t>
    <rPh sb="0" eb="1">
      <t>ハイ</t>
    </rPh>
    <rPh sb="7" eb="8">
      <t>ルイ</t>
    </rPh>
    <rPh sb="9" eb="11">
      <t>イッパン</t>
    </rPh>
    <rPh sb="11" eb="14">
      <t>ハイキブツ</t>
    </rPh>
    <phoneticPr fontId="12"/>
  </si>
  <si>
    <t>廃プラスチック類（産業廃棄物）</t>
    <rPh sb="0" eb="1">
      <t>ハイ</t>
    </rPh>
    <rPh sb="7" eb="8">
      <t>ルイ</t>
    </rPh>
    <rPh sb="9" eb="11">
      <t>サンギョウ</t>
    </rPh>
    <rPh sb="11" eb="14">
      <t>ハイキブツ</t>
    </rPh>
    <phoneticPr fontId="12"/>
  </si>
  <si>
    <t>廃油（植物性のもの及び動物性のものを除く。）、廃油（植物性のもの及び動物性のものを除く。）から製造された燃料炭化水素油</t>
    <rPh sb="0" eb="2">
      <t>ハイユ</t>
    </rPh>
    <rPh sb="3" eb="6">
      <t>ショクブツセイ</t>
    </rPh>
    <rPh sb="9" eb="10">
      <t>オヨ</t>
    </rPh>
    <rPh sb="11" eb="14">
      <t>ドウブツセイ</t>
    </rPh>
    <rPh sb="18" eb="19">
      <t>ノゾ</t>
    </rPh>
    <rPh sb="47" eb="49">
      <t>セイゾウ</t>
    </rPh>
    <rPh sb="52" eb="56">
      <t>ネンリョウタンカ</t>
    </rPh>
    <rPh sb="56" eb="58">
      <t>スイソ</t>
    </rPh>
    <rPh sb="58" eb="59">
      <t>アブラ</t>
    </rPh>
    <phoneticPr fontId="12"/>
  </si>
  <si>
    <t>廃プラスチック類から製造された燃料炭化水素油</t>
    <rPh sb="0" eb="1">
      <t>ハイ</t>
    </rPh>
    <rPh sb="7" eb="8">
      <t>ルイ</t>
    </rPh>
    <rPh sb="10" eb="12">
      <t>セイゾウ</t>
    </rPh>
    <phoneticPr fontId="12"/>
  </si>
  <si>
    <t>廃棄物ガス</t>
    <rPh sb="0" eb="3">
      <t>ハイキブツ</t>
    </rPh>
    <phoneticPr fontId="5"/>
  </si>
  <si>
    <t>セメントクリンカーの製造</t>
    <rPh sb="10" eb="12">
      <t>セイゾウ</t>
    </rPh>
    <phoneticPr fontId="6"/>
  </si>
  <si>
    <t>生石灰の製造</t>
    <rPh sb="0" eb="3">
      <t>セイセッカイ</t>
    </rPh>
    <rPh sb="4" eb="6">
      <t>セイゾウ</t>
    </rPh>
    <phoneticPr fontId="6"/>
  </si>
  <si>
    <t>石灰石</t>
    <rPh sb="0" eb="3">
      <t>セッカイセキ</t>
    </rPh>
    <phoneticPr fontId="6"/>
  </si>
  <si>
    <t>ドロマイト</t>
    <phoneticPr fontId="6"/>
  </si>
  <si>
    <t>ソーダ石灰ガラス
の製造</t>
    <rPh sb="3" eb="5">
      <t>セッカイ</t>
    </rPh>
    <rPh sb="10" eb="12">
      <t>セイゾウ</t>
    </rPh>
    <phoneticPr fontId="6"/>
  </si>
  <si>
    <t>ソーダ灰（国内産）</t>
    <phoneticPr fontId="5"/>
  </si>
  <si>
    <t>ソーダ灰（輸入）</t>
    <phoneticPr fontId="5"/>
  </si>
  <si>
    <t>炭酸バリウム</t>
    <phoneticPr fontId="5"/>
  </si>
  <si>
    <t>炭酸カリウム</t>
    <phoneticPr fontId="5"/>
  </si>
  <si>
    <t>炭酸ストロンチウム</t>
    <phoneticPr fontId="5"/>
  </si>
  <si>
    <t>炭酸リチウム</t>
    <phoneticPr fontId="5"/>
  </si>
  <si>
    <t>ソーダ灰の製造</t>
    <rPh sb="3" eb="4">
      <t>ハイ</t>
    </rPh>
    <rPh sb="5" eb="7">
      <t>セイゾウ</t>
    </rPh>
    <phoneticPr fontId="6"/>
  </si>
  <si>
    <t>その他用途・プロセスでの炭酸塩の使用</t>
    <phoneticPr fontId="5"/>
  </si>
  <si>
    <t>石灰石</t>
    <rPh sb="0" eb="3">
      <t>セッカイセキ</t>
    </rPh>
    <phoneticPr fontId="12"/>
  </si>
  <si>
    <t>ドロマイト</t>
  </si>
  <si>
    <t>ソーダ灰（国内産）</t>
    <rPh sb="3" eb="4">
      <t>ハイ</t>
    </rPh>
    <rPh sb="5" eb="8">
      <t>コクナイサン</t>
    </rPh>
    <phoneticPr fontId="12"/>
  </si>
  <si>
    <t>ソーダ灰（輸入）</t>
    <rPh sb="3" eb="4">
      <t>ハイ</t>
    </rPh>
    <rPh sb="5" eb="7">
      <t>ユニュウ</t>
    </rPh>
    <phoneticPr fontId="12"/>
  </si>
  <si>
    <t>アンモニアの製造</t>
    <rPh sb="6" eb="8">
      <t>セイゾウ</t>
    </rPh>
    <phoneticPr fontId="6"/>
  </si>
  <si>
    <t>石油コークス</t>
    <rPh sb="0" eb="2">
      <t>セキユ</t>
    </rPh>
    <phoneticPr fontId="5"/>
  </si>
  <si>
    <t>液化天然ガス（LNG)</t>
    <rPh sb="0" eb="2">
      <t>エキカ</t>
    </rPh>
    <rPh sb="2" eb="4">
      <t>テンネン</t>
    </rPh>
    <phoneticPr fontId="6"/>
  </si>
  <si>
    <t>天然ガス
（液化天然ガス（LNG)を除く）</t>
    <rPh sb="0" eb="2">
      <t>テンネン</t>
    </rPh>
    <rPh sb="6" eb="8">
      <t>エキカ</t>
    </rPh>
    <rPh sb="8" eb="10">
      <t>テンネン</t>
    </rPh>
    <rPh sb="18" eb="19">
      <t>ノゾ</t>
    </rPh>
    <phoneticPr fontId="6"/>
  </si>
  <si>
    <t>製造された生石灰を炭化カルシウムの原料として使用した場合の生石灰の製造</t>
    <phoneticPr fontId="6"/>
  </si>
  <si>
    <t>炭化カルシウムの製造</t>
    <phoneticPr fontId="6"/>
  </si>
  <si>
    <t>二酸化チタンの製造</t>
    <rPh sb="0" eb="3">
      <t>ニサンカ</t>
    </rPh>
    <rPh sb="7" eb="9">
      <t>セイゾウ</t>
    </rPh>
    <phoneticPr fontId="5"/>
  </si>
  <si>
    <t>二酸化チタンをルチルから分離させる方法</t>
    <phoneticPr fontId="5"/>
  </si>
  <si>
    <t>塩化チタンと酸素を化学反応させる方法</t>
    <phoneticPr fontId="5"/>
  </si>
  <si>
    <t>日本産業規格Ａ列４番</t>
    <rPh sb="2" eb="4">
      <t>サンギョウ</t>
    </rPh>
    <phoneticPr fontId="6"/>
  </si>
  <si>
    <t>エチレン（ナフサからの製造）</t>
    <rPh sb="11" eb="13">
      <t>セイゾウ</t>
    </rPh>
    <phoneticPr fontId="12"/>
  </si>
  <si>
    <t>エチレン（軽油からの製造）</t>
    <rPh sb="5" eb="7">
      <t>ケイユ</t>
    </rPh>
    <rPh sb="10" eb="12">
      <t>セイゾウ</t>
    </rPh>
    <phoneticPr fontId="12"/>
  </si>
  <si>
    <t>エチレン（エタンからの製造）</t>
    <rPh sb="11" eb="13">
      <t>セイゾウ</t>
    </rPh>
    <phoneticPr fontId="12"/>
  </si>
  <si>
    <t>エチレン（プロパンからの製造）</t>
    <rPh sb="12" eb="14">
      <t>セイゾウ</t>
    </rPh>
    <phoneticPr fontId="12"/>
  </si>
  <si>
    <t>エチレン（ブタンからの製造）</t>
    <rPh sb="11" eb="13">
      <t>セイゾウ</t>
    </rPh>
    <phoneticPr fontId="12"/>
  </si>
  <si>
    <t>エチレン（その他原料からの製造）</t>
    <rPh sb="7" eb="8">
      <t>ホカ</t>
    </rPh>
    <rPh sb="8" eb="10">
      <t>ゲンリョウ</t>
    </rPh>
    <rPh sb="13" eb="15">
      <t>セイゾウ</t>
    </rPh>
    <phoneticPr fontId="12"/>
  </si>
  <si>
    <t>クロロエチレン</t>
  </si>
  <si>
    <t>酸化エチレン</t>
    <rPh sb="0" eb="2">
      <t>サンカ</t>
    </rPh>
    <phoneticPr fontId="12"/>
  </si>
  <si>
    <t>アクリロニトリル</t>
  </si>
  <si>
    <t>カーボンブラック</t>
  </si>
  <si>
    <t>無水フタル酸</t>
    <rPh sb="0" eb="2">
      <t>ムスイ</t>
    </rPh>
    <rPh sb="5" eb="6">
      <t>サン</t>
    </rPh>
    <phoneticPr fontId="12"/>
  </si>
  <si>
    <t>無水マレイン酸</t>
    <rPh sb="0" eb="2">
      <t>ムスイ</t>
    </rPh>
    <rPh sb="6" eb="7">
      <t>サン</t>
    </rPh>
    <phoneticPr fontId="12"/>
  </si>
  <si>
    <t>水素</t>
    <rPh sb="0" eb="2">
      <t>スイソ</t>
    </rPh>
    <phoneticPr fontId="12"/>
  </si>
  <si>
    <t>カルシウムカーバイドを原料としたアセチレンの使用</t>
    <rPh sb="11" eb="13">
      <t>ゲンリョウ</t>
    </rPh>
    <rPh sb="22" eb="24">
      <t>シヨウ</t>
    </rPh>
    <phoneticPr fontId="6"/>
  </si>
  <si>
    <t>電気炉における炭素電極の使用</t>
    <phoneticPr fontId="5"/>
  </si>
  <si>
    <t>鉄鋼の製造における鉱物の使用</t>
    <phoneticPr fontId="5"/>
  </si>
  <si>
    <t>石灰石</t>
    <phoneticPr fontId="12"/>
  </si>
  <si>
    <t>ドロマイト</t>
    <phoneticPr fontId="12"/>
  </si>
  <si>
    <t>鉄鋼の製造において生じるガスの燃焼（フレアリング）</t>
    <phoneticPr fontId="5"/>
  </si>
  <si>
    <t>転炉ガス</t>
    <phoneticPr fontId="5"/>
  </si>
  <si>
    <t>潤滑油等の使用</t>
    <phoneticPr fontId="5"/>
  </si>
  <si>
    <t>潤滑油</t>
    <phoneticPr fontId="5"/>
  </si>
  <si>
    <t>グリース</t>
    <phoneticPr fontId="5"/>
  </si>
  <si>
    <t>パラフィンろう</t>
    <phoneticPr fontId="5"/>
  </si>
  <si>
    <t>非メタン揮発性有機化合物（NMVOC)を含む溶剤の焼却</t>
    <phoneticPr fontId="5"/>
  </si>
  <si>
    <t>ドライアイスの製造</t>
    <phoneticPr fontId="5"/>
  </si>
  <si>
    <t>炭酸ガスのボンベへの封入</t>
    <phoneticPr fontId="6"/>
  </si>
  <si>
    <t>小計</t>
    <rPh sb="0" eb="1">
      <t>ショウ</t>
    </rPh>
    <rPh sb="1" eb="2">
      <t>ケイ</t>
    </rPh>
    <phoneticPr fontId="6"/>
  </si>
  <si>
    <t>メタン</t>
    <phoneticPr fontId="6"/>
  </si>
  <si>
    <t>一酸化二窒素</t>
    <rPh sb="0" eb="3">
      <t>イッサンカ</t>
    </rPh>
    <rPh sb="3" eb="6">
      <t>ニチッソ</t>
    </rPh>
    <phoneticPr fontId="6"/>
  </si>
  <si>
    <t>ハイドロフルオロカーボン</t>
    <phoneticPr fontId="6"/>
  </si>
  <si>
    <t>パーフルオロカーボン</t>
    <phoneticPr fontId="6"/>
  </si>
  <si>
    <t>六ふっ化いおう</t>
    <rPh sb="0" eb="1">
      <t>ロク</t>
    </rPh>
    <rPh sb="3" eb="4">
      <t>カ</t>
    </rPh>
    <phoneticPr fontId="6"/>
  </si>
  <si>
    <t>三ふっ化窒素</t>
    <rPh sb="0" eb="1">
      <t>サン</t>
    </rPh>
    <rPh sb="3" eb="4">
      <t>カ</t>
    </rPh>
    <rPh sb="4" eb="6">
      <t>チッソ</t>
    </rPh>
    <phoneticPr fontId="6"/>
  </si>
  <si>
    <t>非化石燃料の種類</t>
    <rPh sb="0" eb="3">
      <t>ヒカセキ</t>
    </rPh>
    <rPh sb="3" eb="5">
      <t>ネンリョウ</t>
    </rPh>
    <rPh sb="6" eb="8">
      <t>シュルイ</t>
    </rPh>
    <phoneticPr fontId="5"/>
  </si>
  <si>
    <t>非化石燃料使用量</t>
    <rPh sb="0" eb="3">
      <t>ヒカセキ</t>
    </rPh>
    <rPh sb="3" eb="5">
      <t>ネンリョウ</t>
    </rPh>
    <rPh sb="5" eb="8">
      <t>シヨウリョウ</t>
    </rPh>
    <phoneticPr fontId="5"/>
  </si>
  <si>
    <t>廃棄物原燃料
（燃料として使用する廃棄物及び廃棄物由来の燃料）</t>
    <rPh sb="0" eb="3">
      <t>ハイキブツ</t>
    </rPh>
    <rPh sb="3" eb="6">
      <t>ゲンネンリョウ</t>
    </rPh>
    <rPh sb="8" eb="10">
      <t>ネンリョウ</t>
    </rPh>
    <rPh sb="13" eb="15">
      <t>シヨウ</t>
    </rPh>
    <rPh sb="17" eb="20">
      <t>ハイキブツ</t>
    </rPh>
    <rPh sb="20" eb="21">
      <t>オヨ</t>
    </rPh>
    <rPh sb="22" eb="25">
      <t>ハイキブツ</t>
    </rPh>
    <rPh sb="25" eb="27">
      <t>ユライ</t>
    </rPh>
    <rPh sb="28" eb="30">
      <t>ネンリョウ</t>
    </rPh>
    <phoneticPr fontId="5"/>
  </si>
  <si>
    <t>混合廃材</t>
    <rPh sb="0" eb="2">
      <t>コンゴウ</t>
    </rPh>
    <rPh sb="2" eb="4">
      <t>ハイザイ</t>
    </rPh>
    <phoneticPr fontId="5"/>
  </si>
  <si>
    <t>バイオマス燃料</t>
    <rPh sb="5" eb="7">
      <t>ネンリョウ</t>
    </rPh>
    <phoneticPr fontId="5"/>
  </si>
  <si>
    <t>黒液</t>
    <rPh sb="0" eb="2">
      <t>コクエキ</t>
    </rPh>
    <phoneticPr fontId="5"/>
  </si>
  <si>
    <t>木材</t>
    <rPh sb="0" eb="2">
      <t>モクザイ</t>
    </rPh>
    <phoneticPr fontId="5"/>
  </si>
  <si>
    <t>木質廃材</t>
    <rPh sb="0" eb="2">
      <t>モクシツ</t>
    </rPh>
    <rPh sb="2" eb="4">
      <t>ハイザイ</t>
    </rPh>
    <phoneticPr fontId="5"/>
  </si>
  <si>
    <t>バイオエタノール</t>
    <phoneticPr fontId="5"/>
  </si>
  <si>
    <t>バイオエタノールディーゼル</t>
    <phoneticPr fontId="5"/>
  </si>
  <si>
    <t>バイオガス</t>
    <phoneticPr fontId="5"/>
  </si>
  <si>
    <t>その他バイオマス</t>
    <rPh sb="2" eb="3">
      <t>ホカ</t>
    </rPh>
    <phoneticPr fontId="5"/>
  </si>
  <si>
    <t>その他の燃料</t>
    <rPh sb="2" eb="3">
      <t>ホカ</t>
    </rPh>
    <rPh sb="4" eb="6">
      <t>ネンリョウ</t>
    </rPh>
    <phoneticPr fontId="5"/>
  </si>
  <si>
    <t>水素</t>
    <rPh sb="0" eb="2">
      <t>スイソ</t>
    </rPh>
    <phoneticPr fontId="5"/>
  </si>
  <si>
    <t>アンモニア</t>
    <phoneticPr fontId="5"/>
  </si>
  <si>
    <t>合計</t>
    <rPh sb="0" eb="2">
      <t>ゴウケイ</t>
    </rPh>
    <phoneticPr fontId="5"/>
  </si>
  <si>
    <t>廃タイヤ</t>
    <rPh sb="0" eb="1">
      <t>ハイ</t>
    </rPh>
    <phoneticPr fontId="6"/>
  </si>
  <si>
    <t>炭化けい素の製造</t>
    <rPh sb="0" eb="2">
      <t>タンカ</t>
    </rPh>
    <rPh sb="4" eb="5">
      <t>ソ</t>
    </rPh>
    <rPh sb="6" eb="8">
      <t>セイゾウ</t>
    </rPh>
    <phoneticPr fontId="6"/>
  </si>
  <si>
    <t>炭化カルシウムの製造</t>
    <rPh sb="0" eb="2">
      <t>タンカ</t>
    </rPh>
    <rPh sb="8" eb="10">
      <t>セイゾウ</t>
    </rPh>
    <phoneticPr fontId="6"/>
  </si>
  <si>
    <t>エチレン等の製造</t>
    <rPh sb="4" eb="5">
      <t>トウ</t>
    </rPh>
    <rPh sb="6" eb="8">
      <t>セイゾウ</t>
    </rPh>
    <phoneticPr fontId="6"/>
  </si>
  <si>
    <t>ドライアイスの使用</t>
    <rPh sb="7" eb="9">
      <t>シヨウ</t>
    </rPh>
    <phoneticPr fontId="6"/>
  </si>
  <si>
    <r>
      <t>t-CO</t>
    </r>
    <r>
      <rPr>
        <vertAlign val="subscript"/>
        <sz val="11"/>
        <color theme="1"/>
        <rFont val="游明朝"/>
        <family val="1"/>
        <charset val="128"/>
      </rPr>
      <t>2</t>
    </r>
    <phoneticPr fontId="6"/>
  </si>
  <si>
    <t>廃プラスチック類から製造された
燃料炭化水素油</t>
    <rPh sb="0" eb="1">
      <t>ハイ</t>
    </rPh>
    <rPh sb="7" eb="8">
      <t>ルイ</t>
    </rPh>
    <rPh sb="10" eb="12">
      <t>セイゾウ</t>
    </rPh>
    <phoneticPr fontId="12"/>
  </si>
  <si>
    <t>GJ/t</t>
  </si>
  <si>
    <t>GJ/kL</t>
  </si>
  <si>
    <t>GJ</t>
    <phoneticPr fontId="5"/>
  </si>
  <si>
    <t>kL</t>
    <phoneticPr fontId="5"/>
  </si>
  <si>
    <t>規模判定エネルギー使用量　合計</t>
    <rPh sb="0" eb="4">
      <t>キボハンテイ</t>
    </rPh>
    <rPh sb="9" eb="12">
      <t>シヨウリョウ</t>
    </rPh>
    <rPh sb="13" eb="15">
      <t>ゴウケイ</t>
    </rPh>
    <phoneticPr fontId="5"/>
  </si>
  <si>
    <t>原油換算エネルギー使用量　合計</t>
    <rPh sb="0" eb="4">
      <t>ゲンユカンザン</t>
    </rPh>
    <rPh sb="9" eb="12">
      <t>シヨウリョウ</t>
    </rPh>
    <rPh sb="13" eb="15">
      <t>ゴウケイ</t>
    </rPh>
    <phoneticPr fontId="5"/>
  </si>
  <si>
    <t>燃料</t>
    <rPh sb="0" eb="2">
      <t>ネンリョウ</t>
    </rPh>
    <phoneticPr fontId="6"/>
  </si>
  <si>
    <t>持続可能性を確認できない
バイオマス燃料によるもの</t>
    <phoneticPr fontId="6"/>
  </si>
  <si>
    <t>仮想電力契約により
環境価値を取引したもの</t>
    <rPh sb="0" eb="2">
      <t>カソウ</t>
    </rPh>
    <rPh sb="2" eb="4">
      <t>デンリョク</t>
    </rPh>
    <rPh sb="4" eb="6">
      <t>ケイヤク</t>
    </rPh>
    <rPh sb="10" eb="12">
      <t>カンキョウ</t>
    </rPh>
    <rPh sb="12" eb="14">
      <t>カチ</t>
    </rPh>
    <rPh sb="15" eb="17">
      <t>トリヒキ</t>
    </rPh>
    <phoneticPr fontId="5"/>
  </si>
  <si>
    <t>再エネ以外</t>
    <rPh sb="0" eb="1">
      <t>サイ</t>
    </rPh>
    <rPh sb="3" eb="5">
      <t>イガイ</t>
    </rPh>
    <phoneticPr fontId="5"/>
  </si>
  <si>
    <t>再エネ</t>
    <rPh sb="0" eb="1">
      <t>サイ</t>
    </rPh>
    <phoneticPr fontId="6"/>
  </si>
  <si>
    <t>一般送配電事業者の電線路および自営線を介して供給された電気</t>
    <rPh sb="15" eb="18">
      <t>ジエイセン</t>
    </rPh>
    <rPh sb="27" eb="29">
      <t>デンキ</t>
    </rPh>
    <phoneticPr fontId="6"/>
  </si>
  <si>
    <t>t</t>
    <phoneticPr fontId="5"/>
  </si>
  <si>
    <t>再エネ
以外</t>
    <rPh sb="0" eb="1">
      <t>サイ</t>
    </rPh>
    <rPh sb="4" eb="6">
      <t>イガイ</t>
    </rPh>
    <phoneticPr fontId="5"/>
  </si>
  <si>
    <t>kL</t>
    <phoneticPr fontId="5"/>
  </si>
  <si>
    <t>ｔ</t>
    <phoneticPr fontId="6"/>
  </si>
  <si>
    <t>千m3</t>
    <rPh sb="0" eb="1">
      <t>セン</t>
    </rPh>
    <phoneticPr fontId="6"/>
  </si>
  <si>
    <r>
      <t>GJ/千m</t>
    </r>
    <r>
      <rPr>
        <vertAlign val="superscript"/>
        <sz val="11"/>
        <color theme="1"/>
        <rFont val="游明朝"/>
        <family val="1"/>
        <charset val="128"/>
      </rPr>
      <t>3</t>
    </r>
    <rPh sb="3" eb="4">
      <t>セン</t>
    </rPh>
    <phoneticPr fontId="6"/>
  </si>
  <si>
    <t>t</t>
    <phoneticPr fontId="5"/>
  </si>
  <si>
    <r>
      <t>廃油</t>
    </r>
    <r>
      <rPr>
        <sz val="9"/>
        <color theme="1"/>
        <rFont val="游明朝"/>
        <family val="1"/>
        <charset val="128"/>
      </rPr>
      <t>（植物性のもの及び動物性のもの並びに特定有害産業廃棄物を除く）</t>
    </r>
    <rPh sb="0" eb="2">
      <t>ハイユ</t>
    </rPh>
    <rPh sb="3" eb="6">
      <t>ショクブツセイ</t>
    </rPh>
    <rPh sb="9" eb="10">
      <t>オヨ</t>
    </rPh>
    <rPh sb="11" eb="14">
      <t>ドウブツセイ</t>
    </rPh>
    <rPh sb="30" eb="31">
      <t>ノゾ</t>
    </rPh>
    <phoneticPr fontId="6"/>
  </si>
  <si>
    <r>
      <t>炭酸ガスの使用に伴い排出されたCO</t>
    </r>
    <r>
      <rPr>
        <vertAlign val="subscript"/>
        <sz val="11"/>
        <color theme="1"/>
        <rFont val="游明朝"/>
        <family val="1"/>
        <charset val="128"/>
      </rPr>
      <t>2</t>
    </r>
    <r>
      <rPr>
        <sz val="11"/>
        <color theme="1"/>
        <rFont val="游明朝"/>
        <family val="1"/>
        <charset val="128"/>
      </rPr>
      <t xml:space="preserve">の量 </t>
    </r>
    <phoneticPr fontId="6"/>
  </si>
  <si>
    <r>
      <t>t-CH</t>
    </r>
    <r>
      <rPr>
        <vertAlign val="subscript"/>
        <sz val="11"/>
        <color theme="1"/>
        <rFont val="游明朝"/>
        <family val="1"/>
        <charset val="128"/>
      </rPr>
      <t>4</t>
    </r>
    <phoneticPr fontId="6"/>
  </si>
  <si>
    <r>
      <t>t-N</t>
    </r>
    <r>
      <rPr>
        <vertAlign val="subscript"/>
        <sz val="11"/>
        <color theme="1"/>
        <rFont val="游明朝"/>
        <family val="1"/>
        <charset val="128"/>
      </rPr>
      <t>2</t>
    </r>
    <r>
      <rPr>
        <sz val="11"/>
        <color theme="1"/>
        <rFont val="游明朝"/>
        <family val="1"/>
        <charset val="128"/>
      </rPr>
      <t>O</t>
    </r>
    <phoneticPr fontId="6"/>
  </si>
  <si>
    <r>
      <t>t-SF</t>
    </r>
    <r>
      <rPr>
        <vertAlign val="subscript"/>
        <sz val="11"/>
        <color theme="1"/>
        <rFont val="游明朝"/>
        <family val="1"/>
        <charset val="128"/>
      </rPr>
      <t>6</t>
    </r>
    <phoneticPr fontId="6"/>
  </si>
  <si>
    <r>
      <t>t-NF</t>
    </r>
    <r>
      <rPr>
        <vertAlign val="subscript"/>
        <sz val="11"/>
        <color theme="1"/>
        <rFont val="游明朝"/>
        <family val="1"/>
        <charset val="128"/>
      </rPr>
      <t>3</t>
    </r>
    <phoneticPr fontId="6"/>
  </si>
  <si>
    <t>計量器</t>
    <rPh sb="0" eb="3">
      <t>ケイリョウキ</t>
    </rPh>
    <phoneticPr fontId="5"/>
  </si>
  <si>
    <t>種類</t>
    <rPh sb="0" eb="2">
      <t>シュルイ</t>
    </rPh>
    <phoneticPr fontId="5"/>
  </si>
  <si>
    <t>検定</t>
    <rPh sb="0" eb="2">
      <t>ケンテイ</t>
    </rPh>
    <phoneticPr fontId="5"/>
  </si>
  <si>
    <t>把握方法</t>
    <rPh sb="0" eb="4">
      <t>ハアクホウホウ</t>
    </rPh>
    <phoneticPr fontId="5"/>
  </si>
  <si>
    <t>単位</t>
    <rPh sb="0" eb="2">
      <t>タンイ</t>
    </rPh>
    <phoneticPr fontId="5"/>
  </si>
  <si>
    <t>①　事業所内へ供給される燃料使用量</t>
    <phoneticPr fontId="5"/>
  </si>
  <si>
    <t>使用量
(年度計）</t>
    <rPh sb="0" eb="3">
      <t>シヨウリョウ</t>
    </rPh>
    <rPh sb="5" eb="7">
      <t>ネンド</t>
    </rPh>
    <rPh sb="7" eb="8">
      <t>ケイ</t>
    </rPh>
    <phoneticPr fontId="6"/>
  </si>
  <si>
    <t>都市ガス</t>
    <rPh sb="0" eb="2">
      <t>トシ</t>
    </rPh>
    <phoneticPr fontId="5"/>
  </si>
  <si>
    <t>単位発熱量</t>
    <rPh sb="0" eb="5">
      <t>タンイハツネツリョウ</t>
    </rPh>
    <phoneticPr fontId="5"/>
  </si>
  <si>
    <t>排出係数</t>
    <rPh sb="0" eb="2">
      <t>ハイシュツ</t>
    </rPh>
    <rPh sb="2" eb="4">
      <t>ケイスウ</t>
    </rPh>
    <phoneticPr fontId="5"/>
  </si>
  <si>
    <t>設定根拠</t>
    <rPh sb="0" eb="2">
      <t>セッテイ</t>
    </rPh>
    <rPh sb="2" eb="4">
      <t>コンキョ</t>
    </rPh>
    <phoneticPr fontId="5"/>
  </si>
  <si>
    <t>契約情報</t>
    <rPh sb="0" eb="2">
      <t>ケイヤク</t>
    </rPh>
    <rPh sb="2" eb="4">
      <t>ジョウホウ</t>
    </rPh>
    <phoneticPr fontId="5"/>
  </si>
  <si>
    <r>
      <t>排出係数
t-CO</t>
    </r>
    <r>
      <rPr>
        <vertAlign val="subscript"/>
        <sz val="11"/>
        <color theme="1"/>
        <rFont val="游明朝"/>
        <family val="1"/>
        <charset val="128"/>
      </rPr>
      <t>2</t>
    </r>
    <r>
      <rPr>
        <sz val="11"/>
        <color theme="1"/>
        <rFont val="游明朝"/>
        <family val="1"/>
        <charset val="128"/>
      </rPr>
      <t>/固有単位</t>
    </r>
    <rPh sb="0" eb="2">
      <t>ハイシュツ</t>
    </rPh>
    <rPh sb="2" eb="4">
      <t>ケイスウ</t>
    </rPh>
    <rPh sb="11" eb="13">
      <t>コユウ</t>
    </rPh>
    <rPh sb="13" eb="15">
      <t>タンイ</t>
    </rPh>
    <phoneticPr fontId="5"/>
  </si>
  <si>
    <t>メニュー
有無</t>
    <rPh sb="5" eb="7">
      <t>ウム</t>
    </rPh>
    <phoneticPr fontId="5"/>
  </si>
  <si>
    <t>メニュー別
契約名称</t>
    <rPh sb="4" eb="5">
      <t>ベツ</t>
    </rPh>
    <rPh sb="6" eb="8">
      <t>ケイヤク</t>
    </rPh>
    <rPh sb="8" eb="10">
      <t>メイショウ</t>
    </rPh>
    <phoneticPr fontId="5"/>
  </si>
  <si>
    <t>熱量
[GJ]</t>
    <rPh sb="0" eb="2">
      <t>ネツリョウ</t>
    </rPh>
    <phoneticPr fontId="5"/>
  </si>
  <si>
    <r>
      <t>CO</t>
    </r>
    <r>
      <rPr>
        <vertAlign val="subscript"/>
        <sz val="11"/>
        <color theme="1"/>
        <rFont val="游明朝"/>
        <family val="1"/>
        <charset val="128"/>
      </rPr>
      <t>２</t>
    </r>
    <r>
      <rPr>
        <sz val="11"/>
        <color theme="1"/>
        <rFont val="游明朝"/>
        <family val="1"/>
        <charset val="128"/>
      </rPr>
      <t>排出量
[t-CO</t>
    </r>
    <r>
      <rPr>
        <vertAlign val="subscript"/>
        <sz val="11"/>
        <color theme="1"/>
        <rFont val="游明朝"/>
        <family val="1"/>
        <charset val="128"/>
      </rPr>
      <t>2</t>
    </r>
    <r>
      <rPr>
        <sz val="11"/>
        <color theme="1"/>
        <rFont val="游明朝"/>
        <family val="1"/>
        <charset val="128"/>
      </rPr>
      <t>]</t>
    </r>
    <rPh sb="3" eb="6">
      <t>ハイシュツリョウ</t>
    </rPh>
    <phoneticPr fontId="5"/>
  </si>
  <si>
    <t>再エネの種類</t>
    <rPh sb="0" eb="1">
      <t>サイ</t>
    </rPh>
    <rPh sb="4" eb="6">
      <t>シュルイ</t>
    </rPh>
    <phoneticPr fontId="5"/>
  </si>
  <si>
    <t>(バイオマス燃料種）</t>
    <rPh sb="6" eb="8">
      <t>ネンリョウ</t>
    </rPh>
    <rPh sb="8" eb="9">
      <t>シュ</t>
    </rPh>
    <phoneticPr fontId="5"/>
  </si>
  <si>
    <t>環境価値
の有無</t>
    <rPh sb="0" eb="2">
      <t>カンキョウ</t>
    </rPh>
    <rPh sb="2" eb="4">
      <t>カチ</t>
    </rPh>
    <rPh sb="6" eb="8">
      <t>ウム</t>
    </rPh>
    <phoneticPr fontId="5"/>
  </si>
  <si>
    <t>③　①、②のうち算定対象から除く再生可能エネルギー由来の電気・熱</t>
    <rPh sb="16" eb="18">
      <t>サイセイ</t>
    </rPh>
    <rPh sb="18" eb="20">
      <t>カノウ</t>
    </rPh>
    <rPh sb="25" eb="27">
      <t>ユライ</t>
    </rPh>
    <rPh sb="28" eb="30">
      <t>デンキ</t>
    </rPh>
    <rPh sb="31" eb="32">
      <t>ネツ</t>
    </rPh>
    <phoneticPr fontId="5"/>
  </si>
  <si>
    <t>令和</t>
    <rPh sb="0" eb="2">
      <t>レイワ</t>
    </rPh>
    <phoneticPr fontId="6"/>
  </si>
  <si>
    <t>資料作成日</t>
    <rPh sb="0" eb="2">
      <t>シリョウ</t>
    </rPh>
    <rPh sb="2" eb="5">
      <t>サクセイビ</t>
    </rPh>
    <phoneticPr fontId="6"/>
  </si>
  <si>
    <t>１　事業所の概要</t>
    <rPh sb="2" eb="5">
      <t>ジギョウショ</t>
    </rPh>
    <rPh sb="6" eb="8">
      <t>ガイヨウ</t>
    </rPh>
    <phoneticPr fontId="6"/>
  </si>
  <si>
    <t>所在地</t>
    <rPh sb="0" eb="3">
      <t>ショザイチ</t>
    </rPh>
    <phoneticPr fontId="6"/>
  </si>
  <si>
    <t>原油換算エネルギー使用量</t>
    <rPh sb="0" eb="2">
      <t>ゲンユ</t>
    </rPh>
    <rPh sb="2" eb="4">
      <t>カンザン</t>
    </rPh>
    <rPh sb="9" eb="12">
      <t>シヨウリョウ</t>
    </rPh>
    <phoneticPr fontId="6"/>
  </si>
  <si>
    <t>ｋＬ</t>
    <phoneticPr fontId="6"/>
  </si>
  <si>
    <t>燃料の種類</t>
    <rPh sb="0" eb="2">
      <t>ネンリョウ</t>
    </rPh>
    <rPh sb="3" eb="5">
      <t>シュルイ</t>
    </rPh>
    <phoneticPr fontId="6"/>
  </si>
  <si>
    <t>圧力(kPa)</t>
    <rPh sb="0" eb="2">
      <t>アツリョク</t>
    </rPh>
    <phoneticPr fontId="6"/>
  </si>
  <si>
    <t>温度(℃)</t>
    <rPh sb="0" eb="2">
      <t>オンド</t>
    </rPh>
    <phoneticPr fontId="6"/>
  </si>
  <si>
    <t>単位発熱量</t>
    <rPh sb="0" eb="2">
      <t>タンイ</t>
    </rPh>
    <rPh sb="2" eb="4">
      <t>ハツネツ</t>
    </rPh>
    <rPh sb="4" eb="5">
      <t>リョウ</t>
    </rPh>
    <phoneticPr fontId="6"/>
  </si>
  <si>
    <t>排出係数</t>
    <rPh sb="0" eb="2">
      <t>ハイシュツ</t>
    </rPh>
    <rPh sb="2" eb="4">
      <t>ケイスウ</t>
    </rPh>
    <phoneticPr fontId="6"/>
  </si>
  <si>
    <t>改版履歴</t>
    <rPh sb="0" eb="2">
      <t>カイバン</t>
    </rPh>
    <rPh sb="2" eb="4">
      <t>リレキ</t>
    </rPh>
    <phoneticPr fontId="10"/>
  </si>
  <si>
    <t>最新Rvision番号はB62セルに記入し、古い記述は下にシフトして記録を残していくこと。B62セルはP51セルにINDIRECTで表示している。</t>
    <phoneticPr fontId="6"/>
  </si>
  <si>
    <t>Rev.3.0</t>
  </si>
  <si>
    <t>R3.4.1</t>
  </si>
  <si>
    <t>第３計画期間用First Revision</t>
  </si>
  <si>
    <t>電気</t>
    <rPh sb="0" eb="2">
      <t>デンキ</t>
    </rPh>
    <phoneticPr fontId="27"/>
  </si>
  <si>
    <t>都市ガス(低圧用)</t>
    <rPh sb="5" eb="7">
      <t>テイアツ</t>
    </rPh>
    <rPh sb="7" eb="8">
      <t>ヨウ</t>
    </rPh>
    <phoneticPr fontId="6"/>
  </si>
  <si>
    <t>都市ガス(中間圧以上用)</t>
    <rPh sb="5" eb="7">
      <t>チュウカン</t>
    </rPh>
    <rPh sb="7" eb="8">
      <t>アツ</t>
    </rPh>
    <rPh sb="8" eb="10">
      <t>イジョウ</t>
    </rPh>
    <rPh sb="10" eb="11">
      <t>ヨウ</t>
    </rPh>
    <phoneticPr fontId="6"/>
  </si>
  <si>
    <t>液化石油ガス_LPG</t>
    <phoneticPr fontId="11"/>
  </si>
  <si>
    <t>原油</t>
    <rPh sb="0" eb="2">
      <t>ゲンユ</t>
    </rPh>
    <phoneticPr fontId="28"/>
  </si>
  <si>
    <t>揮発油_ガソリン</t>
    <rPh sb="0" eb="3">
      <t>キハツユ</t>
    </rPh>
    <phoneticPr fontId="28"/>
  </si>
  <si>
    <t>灯油</t>
    <rPh sb="0" eb="2">
      <t>トウユ</t>
    </rPh>
    <phoneticPr fontId="28"/>
  </si>
  <si>
    <t>軽油</t>
    <rPh sb="0" eb="2">
      <t>ケイユ</t>
    </rPh>
    <phoneticPr fontId="28"/>
  </si>
  <si>
    <t>重油</t>
    <rPh sb="0" eb="2">
      <t>ジュウユ</t>
    </rPh>
    <phoneticPr fontId="28"/>
  </si>
  <si>
    <t>ナフサ</t>
  </si>
  <si>
    <t>石油アスファルト</t>
    <rPh sb="0" eb="2">
      <t>セキユ</t>
    </rPh>
    <phoneticPr fontId="28"/>
  </si>
  <si>
    <t>石油系炭化水素ガス</t>
    <rPh sb="0" eb="3">
      <t>セキユケイ</t>
    </rPh>
    <rPh sb="3" eb="5">
      <t>タンカ</t>
    </rPh>
    <rPh sb="5" eb="7">
      <t>スイソ</t>
    </rPh>
    <phoneticPr fontId="28"/>
  </si>
  <si>
    <t>液化天然ガス_ＬＮＧ</t>
    <rPh sb="0" eb="2">
      <t>エキカ</t>
    </rPh>
    <rPh sb="2" eb="4">
      <t>テンネン</t>
    </rPh>
    <phoneticPr fontId="28"/>
  </si>
  <si>
    <t>その他可燃性天然ガス</t>
    <rPh sb="2" eb="3">
      <t>タ</t>
    </rPh>
    <rPh sb="3" eb="6">
      <t>カネンセイ</t>
    </rPh>
    <rPh sb="6" eb="8">
      <t>テンネン</t>
    </rPh>
    <phoneticPr fontId="28"/>
  </si>
  <si>
    <t>規模判定エネルギー使用量</t>
    <rPh sb="0" eb="4">
      <t>キボハンテイ</t>
    </rPh>
    <rPh sb="9" eb="12">
      <t>シヨウリョウ</t>
    </rPh>
    <phoneticPr fontId="5"/>
  </si>
  <si>
    <t>その他ガス排出量</t>
    <rPh sb="2" eb="3">
      <t>ホカ</t>
    </rPh>
    <rPh sb="5" eb="8">
      <t>ハイシュツリョウ</t>
    </rPh>
    <phoneticPr fontId="6"/>
  </si>
  <si>
    <t>単位</t>
    <rPh sb="0" eb="2">
      <t>タンイ</t>
    </rPh>
    <phoneticPr fontId="5"/>
  </si>
  <si>
    <r>
      <t>排出係数
t-CO</t>
    </r>
    <r>
      <rPr>
        <vertAlign val="subscript"/>
        <sz val="11"/>
        <color theme="1"/>
        <rFont val="游明朝"/>
        <family val="1"/>
        <charset val="128"/>
      </rPr>
      <t>2</t>
    </r>
    <r>
      <rPr>
        <sz val="11"/>
        <color theme="1"/>
        <rFont val="游明朝"/>
        <family val="1"/>
        <charset val="128"/>
      </rPr>
      <t>/固有単位</t>
    </r>
    <rPh sb="0" eb="2">
      <t>ハイシュツ</t>
    </rPh>
    <rPh sb="2" eb="4">
      <t>ケイスウ</t>
    </rPh>
    <rPh sb="11" eb="15">
      <t>コユウタンイ</t>
    </rPh>
    <phoneticPr fontId="5"/>
  </si>
  <si>
    <t>環境価値保有量</t>
    <rPh sb="0" eb="2">
      <t>カンキョウ</t>
    </rPh>
    <rPh sb="2" eb="4">
      <t>カチ</t>
    </rPh>
    <rPh sb="4" eb="7">
      <t>ホユウリョウ</t>
    </rPh>
    <phoneticPr fontId="5"/>
  </si>
  <si>
    <r>
      <t>ｔ-ＣＯ</t>
    </r>
    <r>
      <rPr>
        <vertAlign val="subscript"/>
        <sz val="11"/>
        <color indexed="8"/>
        <rFont val="游明朝"/>
        <family val="1"/>
        <charset val="128"/>
      </rPr>
      <t>２</t>
    </r>
    <phoneticPr fontId="6"/>
  </si>
  <si>
    <t>証書等の種類</t>
    <rPh sb="0" eb="2">
      <t>ショウショ</t>
    </rPh>
    <rPh sb="2" eb="3">
      <t>トウ</t>
    </rPh>
    <rPh sb="4" eb="6">
      <t>シュルイ</t>
    </rPh>
    <phoneticPr fontId="5"/>
  </si>
  <si>
    <t>使　用　量
（端数処理後）</t>
    <rPh sb="0" eb="1">
      <t>シ</t>
    </rPh>
    <rPh sb="2" eb="3">
      <t>ヨウ</t>
    </rPh>
    <rPh sb="4" eb="5">
      <t>リョウ</t>
    </rPh>
    <rPh sb="7" eb="9">
      <t>ハスウ</t>
    </rPh>
    <rPh sb="9" eb="11">
      <t>ショリ</t>
    </rPh>
    <rPh sb="11" eb="12">
      <t>アト</t>
    </rPh>
    <phoneticPr fontId="6"/>
  </si>
  <si>
    <t>①　事業所内へ供給される電気・熱・都市ガスの使用量</t>
    <rPh sb="2" eb="5">
      <t>ジギョウジョ</t>
    </rPh>
    <rPh sb="5" eb="6">
      <t>ナイ</t>
    </rPh>
    <rPh sb="7" eb="9">
      <t>キョウキュウ</t>
    </rPh>
    <rPh sb="12" eb="14">
      <t>デンキ</t>
    </rPh>
    <rPh sb="15" eb="16">
      <t>ネツ</t>
    </rPh>
    <rPh sb="17" eb="19">
      <t>トシ</t>
    </rPh>
    <rPh sb="22" eb="25">
      <t>シヨウリョウ</t>
    </rPh>
    <phoneticPr fontId="5"/>
  </si>
  <si>
    <t>目標設定ガス</t>
    <rPh sb="0" eb="4">
      <t>モクヒョウセッテイ</t>
    </rPh>
    <phoneticPr fontId="6"/>
  </si>
  <si>
    <t>目標設定ガス</t>
    <rPh sb="0" eb="2">
      <t>モクヒョウ</t>
    </rPh>
    <rPh sb="2" eb="4">
      <t>セッテイ</t>
    </rPh>
    <phoneticPr fontId="5"/>
  </si>
  <si>
    <t>６．燃料等使用量及び目標設定ガス排出量（自動計算）続き</t>
    <rPh sb="8" eb="9">
      <t>オヨ</t>
    </rPh>
    <rPh sb="10" eb="14">
      <t>モクヒョウセッテイ</t>
    </rPh>
    <rPh sb="16" eb="18">
      <t>ハイシュツ</t>
    </rPh>
    <rPh sb="18" eb="19">
      <t>リョウ</t>
    </rPh>
    <rPh sb="25" eb="26">
      <t>ツヅ</t>
    </rPh>
    <phoneticPr fontId="6"/>
  </si>
  <si>
    <t>kL</t>
  </si>
  <si>
    <t>日本産業規格Ａ列４番</t>
    <phoneticPr fontId="5"/>
  </si>
  <si>
    <t>温室効果ガス排出量</t>
    <rPh sb="0" eb="4">
      <t>オンシツコウカ</t>
    </rPh>
    <rPh sb="6" eb="9">
      <t>ハイシュツリョウ</t>
    </rPh>
    <phoneticPr fontId="6"/>
  </si>
  <si>
    <t>その他の温室効果ガス</t>
    <rPh sb="2" eb="3">
      <t>タ</t>
    </rPh>
    <rPh sb="4" eb="6">
      <t>オンシツ</t>
    </rPh>
    <rPh sb="6" eb="8">
      <t>コウカ</t>
    </rPh>
    <phoneticPr fontId="6"/>
  </si>
  <si>
    <t>目標設定ガス以外のCO2</t>
    <phoneticPr fontId="5"/>
  </si>
  <si>
    <t>目標設定ガス以外のCO2</t>
    <rPh sb="0" eb="4">
      <t>モクヒョウセッテイ</t>
    </rPh>
    <rPh sb="6" eb="8">
      <t>イガイ</t>
    </rPh>
    <phoneticPr fontId="6"/>
  </si>
  <si>
    <t>熱</t>
    <rPh sb="0" eb="1">
      <t>ネツ</t>
    </rPh>
    <phoneticPr fontId="5"/>
  </si>
  <si>
    <t>電気</t>
    <rPh sb="0" eb="2">
      <t>デンキ</t>
    </rPh>
    <phoneticPr fontId="5"/>
  </si>
  <si>
    <t>目標設定ガス排出量</t>
    <rPh sb="0" eb="4">
      <t>モクヒョウセッテイ</t>
    </rPh>
    <rPh sb="6" eb="9">
      <t>ハイシュツリョウ</t>
    </rPh>
    <phoneticPr fontId="6"/>
  </si>
  <si>
    <t>上記以外の温室効果ガス</t>
    <rPh sb="0" eb="2">
      <t>ジョウキ</t>
    </rPh>
    <rPh sb="2" eb="4">
      <t>イガイ</t>
    </rPh>
    <rPh sb="5" eb="9">
      <t>オンシツコウカ</t>
    </rPh>
    <phoneticPr fontId="5"/>
  </si>
  <si>
    <t>単位発熱量</t>
    <rPh sb="0" eb="5">
      <t>タンイハツネツリョウ</t>
    </rPh>
    <phoneticPr fontId="6"/>
  </si>
  <si>
    <t>温室効果ガス
排出係数</t>
    <rPh sb="0" eb="4">
      <t>オンシツコウカ</t>
    </rPh>
    <rPh sb="7" eb="9">
      <t>ハイシュツ</t>
    </rPh>
    <rPh sb="9" eb="11">
      <t>ケイスウ</t>
    </rPh>
    <phoneticPr fontId="5"/>
  </si>
  <si>
    <t>廃棄物原燃料
（燃料として
使用する
廃棄物及び
廃棄物由来の
燃料）</t>
    <rPh sb="0" eb="3">
      <t>ハイキブツ</t>
    </rPh>
    <rPh sb="3" eb="6">
      <t>ゲンネンリョウ</t>
    </rPh>
    <rPh sb="8" eb="10">
      <t>ネンリョウ</t>
    </rPh>
    <rPh sb="14" eb="16">
      <t>シヨウ</t>
    </rPh>
    <rPh sb="19" eb="22">
      <t>ハイキブツ</t>
    </rPh>
    <rPh sb="22" eb="23">
      <t>オヨ</t>
    </rPh>
    <rPh sb="25" eb="28">
      <t>ハイキブツ</t>
    </rPh>
    <rPh sb="28" eb="30">
      <t>ユライ</t>
    </rPh>
    <rPh sb="32" eb="34">
      <t>ネンリョウ</t>
    </rPh>
    <phoneticPr fontId="5"/>
  </si>
  <si>
    <t>上記以外の非化石燃料</t>
    <rPh sb="0" eb="2">
      <t>ジョウキ</t>
    </rPh>
    <rPh sb="2" eb="4">
      <t>イガイ</t>
    </rPh>
    <rPh sb="5" eb="8">
      <t>ヒカセキ</t>
    </rPh>
    <rPh sb="8" eb="10">
      <t>ネンリョウ</t>
    </rPh>
    <phoneticPr fontId="5"/>
  </si>
  <si>
    <t>目標設定ガス排出量　合計</t>
    <rPh sb="0" eb="2">
      <t>モクヒョウ</t>
    </rPh>
    <rPh sb="2" eb="4">
      <t>セッテイ</t>
    </rPh>
    <rPh sb="6" eb="9">
      <t>ハイシュツリョウ</t>
    </rPh>
    <rPh sb="10" eb="12">
      <t>ゴウケイ</t>
    </rPh>
    <phoneticPr fontId="5"/>
  </si>
  <si>
    <r>
      <t>埼玉県森林CO</t>
    </r>
    <r>
      <rPr>
        <vertAlign val="subscript"/>
        <sz val="11"/>
        <color theme="1"/>
        <rFont val="游明朝"/>
        <family val="1"/>
        <charset val="128"/>
      </rPr>
      <t>2</t>
    </r>
    <r>
      <rPr>
        <sz val="11"/>
        <color theme="1"/>
        <rFont val="游明朝"/>
        <family val="1"/>
        <charset val="128"/>
      </rPr>
      <t>吸収量認証制度
において認証されたCO</t>
    </r>
    <r>
      <rPr>
        <vertAlign val="subscript"/>
        <sz val="11"/>
        <color theme="1"/>
        <rFont val="游明朝"/>
        <family val="1"/>
        <charset val="128"/>
      </rPr>
      <t>2</t>
    </r>
    <r>
      <rPr>
        <sz val="11"/>
        <color theme="1"/>
        <rFont val="游明朝"/>
        <family val="1"/>
        <charset val="128"/>
      </rPr>
      <t>吸収量</t>
    </r>
    <phoneticPr fontId="5"/>
  </si>
  <si>
    <r>
      <t>千ｍ</t>
    </r>
    <r>
      <rPr>
        <vertAlign val="superscript"/>
        <sz val="11"/>
        <color theme="1"/>
        <rFont val="游明朝"/>
        <family val="1"/>
        <charset val="128"/>
      </rPr>
      <t xml:space="preserve">3 </t>
    </r>
    <r>
      <rPr>
        <sz val="11"/>
        <color theme="1"/>
        <rFont val="游明朝"/>
        <family val="1"/>
        <charset val="128"/>
      </rPr>
      <t>(SATP)</t>
    </r>
    <rPh sb="0" eb="1">
      <t>セン</t>
    </rPh>
    <phoneticPr fontId="6"/>
  </si>
  <si>
    <t>高炉ガス</t>
    <phoneticPr fontId="5"/>
  </si>
  <si>
    <t>排出係数改善及び証書等利用による削減量</t>
    <rPh sb="10" eb="11">
      <t>トウ</t>
    </rPh>
    <rPh sb="18" eb="19">
      <t>リョウ</t>
    </rPh>
    <phoneticPr fontId="5"/>
  </si>
  <si>
    <t>７</t>
    <phoneticPr fontId="5"/>
  </si>
  <si>
    <t>第4和暦年度 全角</t>
    <rPh sb="0" eb="1">
      <t>ダイ</t>
    </rPh>
    <rPh sb="2" eb="4">
      <t>ワレキ</t>
    </rPh>
    <rPh sb="4" eb="6">
      <t>ネンド</t>
    </rPh>
    <rPh sb="7" eb="9">
      <t>ゼンカク</t>
    </rPh>
    <phoneticPr fontId="5"/>
  </si>
  <si>
    <t>検証</t>
    <rPh sb="0" eb="2">
      <t>ケンショウ</t>
    </rPh>
    <phoneticPr fontId="5"/>
  </si>
  <si>
    <t>未実施</t>
    <rPh sb="0" eb="3">
      <t>ミジッシ</t>
    </rPh>
    <phoneticPr fontId="5"/>
  </si>
  <si>
    <t>事業所種別</t>
    <rPh sb="0" eb="3">
      <t>ジギョウジョ</t>
    </rPh>
    <rPh sb="3" eb="5">
      <t>シュベツ</t>
    </rPh>
    <phoneticPr fontId="5"/>
  </si>
  <si>
    <t>A</t>
    <phoneticPr fontId="5"/>
  </si>
  <si>
    <t>Bテナント</t>
    <phoneticPr fontId="5"/>
  </si>
  <si>
    <t>C</t>
    <phoneticPr fontId="5"/>
  </si>
  <si>
    <t>B</t>
    <phoneticPr fontId="5"/>
  </si>
  <si>
    <r>
      <t>目標設定ガス以外のCO</t>
    </r>
    <r>
      <rPr>
        <vertAlign val="subscript"/>
        <sz val="11"/>
        <color theme="1"/>
        <rFont val="游明朝"/>
        <family val="1"/>
        <charset val="128"/>
      </rPr>
      <t>2</t>
    </r>
    <rPh sb="0" eb="2">
      <t>モクヒョウ</t>
    </rPh>
    <rPh sb="2" eb="4">
      <t>セッテイ</t>
    </rPh>
    <rPh sb="6" eb="8">
      <t>イガイ</t>
    </rPh>
    <phoneticPr fontId="5"/>
  </si>
  <si>
    <t>実施済</t>
    <rPh sb="0" eb="2">
      <t>ジッシ</t>
    </rPh>
    <rPh sb="2" eb="3">
      <t>ズ</t>
    </rPh>
    <phoneticPr fontId="5"/>
  </si>
  <si>
    <t>L</t>
    <phoneticPr fontId="5"/>
  </si>
  <si>
    <r>
      <t>m</t>
    </r>
    <r>
      <rPr>
        <vertAlign val="superscript"/>
        <sz val="11"/>
        <color theme="1"/>
        <rFont val="游ゴシック"/>
        <family val="3"/>
        <charset val="128"/>
        <scheme val="minor"/>
      </rPr>
      <t>3</t>
    </r>
    <phoneticPr fontId="5"/>
  </si>
  <si>
    <r>
      <t>Nm</t>
    </r>
    <r>
      <rPr>
        <vertAlign val="superscript"/>
        <sz val="11"/>
        <color theme="1"/>
        <rFont val="游ゴシック"/>
        <family val="3"/>
        <charset val="128"/>
        <scheme val="minor"/>
      </rPr>
      <t>3</t>
    </r>
    <phoneticPr fontId="5"/>
  </si>
  <si>
    <t>kg</t>
    <phoneticPr fontId="5"/>
  </si>
  <si>
    <t>原料炭</t>
    <rPh sb="0" eb="2">
      <t>ゲンリョウ</t>
    </rPh>
    <rPh sb="2" eb="3">
      <t>タン</t>
    </rPh>
    <phoneticPr fontId="28"/>
  </si>
  <si>
    <t>一般炭</t>
    <rPh sb="0" eb="2">
      <t>イッパン</t>
    </rPh>
    <rPh sb="2" eb="3">
      <t>タン</t>
    </rPh>
    <phoneticPr fontId="28"/>
  </si>
  <si>
    <t>無煙炭</t>
    <rPh sb="0" eb="3">
      <t>ムエンタン</t>
    </rPh>
    <phoneticPr fontId="28"/>
  </si>
  <si>
    <t>石炭コークス</t>
    <rPh sb="0" eb="2">
      <t>セキタン</t>
    </rPh>
    <phoneticPr fontId="41"/>
  </si>
  <si>
    <t>コールタール</t>
  </si>
  <si>
    <t>コークス炉ガス</t>
    <rPh sb="4" eb="5">
      <t>ロ</t>
    </rPh>
    <phoneticPr fontId="41"/>
  </si>
  <si>
    <t>高炉ガス</t>
    <rPh sb="0" eb="2">
      <t>コウロ</t>
    </rPh>
    <phoneticPr fontId="41"/>
  </si>
  <si>
    <t>転炉ガス</t>
    <rPh sb="0" eb="2">
      <t>テンロ</t>
    </rPh>
    <phoneticPr fontId="41"/>
  </si>
  <si>
    <t>その他の燃料</t>
    <rPh sb="2" eb="3">
      <t>タ</t>
    </rPh>
    <rPh sb="4" eb="6">
      <t>ネンリョウ</t>
    </rPh>
    <phoneticPr fontId="11"/>
  </si>
  <si>
    <t>産業用蒸気</t>
  </si>
  <si>
    <t>産業用以外の蒸気</t>
  </si>
  <si>
    <t>温水</t>
  </si>
  <si>
    <t>冷水</t>
  </si>
  <si>
    <t>再エネ_電気</t>
    <rPh sb="0" eb="1">
      <t>サイ</t>
    </rPh>
    <rPh sb="4" eb="6">
      <t>デンキ</t>
    </rPh>
    <phoneticPr fontId="27"/>
  </si>
  <si>
    <t>再エネ_熱</t>
    <rPh sb="0" eb="1">
      <t>サイ</t>
    </rPh>
    <rPh sb="4" eb="5">
      <t>ネツ</t>
    </rPh>
    <phoneticPr fontId="27"/>
  </si>
  <si>
    <t>監視点</t>
    <rPh sb="0" eb="3">
      <t>カンシテン</t>
    </rPh>
    <phoneticPr fontId="5"/>
  </si>
  <si>
    <t>事業所概要_算定体制</t>
    <rPh sb="0" eb="3">
      <t>ジギョウジョ</t>
    </rPh>
    <rPh sb="3" eb="5">
      <t>ガイヨウ</t>
    </rPh>
    <rPh sb="6" eb="8">
      <t>サンテイ</t>
    </rPh>
    <rPh sb="8" eb="10">
      <t>タイセイ</t>
    </rPh>
    <phoneticPr fontId="5"/>
  </si>
  <si>
    <t>監視点用燃料種類</t>
    <rPh sb="0" eb="3">
      <t>カンシテン</t>
    </rPh>
    <rPh sb="3" eb="4">
      <t>ヨウ</t>
    </rPh>
    <rPh sb="4" eb="6">
      <t>ネンリョウ</t>
    </rPh>
    <rPh sb="6" eb="8">
      <t>シュルイ</t>
    </rPh>
    <phoneticPr fontId="5"/>
  </si>
  <si>
    <t>ジェット燃料油</t>
    <rPh sb="4" eb="6">
      <t>ネンリョウ</t>
    </rPh>
    <rPh sb="6" eb="7">
      <t>アブラ</t>
    </rPh>
    <phoneticPr fontId="5"/>
  </si>
  <si>
    <t>建築確認書類</t>
    <phoneticPr fontId="5"/>
  </si>
  <si>
    <t>登記簿</t>
    <phoneticPr fontId="5"/>
  </si>
  <si>
    <t>その他</t>
    <phoneticPr fontId="5"/>
  </si>
  <si>
    <t>床面積</t>
    <rPh sb="0" eb="3">
      <t>ユカメンセキ</t>
    </rPh>
    <phoneticPr fontId="5"/>
  </si>
  <si>
    <t>把握方法</t>
    <rPh sb="0" eb="2">
      <t>ハアク</t>
    </rPh>
    <rPh sb="2" eb="4">
      <t>ホウホウ</t>
    </rPh>
    <phoneticPr fontId="5"/>
  </si>
  <si>
    <t>変更の有無</t>
    <rPh sb="0" eb="2">
      <t>ヘンコウ</t>
    </rPh>
    <rPh sb="3" eb="5">
      <t>ウム</t>
    </rPh>
    <phoneticPr fontId="5"/>
  </si>
  <si>
    <t>変更なし</t>
    <phoneticPr fontId="5"/>
  </si>
  <si>
    <t>右記のとおり変更</t>
    <phoneticPr fontId="5"/>
  </si>
  <si>
    <t>シート名</t>
    <rPh sb="3" eb="4">
      <t>メイ</t>
    </rPh>
    <phoneticPr fontId="5"/>
  </si>
  <si>
    <t>リスト名</t>
    <rPh sb="3" eb="4">
      <t>メイ</t>
    </rPh>
    <phoneticPr fontId="5"/>
  </si>
  <si>
    <t>燃料の使用</t>
  </si>
  <si>
    <t>事業所外利用の移動体への供給</t>
    <phoneticPr fontId="6"/>
  </si>
  <si>
    <t>工事のためのエネルギー使用</t>
    <phoneticPr fontId="6"/>
  </si>
  <si>
    <t>住宅用途への供給</t>
    <phoneticPr fontId="6"/>
  </si>
  <si>
    <t>他事業所への燃料等の直接供給</t>
    <phoneticPr fontId="6"/>
  </si>
  <si>
    <t>コークス炉ガス</t>
  </si>
  <si>
    <t>液化石油ガス_LPG_プロパン・ブタン混合</t>
    <rPh sb="19" eb="21">
      <t>コンゴウ</t>
    </rPh>
    <phoneticPr fontId="4"/>
  </si>
  <si>
    <t>液化石油ガス_LPG_プロパン</t>
  </si>
  <si>
    <t>液化石油ガス_LPG_ブタン</t>
  </si>
  <si>
    <t>液化石油ガス_LPG_その他</t>
    <rPh sb="13" eb="14">
      <t>タ</t>
    </rPh>
    <phoneticPr fontId="4"/>
  </si>
  <si>
    <t>原油_コンデンセートを除く</t>
    <rPh sb="0" eb="2">
      <t>ゲンユ</t>
    </rPh>
    <rPh sb="11" eb="12">
      <t>ノゾ</t>
    </rPh>
    <phoneticPr fontId="6"/>
  </si>
  <si>
    <t>原油_コンデンセート_ＮＧＬ</t>
    <rPh sb="0" eb="2">
      <t>ゲンユ</t>
    </rPh>
    <phoneticPr fontId="6"/>
  </si>
  <si>
    <t>揮発油_ガソリン</t>
    <rPh sb="0" eb="3">
      <t>キハツユ</t>
    </rPh>
    <phoneticPr fontId="6"/>
  </si>
  <si>
    <t>液化天然ガス_ＬＮＧ</t>
    <rPh sb="0" eb="2">
      <t>エキカ</t>
    </rPh>
    <rPh sb="2" eb="4">
      <t>テンネン</t>
    </rPh>
    <phoneticPr fontId="6"/>
  </si>
  <si>
    <t>原料炭_輸入原料炭</t>
    <rPh sb="0" eb="2">
      <t>ゲンリョウ</t>
    </rPh>
    <rPh sb="2" eb="3">
      <t>スミ</t>
    </rPh>
    <rPh sb="4" eb="6">
      <t>ユニュウ</t>
    </rPh>
    <rPh sb="6" eb="8">
      <t>ゲンリョウ</t>
    </rPh>
    <rPh sb="8" eb="9">
      <t>タン</t>
    </rPh>
    <phoneticPr fontId="6"/>
  </si>
  <si>
    <t>原料炭_コークス炉用原料炭</t>
    <rPh sb="8" eb="9">
      <t>ロ</t>
    </rPh>
    <rPh sb="9" eb="10">
      <t>ヨウ</t>
    </rPh>
    <rPh sb="10" eb="12">
      <t>ゲンリョウ</t>
    </rPh>
    <rPh sb="12" eb="13">
      <t>タン</t>
    </rPh>
    <phoneticPr fontId="6"/>
  </si>
  <si>
    <t>原料炭_吹込用原料炭</t>
    <rPh sb="4" eb="6">
      <t>フキコ</t>
    </rPh>
    <rPh sb="6" eb="7">
      <t>ヨウ</t>
    </rPh>
    <rPh sb="7" eb="9">
      <t>ゲンリョウ</t>
    </rPh>
    <rPh sb="9" eb="10">
      <t>タン</t>
    </rPh>
    <phoneticPr fontId="6"/>
  </si>
  <si>
    <t>一般炭_輸入一般炭</t>
    <rPh sb="0" eb="2">
      <t>イッパン</t>
    </rPh>
    <rPh sb="2" eb="3">
      <t>スミ</t>
    </rPh>
    <rPh sb="4" eb="8">
      <t>ユニュウイッパン</t>
    </rPh>
    <rPh sb="8" eb="9">
      <t>スミ</t>
    </rPh>
    <phoneticPr fontId="5"/>
  </si>
  <si>
    <t>一般炭_国産一般炭</t>
    <rPh sb="0" eb="2">
      <t>イッパン</t>
    </rPh>
    <rPh sb="2" eb="3">
      <t>スミ</t>
    </rPh>
    <rPh sb="4" eb="6">
      <t>コクサン</t>
    </rPh>
    <rPh sb="6" eb="8">
      <t>イッパン</t>
    </rPh>
    <rPh sb="8" eb="9">
      <t>スミ</t>
    </rPh>
    <phoneticPr fontId="6"/>
  </si>
  <si>
    <t>無煙炭_輸入無煙炭</t>
    <rPh sb="4" eb="6">
      <t>ユニュウ</t>
    </rPh>
    <rPh sb="6" eb="9">
      <t>ムエンタン</t>
    </rPh>
    <phoneticPr fontId="6"/>
  </si>
  <si>
    <t>高炉ガス_発電用以外</t>
    <rPh sb="0" eb="2">
      <t>コウロ</t>
    </rPh>
    <rPh sb="5" eb="7">
      <t>ハツデン</t>
    </rPh>
    <rPh sb="7" eb="8">
      <t>ヨウ</t>
    </rPh>
    <rPh sb="8" eb="10">
      <t>イガイ</t>
    </rPh>
    <phoneticPr fontId="6"/>
  </si>
  <si>
    <t>高炉ガス_発電用</t>
    <rPh sb="0" eb="2">
      <t>コウロ</t>
    </rPh>
    <phoneticPr fontId="6"/>
  </si>
  <si>
    <t>他事業所への熱や電気の外部供給</t>
    <rPh sb="11" eb="13">
      <t>ガイブ</t>
    </rPh>
    <phoneticPr fontId="6"/>
  </si>
  <si>
    <t>単位発熱量/一次エネルギー換算係数</t>
    <rPh sb="0" eb="5">
      <t>タンイハツネツリョウ</t>
    </rPh>
    <rPh sb="6" eb="8">
      <t>イチジ</t>
    </rPh>
    <rPh sb="13" eb="17">
      <t>カンザンケイスウ</t>
    </rPh>
    <phoneticPr fontId="5"/>
  </si>
  <si>
    <t>数値</t>
    <rPh sb="0" eb="2">
      <t>スウチ</t>
    </rPh>
    <phoneticPr fontId="5"/>
  </si>
  <si>
    <t>第4計画期間</t>
    <rPh sb="0" eb="1">
      <t>ダイ</t>
    </rPh>
    <rPh sb="2" eb="4">
      <t>ケイカク</t>
    </rPh>
    <rPh sb="4" eb="6">
      <t>キカン</t>
    </rPh>
    <phoneticPr fontId="5"/>
  </si>
  <si>
    <r>
      <t>GJ/千m</t>
    </r>
    <r>
      <rPr>
        <vertAlign val="superscript"/>
        <sz val="11"/>
        <color theme="1"/>
        <rFont val="游ゴシック"/>
        <family val="3"/>
        <charset val="128"/>
        <scheme val="minor"/>
      </rPr>
      <t>3(</t>
    </r>
    <r>
      <rPr>
        <sz val="11"/>
        <color theme="1"/>
        <rFont val="游ゴシック"/>
        <family val="3"/>
        <charset val="128"/>
        <scheme val="minor"/>
      </rPr>
      <t>SATP)</t>
    </r>
    <phoneticPr fontId="5"/>
  </si>
  <si>
    <t>t-C/GJ</t>
    <phoneticPr fontId="5"/>
  </si>
  <si>
    <r>
      <t>GJ/N千m</t>
    </r>
    <r>
      <rPr>
        <vertAlign val="superscript"/>
        <sz val="11"/>
        <color theme="1"/>
        <rFont val="游ゴシック"/>
        <family val="3"/>
        <charset val="128"/>
        <scheme val="minor"/>
      </rPr>
      <t>3</t>
    </r>
    <phoneticPr fontId="5"/>
  </si>
  <si>
    <t>単位変換</t>
    <rPh sb="0" eb="2">
      <t>タンイ</t>
    </rPh>
    <rPh sb="2" eb="4">
      <t>ヘンカン</t>
    </rPh>
    <phoneticPr fontId="5"/>
  </si>
  <si>
    <t>燃料</t>
    <phoneticPr fontId="5"/>
  </si>
  <si>
    <t>電気・熱_都市ガス</t>
    <rPh sb="0" eb="2">
      <t>デンキ</t>
    </rPh>
    <rPh sb="3" eb="4">
      <t>ネツ</t>
    </rPh>
    <rPh sb="5" eb="7">
      <t>トシ</t>
    </rPh>
    <phoneticPr fontId="5"/>
  </si>
  <si>
    <t>都市ガスの使用</t>
    <rPh sb="0" eb="2">
      <t>トシ</t>
    </rPh>
    <rPh sb="5" eb="7">
      <t>シヨウ</t>
    </rPh>
    <phoneticPr fontId="5"/>
  </si>
  <si>
    <t>都市ガス</t>
    <rPh sb="0" eb="2">
      <t>トシ</t>
    </rPh>
    <phoneticPr fontId="5"/>
  </si>
  <si>
    <t>有</t>
    <rPh sb="0" eb="1">
      <t>アリ</t>
    </rPh>
    <phoneticPr fontId="5"/>
  </si>
  <si>
    <t>無</t>
    <rPh sb="0" eb="1">
      <t>ナ</t>
    </rPh>
    <phoneticPr fontId="5"/>
  </si>
  <si>
    <t>把握方法</t>
    <rPh sb="0" eb="2">
      <t>ハアク</t>
    </rPh>
    <rPh sb="2" eb="4">
      <t>ホウホウ</t>
    </rPh>
    <phoneticPr fontId="5"/>
  </si>
  <si>
    <t>購入伝票額</t>
    <rPh sb="0" eb="2">
      <t>コウニュウ</t>
    </rPh>
    <rPh sb="2" eb="4">
      <t>デンピョウ</t>
    </rPh>
    <rPh sb="4" eb="5">
      <t>ガク</t>
    </rPh>
    <phoneticPr fontId="5"/>
  </si>
  <si>
    <t>計量器の実測値</t>
    <rPh sb="0" eb="3">
      <t>ケイリョウキ</t>
    </rPh>
    <rPh sb="4" eb="7">
      <t>ジッソクチ</t>
    </rPh>
    <phoneticPr fontId="5"/>
  </si>
  <si>
    <t>その他</t>
    <rPh sb="2" eb="3">
      <t>ホカ</t>
    </rPh>
    <phoneticPr fontId="5"/>
  </si>
  <si>
    <t>kWh</t>
  </si>
  <si>
    <t>kWh</t>
    <phoneticPr fontId="5"/>
  </si>
  <si>
    <t>L</t>
  </si>
  <si>
    <t>kg</t>
  </si>
  <si>
    <t>t</t>
  </si>
  <si>
    <t>m3</t>
  </si>
  <si>
    <t>単位リスト</t>
    <rPh sb="0" eb="2">
      <t>タンイ</t>
    </rPh>
    <phoneticPr fontId="5"/>
  </si>
  <si>
    <t>Nm3</t>
  </si>
  <si>
    <r>
      <t>千m</t>
    </r>
    <r>
      <rPr>
        <vertAlign val="superscript"/>
        <sz val="11"/>
        <color theme="1"/>
        <rFont val="游ゴシック"/>
        <family val="3"/>
        <charset val="128"/>
        <scheme val="minor"/>
      </rPr>
      <t>3</t>
    </r>
    <rPh sb="0" eb="1">
      <t>セン</t>
    </rPh>
    <phoneticPr fontId="5"/>
  </si>
  <si>
    <r>
      <t>千Nm</t>
    </r>
    <r>
      <rPr>
        <vertAlign val="superscript"/>
        <sz val="11"/>
        <color theme="1"/>
        <rFont val="游ゴシック"/>
        <family val="3"/>
        <charset val="128"/>
        <scheme val="minor"/>
      </rPr>
      <t>3</t>
    </r>
    <rPh sb="0" eb="1">
      <t>セン</t>
    </rPh>
    <phoneticPr fontId="5"/>
  </si>
  <si>
    <r>
      <t>m</t>
    </r>
    <r>
      <rPr>
        <vertAlign val="superscript"/>
        <sz val="11"/>
        <color theme="1"/>
        <rFont val="游ゴシック"/>
        <family val="3"/>
        <charset val="128"/>
        <scheme val="minor"/>
      </rPr>
      <t>3</t>
    </r>
    <r>
      <rPr>
        <sz val="11"/>
        <color theme="1"/>
        <rFont val="游ゴシック"/>
        <family val="3"/>
        <charset val="128"/>
        <scheme val="minor"/>
      </rPr>
      <t>（SATP)</t>
    </r>
    <phoneticPr fontId="5"/>
  </si>
  <si>
    <r>
      <t>千m</t>
    </r>
    <r>
      <rPr>
        <vertAlign val="superscript"/>
        <sz val="11"/>
        <color theme="1"/>
        <rFont val="游ゴシック"/>
        <family val="3"/>
        <charset val="128"/>
        <scheme val="minor"/>
      </rPr>
      <t>3</t>
    </r>
    <r>
      <rPr>
        <sz val="11"/>
        <color theme="1"/>
        <rFont val="游ゴシック"/>
        <family val="3"/>
        <charset val="128"/>
        <scheme val="minor"/>
      </rPr>
      <t>（SATP)</t>
    </r>
    <rPh sb="0" eb="1">
      <t>セン</t>
    </rPh>
    <phoneticPr fontId="5"/>
  </si>
  <si>
    <t>燃料</t>
    <rPh sb="0" eb="2">
      <t>ネンリョウ</t>
    </rPh>
    <phoneticPr fontId="5"/>
  </si>
  <si>
    <t>熱の使用</t>
    <rPh sb="0" eb="1">
      <t>ネツ</t>
    </rPh>
    <rPh sb="2" eb="4">
      <t>シヨウ</t>
    </rPh>
    <phoneticPr fontId="5"/>
  </si>
  <si>
    <t>A0002</t>
  </si>
  <si>
    <t>イーレックス(株)</t>
  </si>
  <si>
    <t>A0003</t>
  </si>
  <si>
    <t>リエスパワー(株)</t>
  </si>
  <si>
    <t>A0004</t>
  </si>
  <si>
    <t>エバーグリーン・リテイリング(株)</t>
  </si>
  <si>
    <t>メニューA</t>
  </si>
  <si>
    <t>A0006</t>
  </si>
  <si>
    <t>A0007</t>
  </si>
  <si>
    <t>(株)SEウイングズ</t>
  </si>
  <si>
    <t>A0008</t>
  </si>
  <si>
    <t>(株)イーセル</t>
  </si>
  <si>
    <t>A0009</t>
  </si>
  <si>
    <t>(株)エネット</t>
  </si>
  <si>
    <t>メニューB</t>
  </si>
  <si>
    <t>メニューC</t>
  </si>
  <si>
    <t>メニューD</t>
  </si>
  <si>
    <t>メニューE</t>
  </si>
  <si>
    <t>A0011</t>
  </si>
  <si>
    <t>須賀川瓦斯(株)</t>
  </si>
  <si>
    <t>A0012</t>
  </si>
  <si>
    <t>出光興産(株)</t>
  </si>
  <si>
    <t>A0013</t>
  </si>
  <si>
    <t>(株)オプテージ</t>
  </si>
  <si>
    <t>A0014</t>
  </si>
  <si>
    <t>エネサーブ(株)</t>
  </si>
  <si>
    <t>A0015</t>
  </si>
  <si>
    <t>(株)エネワンでんき</t>
  </si>
  <si>
    <t>A0016</t>
  </si>
  <si>
    <t>ミツウロコグリーンエネルギー(株)</t>
  </si>
  <si>
    <t>メニューF</t>
  </si>
  <si>
    <t>メニューG</t>
  </si>
  <si>
    <t>メニューH</t>
  </si>
  <si>
    <t>メニューI</t>
  </si>
  <si>
    <t>メニューJ</t>
  </si>
  <si>
    <t>A0017</t>
  </si>
  <si>
    <t xml:space="preserve">(株)リエネ </t>
  </si>
  <si>
    <t>A0018</t>
  </si>
  <si>
    <t>A0019</t>
  </si>
  <si>
    <t>日本テクノ(株)</t>
  </si>
  <si>
    <t>A0020</t>
  </si>
  <si>
    <t>中央電力エナジー(株)</t>
  </si>
  <si>
    <t>A0021</t>
  </si>
  <si>
    <t>(株)Looop</t>
  </si>
  <si>
    <t>A0024</t>
  </si>
  <si>
    <t>静岡ガス＆パワー(株)</t>
  </si>
  <si>
    <t>A0025</t>
  </si>
  <si>
    <t>荏原環境プラント(株)</t>
  </si>
  <si>
    <t>メニューK</t>
  </si>
  <si>
    <t>メニューL</t>
  </si>
  <si>
    <t>メニューM</t>
  </si>
  <si>
    <t>メニューN</t>
  </si>
  <si>
    <t>メニューO</t>
  </si>
  <si>
    <t>メニューP</t>
  </si>
  <si>
    <t>メニューQ</t>
  </si>
  <si>
    <t>A0026</t>
  </si>
  <si>
    <t>A0027</t>
  </si>
  <si>
    <t>ダイヤモンドパワー(株)</t>
  </si>
  <si>
    <t>A0028</t>
  </si>
  <si>
    <t>出光グリーンパワー(株)</t>
  </si>
  <si>
    <t>A0031</t>
  </si>
  <si>
    <t>(株)新出光</t>
  </si>
  <si>
    <t>A0032</t>
  </si>
  <si>
    <t>セントラル石油瓦斯(株)</t>
  </si>
  <si>
    <t>A0034</t>
  </si>
  <si>
    <t>一般財団法人泉佐野電力　　</t>
  </si>
  <si>
    <t>A0035</t>
  </si>
  <si>
    <t>コスモエネルギーソリューションズ(株)</t>
  </si>
  <si>
    <t>A0036</t>
  </si>
  <si>
    <t>(株)グリーンサークル</t>
  </si>
  <si>
    <t>A0039</t>
  </si>
  <si>
    <t>A0040</t>
  </si>
  <si>
    <t>A0042</t>
  </si>
  <si>
    <t>A0043</t>
  </si>
  <si>
    <t>伊藤忠エネクス(株)</t>
  </si>
  <si>
    <t>A0045</t>
  </si>
  <si>
    <t>(株)V-Power</t>
  </si>
  <si>
    <t>A0046</t>
  </si>
  <si>
    <t>大和エネルギー(株)</t>
  </si>
  <si>
    <t>A0048</t>
  </si>
  <si>
    <t>大阪瓦斯(株)</t>
  </si>
  <si>
    <t>A0049</t>
  </si>
  <si>
    <t>エフビットコミュニケーションズ(株)　</t>
  </si>
  <si>
    <t>A0050</t>
  </si>
  <si>
    <t>A0051</t>
  </si>
  <si>
    <t>真庭バイオエネルギー(株)</t>
  </si>
  <si>
    <t>A0052</t>
  </si>
  <si>
    <t>三井物産(株)</t>
  </si>
  <si>
    <t>A0053</t>
  </si>
  <si>
    <t>オリックス(株)</t>
  </si>
  <si>
    <t>A0054</t>
  </si>
  <si>
    <t>(株)エネサンス関東</t>
  </si>
  <si>
    <t>A0055</t>
  </si>
  <si>
    <t>(株)UPDATER</t>
  </si>
  <si>
    <t>A0056</t>
  </si>
  <si>
    <t>A0057</t>
  </si>
  <si>
    <t>(株)サニックス</t>
  </si>
  <si>
    <t>A0058</t>
  </si>
  <si>
    <t>(株)コンシェルジュ</t>
  </si>
  <si>
    <t>A0060</t>
  </si>
  <si>
    <t>(株)アイ・グリッド・ソリューションズ</t>
  </si>
  <si>
    <t>A0061</t>
  </si>
  <si>
    <t>サミットエナジー(株)</t>
  </si>
  <si>
    <t>A0062</t>
  </si>
  <si>
    <t>リコージャパン(株)</t>
  </si>
  <si>
    <t>A0063</t>
  </si>
  <si>
    <t>(株)エネルギア・ソリューション・アンド・サービス</t>
  </si>
  <si>
    <t>A0064</t>
  </si>
  <si>
    <t>東京ガス(株)</t>
  </si>
  <si>
    <t>A0065</t>
  </si>
  <si>
    <t>テス・エンジニアリング(株)</t>
  </si>
  <si>
    <t>A0066</t>
  </si>
  <si>
    <t>青梅ガス(株)</t>
  </si>
  <si>
    <t>A0067</t>
  </si>
  <si>
    <t>(株)イーネットワークシステムズ</t>
  </si>
  <si>
    <t>A0068</t>
  </si>
  <si>
    <t>(株)エネアーク関東</t>
  </si>
  <si>
    <t>A0069</t>
  </si>
  <si>
    <t>(株)東急パワーサプライ</t>
  </si>
  <si>
    <t>A0070</t>
  </si>
  <si>
    <t>王子・伊藤忠エネクス電力販売(株)</t>
  </si>
  <si>
    <t>A0071</t>
  </si>
  <si>
    <t>A0072</t>
  </si>
  <si>
    <t>(株)エコスタイル</t>
  </si>
  <si>
    <t>A0073</t>
  </si>
  <si>
    <t>入間ガス(株)</t>
  </si>
  <si>
    <t>A0074</t>
  </si>
  <si>
    <t>テプコカスタマーサービス(株)</t>
  </si>
  <si>
    <t>A0075</t>
  </si>
  <si>
    <t>(株)とんでんホールディングス</t>
  </si>
  <si>
    <t>A0076</t>
  </si>
  <si>
    <t>日鉄エンジニアリング(株)</t>
  </si>
  <si>
    <t>A0077</t>
  </si>
  <si>
    <t>auエネルギー＆ライフ(株)</t>
  </si>
  <si>
    <t>A0079</t>
  </si>
  <si>
    <t>イワタニ関東(株)</t>
  </si>
  <si>
    <t>A0080</t>
  </si>
  <si>
    <t>イワタニ首都圏(株)</t>
  </si>
  <si>
    <t>A0081</t>
  </si>
  <si>
    <t>サーラeエナジー(株)</t>
  </si>
  <si>
    <t>A0082</t>
  </si>
  <si>
    <t>(株)地球クラブ</t>
  </si>
  <si>
    <t>A0084</t>
  </si>
  <si>
    <t>西部瓦斯(株)</t>
  </si>
  <si>
    <t>A0085</t>
  </si>
  <si>
    <t>A0086</t>
  </si>
  <si>
    <t>シナネン(株)</t>
  </si>
  <si>
    <t>A0088</t>
  </si>
  <si>
    <t>カワサキグリーンエナジー(株)</t>
  </si>
  <si>
    <t>A0089</t>
  </si>
  <si>
    <t>大一ガス(株)</t>
  </si>
  <si>
    <t>A0090</t>
  </si>
  <si>
    <t>(株)リミックスポイント</t>
  </si>
  <si>
    <t>A0091</t>
  </si>
  <si>
    <t>大阪いずみ市民生活協同組合</t>
  </si>
  <si>
    <t>A0092</t>
  </si>
  <si>
    <t>(株)中海テレビ放送</t>
  </si>
  <si>
    <t>A0093</t>
  </si>
  <si>
    <t>パシフィックパワー(株)</t>
  </si>
  <si>
    <t>A0098</t>
  </si>
  <si>
    <t>(株)ジェイコムウエスト</t>
  </si>
  <si>
    <t>A0103</t>
  </si>
  <si>
    <t>(株)ジェイコム埼玉・東日本</t>
  </si>
  <si>
    <t>A0104</t>
  </si>
  <si>
    <t>(株)ジェイコム札幌</t>
  </si>
  <si>
    <t>A0105</t>
  </si>
  <si>
    <t>(株)ジェイコム湘南・神奈川</t>
  </si>
  <si>
    <t>A0107</t>
  </si>
  <si>
    <t>(株)ジェイコム千葉</t>
  </si>
  <si>
    <t>A0110</t>
  </si>
  <si>
    <t>(株)ジェイコム東京</t>
  </si>
  <si>
    <t>A0119</t>
  </si>
  <si>
    <t>土浦ケーブルテレビ(株)</t>
  </si>
  <si>
    <t>A0120</t>
  </si>
  <si>
    <t>鹿児島電力(株)</t>
  </si>
  <si>
    <t>A0121</t>
  </si>
  <si>
    <t>太陽ガス(株)</t>
  </si>
  <si>
    <t>A0122</t>
  </si>
  <si>
    <t>アーバンエナジー(株)</t>
  </si>
  <si>
    <t>A0123</t>
  </si>
  <si>
    <t>パワーネクスト(株)</t>
  </si>
  <si>
    <t>A0124</t>
  </si>
  <si>
    <t>合同会社北上新電力</t>
  </si>
  <si>
    <t>A0126</t>
  </si>
  <si>
    <t>(株)タクマエナジー</t>
  </si>
  <si>
    <t>A0127</t>
  </si>
  <si>
    <t>(株)スマートテック</t>
  </si>
  <si>
    <t>A0128</t>
  </si>
  <si>
    <t>A0130</t>
  </si>
  <si>
    <t>丸紅新電力(株)</t>
  </si>
  <si>
    <t>A0133</t>
  </si>
  <si>
    <t>奈良電力(株)</t>
  </si>
  <si>
    <t>A0134</t>
  </si>
  <si>
    <t>A0135</t>
  </si>
  <si>
    <t>大東ガス(株)</t>
  </si>
  <si>
    <t>A0136</t>
  </si>
  <si>
    <t>パナソニックオペレーショナルエクセレンス(株)</t>
  </si>
  <si>
    <t>A0137</t>
  </si>
  <si>
    <t>アストモスエネルギー(株)</t>
  </si>
  <si>
    <t>A0138</t>
  </si>
  <si>
    <t>(株)関電エネルギーソリューション</t>
  </si>
  <si>
    <t>A0140</t>
  </si>
  <si>
    <t>MCリテールエナジー(株)</t>
  </si>
  <si>
    <t>A0141</t>
  </si>
  <si>
    <t>(株)北九州パワー</t>
  </si>
  <si>
    <t>A0142</t>
  </si>
  <si>
    <t>武州瓦斯(株)</t>
  </si>
  <si>
    <t>A0143</t>
  </si>
  <si>
    <t>A0144</t>
  </si>
  <si>
    <t>大垣ガス(株)</t>
  </si>
  <si>
    <t>A0145</t>
  </si>
  <si>
    <t>(株)藤田商店</t>
  </si>
  <si>
    <t>A0146</t>
  </si>
  <si>
    <t>(株)ケーブルネット下関</t>
  </si>
  <si>
    <t>A0147</t>
  </si>
  <si>
    <t>(株)ジェイコム九州</t>
  </si>
  <si>
    <t>A0149</t>
  </si>
  <si>
    <t>(株)グローバルエンジニアリング</t>
  </si>
  <si>
    <t>A0150</t>
  </si>
  <si>
    <t>九州エナジー(株)</t>
  </si>
  <si>
    <t>A0151</t>
  </si>
  <si>
    <t>(株)トヨタエナジーソリューションズ</t>
  </si>
  <si>
    <t>A0153</t>
  </si>
  <si>
    <t>(株)エナリス・パワー・マーケティング</t>
  </si>
  <si>
    <t>A0154</t>
  </si>
  <si>
    <t>歌舞伎エナジー(株)</t>
  </si>
  <si>
    <t>A0155</t>
  </si>
  <si>
    <t>A0156</t>
  </si>
  <si>
    <t>エフィシエント(株)</t>
  </si>
  <si>
    <t>A0157</t>
  </si>
  <si>
    <t>(株)生活クラブエナジー</t>
  </si>
  <si>
    <t>A0158</t>
  </si>
  <si>
    <t>生活協同組合コープこうべ</t>
  </si>
  <si>
    <t>A0159</t>
  </si>
  <si>
    <t>(株)シーエナジー</t>
  </si>
  <si>
    <t>A0160</t>
  </si>
  <si>
    <t>角栄ガス(株)</t>
  </si>
  <si>
    <t>A0161</t>
  </si>
  <si>
    <t>京葉瓦斯(株)</t>
  </si>
  <si>
    <t>A0162</t>
  </si>
  <si>
    <t>TOPPANホールディングス(株)</t>
  </si>
  <si>
    <t>A0163</t>
  </si>
  <si>
    <t>伊勢崎ガス(株)</t>
  </si>
  <si>
    <t>A0164</t>
  </si>
  <si>
    <t>キヤノンマーケティングジャパン(株)</t>
  </si>
  <si>
    <t>A0165</t>
  </si>
  <si>
    <t>(株)とっとり市民電力</t>
  </si>
  <si>
    <t>A0166</t>
  </si>
  <si>
    <t>(株)イーエムアイ</t>
  </si>
  <si>
    <t>A0167</t>
  </si>
  <si>
    <t>佐野瓦斯(株)</t>
  </si>
  <si>
    <t>A0168</t>
  </si>
  <si>
    <t>桐生瓦斯(株)</t>
  </si>
  <si>
    <t>A0169</t>
  </si>
  <si>
    <t>A0170</t>
  </si>
  <si>
    <t>A0172</t>
  </si>
  <si>
    <t>HTBエナジー(株)</t>
  </si>
  <si>
    <t>A0173</t>
  </si>
  <si>
    <t>(株)アシストワンエナジー</t>
  </si>
  <si>
    <t>A0175</t>
  </si>
  <si>
    <t>(株)フソウ・エナジー</t>
  </si>
  <si>
    <t>A0177</t>
  </si>
  <si>
    <t>A0178</t>
  </si>
  <si>
    <t>大東建託パートナーズ(株)</t>
  </si>
  <si>
    <t>A0179</t>
  </si>
  <si>
    <t>Japan電力(株)</t>
  </si>
  <si>
    <t>A0180</t>
  </si>
  <si>
    <t>電源開発(株)</t>
  </si>
  <si>
    <t>A0181</t>
  </si>
  <si>
    <t>A0184</t>
  </si>
  <si>
    <t>ワタミエナジー(株)</t>
  </si>
  <si>
    <t>A0185</t>
  </si>
  <si>
    <t>(株)パルシステム電力</t>
  </si>
  <si>
    <t>A0186</t>
  </si>
  <si>
    <t>SBパワー(株)</t>
  </si>
  <si>
    <t>A0187</t>
  </si>
  <si>
    <t>NFパワーサービス(株)</t>
  </si>
  <si>
    <t>A0188</t>
  </si>
  <si>
    <t>A0189</t>
  </si>
  <si>
    <t>和歌山電力(株)</t>
  </si>
  <si>
    <t>A0190</t>
  </si>
  <si>
    <t>日本瓦斯(株)(日本ガス(株))</t>
  </si>
  <si>
    <t>A0191</t>
  </si>
  <si>
    <t>(株)トドック電力</t>
  </si>
  <si>
    <t>A0193</t>
  </si>
  <si>
    <t>九電みらいエナジー(株)</t>
  </si>
  <si>
    <t>A0194</t>
  </si>
  <si>
    <t>(株)ミツウロコヴェッセル</t>
  </si>
  <si>
    <t>A0195</t>
  </si>
  <si>
    <t>(株)フォレストパワー</t>
  </si>
  <si>
    <t>A0196</t>
  </si>
  <si>
    <t>日高都市ガス(株)</t>
  </si>
  <si>
    <t>A0197</t>
  </si>
  <si>
    <t>(株)アドバンテック</t>
  </si>
  <si>
    <t>A0199</t>
  </si>
  <si>
    <t>ローカルエナジー(株)</t>
  </si>
  <si>
    <t>A0200</t>
  </si>
  <si>
    <t>A0203</t>
  </si>
  <si>
    <t>(株)レクスポート</t>
  </si>
  <si>
    <t>A0204</t>
  </si>
  <si>
    <t>A0206</t>
  </si>
  <si>
    <t>日田グリーン電力(株)</t>
  </si>
  <si>
    <t>A0209</t>
  </si>
  <si>
    <t>埼玉ガス(株)</t>
  </si>
  <si>
    <t>A0210</t>
  </si>
  <si>
    <t>宮崎パワーライン(株)</t>
  </si>
  <si>
    <t>A0211</t>
  </si>
  <si>
    <t>(株)パワー・オプティマイザー</t>
  </si>
  <si>
    <t>A0213</t>
  </si>
  <si>
    <t>(株)U-POWER</t>
  </si>
  <si>
    <t>A0214</t>
  </si>
  <si>
    <t>(株)TTSパワー</t>
  </si>
  <si>
    <t>A0216</t>
  </si>
  <si>
    <t>(株)岩手ウッドパワー</t>
  </si>
  <si>
    <t>A0217</t>
  </si>
  <si>
    <t>里山パワーワークス(株)</t>
  </si>
  <si>
    <t>A0218</t>
  </si>
  <si>
    <t>(株)中之条パワー</t>
  </si>
  <si>
    <t>A0220</t>
  </si>
  <si>
    <t>A0221</t>
  </si>
  <si>
    <t>(株)エネウィル</t>
  </si>
  <si>
    <t>A0222</t>
  </si>
  <si>
    <t>Next Power(株)</t>
  </si>
  <si>
    <t>A0227</t>
  </si>
  <si>
    <t>はりま電力(株)</t>
  </si>
  <si>
    <t>A0228</t>
  </si>
  <si>
    <t>(株)浜松新電力</t>
  </si>
  <si>
    <t>A0229</t>
  </si>
  <si>
    <t>A0230</t>
  </si>
  <si>
    <t>A0231</t>
  </si>
  <si>
    <t>(株)やまがた新電力</t>
  </si>
  <si>
    <t>A0232</t>
  </si>
  <si>
    <t>一般社団法人東松島みらいとし機構</t>
  </si>
  <si>
    <t>A0234</t>
  </si>
  <si>
    <t>(株)グリーンパワー大東</t>
  </si>
  <si>
    <t>A0236</t>
  </si>
  <si>
    <t>(株)シーラソーラー(旧：(株)シーラパワー)</t>
  </si>
  <si>
    <t>A0237</t>
  </si>
  <si>
    <t>御所野縄文電力(株)</t>
  </si>
  <si>
    <t>A0238</t>
  </si>
  <si>
    <t>(株)カーボンニュートラル</t>
  </si>
  <si>
    <t>A0239</t>
  </si>
  <si>
    <t>A0240</t>
  </si>
  <si>
    <t>長崎地域電力(株)</t>
  </si>
  <si>
    <t>A0241</t>
  </si>
  <si>
    <t>(株)エネアーク関西</t>
  </si>
  <si>
    <t>A0243</t>
  </si>
  <si>
    <t>近畿電力(株)</t>
  </si>
  <si>
    <t>A0245</t>
  </si>
  <si>
    <t>A0246</t>
  </si>
  <si>
    <t>(株)日本セレモニー</t>
  </si>
  <si>
    <t>A0248</t>
  </si>
  <si>
    <t>(株)池見石油店</t>
  </si>
  <si>
    <t>A0250</t>
  </si>
  <si>
    <t>芝浦電力(株)</t>
  </si>
  <si>
    <t>A0253</t>
  </si>
  <si>
    <t>(株)地域創生ホールディングス</t>
  </si>
  <si>
    <t>A0254</t>
  </si>
  <si>
    <t>スズカ電工(株)</t>
  </si>
  <si>
    <t>A0256</t>
  </si>
  <si>
    <t>(株)エーコープサービス</t>
  </si>
  <si>
    <t>A0257</t>
  </si>
  <si>
    <t>サンリン(株)</t>
  </si>
  <si>
    <t>A0258</t>
  </si>
  <si>
    <t>(株)宮崎ガスリビング</t>
  </si>
  <si>
    <t>A0259</t>
  </si>
  <si>
    <t>山陰エレキ・アライアンス(株)</t>
  </si>
  <si>
    <t>A0260</t>
  </si>
  <si>
    <t>(株)ジョヴィ</t>
  </si>
  <si>
    <t>A0261</t>
  </si>
  <si>
    <t>A0264</t>
  </si>
  <si>
    <t>山陰酸素工業(株)</t>
  </si>
  <si>
    <t>A0265</t>
  </si>
  <si>
    <t>A0267</t>
  </si>
  <si>
    <t>A0268</t>
  </si>
  <si>
    <t>東北電力(株)</t>
  </si>
  <si>
    <t>A0269</t>
  </si>
  <si>
    <t>A0270</t>
  </si>
  <si>
    <t>中部電力ミライズ(株)</t>
  </si>
  <si>
    <t>A0271</t>
  </si>
  <si>
    <t>北陸電力(株)</t>
  </si>
  <si>
    <t>A0272</t>
  </si>
  <si>
    <t xml:space="preserve">関西電力(株) </t>
  </si>
  <si>
    <t>A0273</t>
  </si>
  <si>
    <t>A0274</t>
  </si>
  <si>
    <t>四国電力(株)</t>
  </si>
  <si>
    <t>A0275</t>
  </si>
  <si>
    <t>九州電力(株)</t>
  </si>
  <si>
    <t>A0276</t>
  </si>
  <si>
    <t>沖縄電力(株)</t>
  </si>
  <si>
    <t>A0277</t>
  </si>
  <si>
    <t>北日本石油(株)</t>
  </si>
  <si>
    <t>A0278</t>
  </si>
  <si>
    <t>千葉電力(株)</t>
  </si>
  <si>
    <t>A0280</t>
  </si>
  <si>
    <t>やめエネルギー(株)</t>
  </si>
  <si>
    <t>A0281</t>
  </si>
  <si>
    <t>(株)アースインフィニティ</t>
  </si>
  <si>
    <t>A0283</t>
  </si>
  <si>
    <t>足利ガス(株)</t>
  </si>
  <si>
    <t>A0284</t>
  </si>
  <si>
    <t>(株)Misumi</t>
  </si>
  <si>
    <t>A0285</t>
  </si>
  <si>
    <t>米子瓦斯(株)</t>
  </si>
  <si>
    <t>A0286</t>
  </si>
  <si>
    <t>(株)エルピオ</t>
  </si>
  <si>
    <t>A0287</t>
  </si>
  <si>
    <t>浜田ガス(株)</t>
  </si>
  <si>
    <t>A0288</t>
  </si>
  <si>
    <t>(株)アメニティ電力</t>
  </si>
  <si>
    <t>A0292</t>
  </si>
  <si>
    <t>岡田建設(株)</t>
  </si>
  <si>
    <t>A0293</t>
  </si>
  <si>
    <t>出雲ガス(株)</t>
  </si>
  <si>
    <t>A0295</t>
  </si>
  <si>
    <t>一般社団法人グリーンコープでんき</t>
  </si>
  <si>
    <t>A0296</t>
  </si>
  <si>
    <t>公益財団法人東京都環境公社</t>
  </si>
  <si>
    <t>A0298</t>
  </si>
  <si>
    <t>イオンディライト(株)</t>
  </si>
  <si>
    <t>A0300</t>
  </si>
  <si>
    <t>(株)ファミリーネット・ジャパン</t>
  </si>
  <si>
    <t>A0303</t>
  </si>
  <si>
    <t>MKステーションズ(株)</t>
  </si>
  <si>
    <t>A0305</t>
  </si>
  <si>
    <t>フラワーペイメント(株)</t>
  </si>
  <si>
    <t>A0306</t>
  </si>
  <si>
    <t>(株)JTBコミュニケーションデザイン</t>
  </si>
  <si>
    <t>A0308</t>
  </si>
  <si>
    <t>積水化学工業(株)</t>
  </si>
  <si>
    <t>A0310</t>
  </si>
  <si>
    <t>全農エネルギー(株)</t>
  </si>
  <si>
    <t>A0311</t>
  </si>
  <si>
    <t>(株)ハルエネ</t>
  </si>
  <si>
    <t>A0313</t>
  </si>
  <si>
    <t>(株)リケン工業</t>
  </si>
  <si>
    <t>A0314</t>
  </si>
  <si>
    <t>(株)ビビット</t>
  </si>
  <si>
    <t>A0315</t>
  </si>
  <si>
    <t>(株)おおた電力</t>
  </si>
  <si>
    <t>A0317</t>
  </si>
  <si>
    <t>伊藤忠プランテック(株)</t>
  </si>
  <si>
    <t>A0318</t>
  </si>
  <si>
    <t>(株)オカモト</t>
  </si>
  <si>
    <t>A0323</t>
  </si>
  <si>
    <t>キタコー(株)</t>
  </si>
  <si>
    <t>A0324</t>
  </si>
  <si>
    <t>生活協同組合コープしが</t>
  </si>
  <si>
    <t>A0330</t>
  </si>
  <si>
    <t>A0332</t>
  </si>
  <si>
    <t>(株)PinT</t>
  </si>
  <si>
    <t>A0336</t>
  </si>
  <si>
    <t>(株)沖縄ガスニューパワー</t>
  </si>
  <si>
    <t>A0337</t>
  </si>
  <si>
    <t>諏訪瓦斯(株)</t>
  </si>
  <si>
    <t>A0338</t>
  </si>
  <si>
    <t>エッセンシャルエナジー(株)</t>
  </si>
  <si>
    <t>A0342</t>
  </si>
  <si>
    <t>(株)いちき串木野電力</t>
  </si>
  <si>
    <t>A0343</t>
  </si>
  <si>
    <t>(株)クローバー・テクノロジーズ</t>
  </si>
  <si>
    <t>A0344</t>
  </si>
  <si>
    <t>西武ガス(株)</t>
  </si>
  <si>
    <t>A0345</t>
  </si>
  <si>
    <t>松本ガス(株)</t>
  </si>
  <si>
    <t>A0348</t>
  </si>
  <si>
    <t>南部だんだんエナジー(株)</t>
  </si>
  <si>
    <t>A0349</t>
  </si>
  <si>
    <t>(株)エフエネ</t>
  </si>
  <si>
    <t>A0350</t>
  </si>
  <si>
    <t>こなんウルトラパワー(株)</t>
  </si>
  <si>
    <t>A0351</t>
  </si>
  <si>
    <t>(株)CHIBAむつざわエナジー</t>
  </si>
  <si>
    <t>A0352</t>
  </si>
  <si>
    <t>(株)関西空調　</t>
  </si>
  <si>
    <t>A0353</t>
  </si>
  <si>
    <t>奥出雲電力(株)</t>
  </si>
  <si>
    <t>A0355</t>
  </si>
  <si>
    <t>レジル(株)(旧:中央電力(株))</t>
  </si>
  <si>
    <t>A0356</t>
  </si>
  <si>
    <t>(株)成田香取エネルギー</t>
  </si>
  <si>
    <t>A0360</t>
  </si>
  <si>
    <t>グローバルソリューションサービス(株)</t>
  </si>
  <si>
    <t>A0362</t>
  </si>
  <si>
    <t>(株)CWS</t>
  </si>
  <si>
    <t>A0364</t>
  </si>
  <si>
    <t>ふくしま新電力(株)</t>
  </si>
  <si>
    <t>A0365</t>
  </si>
  <si>
    <t>ティーダッシュ合同会社</t>
  </si>
  <si>
    <t>A0366</t>
  </si>
  <si>
    <t>(株)エネクスライフサービス</t>
  </si>
  <si>
    <t>A0367</t>
  </si>
  <si>
    <t>ネイチャーエナジー小国(株)</t>
  </si>
  <si>
    <t>A0368</t>
  </si>
  <si>
    <t>リエスパワーネクスト(株)</t>
  </si>
  <si>
    <t>A0369</t>
  </si>
  <si>
    <t>京都生活協同組合</t>
  </si>
  <si>
    <t>A0371</t>
  </si>
  <si>
    <t>エネルギーパワー(株)</t>
  </si>
  <si>
    <t>A0372</t>
  </si>
  <si>
    <t>(株)グリムスパワー</t>
  </si>
  <si>
    <t>A0373</t>
  </si>
  <si>
    <t>日本ファシリティ・ソリューション(株)</t>
  </si>
  <si>
    <t>A0377</t>
  </si>
  <si>
    <t>(株)オノプロックス</t>
  </si>
  <si>
    <t>A0378</t>
  </si>
  <si>
    <t>本庄ガス(株)</t>
  </si>
  <si>
    <t>A0380</t>
  </si>
  <si>
    <t>青森県民エナジー(株)</t>
  </si>
  <si>
    <t>A0381</t>
  </si>
  <si>
    <t>国際航業(株)</t>
  </si>
  <si>
    <t>A0382</t>
  </si>
  <si>
    <t>ローカルでんき(株)</t>
  </si>
  <si>
    <t>A0383</t>
  </si>
  <si>
    <t>(株)明治産業</t>
  </si>
  <si>
    <t>A0385</t>
  </si>
  <si>
    <t>岡山電力(株)</t>
  </si>
  <si>
    <t>A0386</t>
  </si>
  <si>
    <t>ミライフ(株)</t>
  </si>
  <si>
    <t>A0388</t>
  </si>
  <si>
    <t>A0389</t>
  </si>
  <si>
    <t>うすきエネルギー(株)</t>
  </si>
  <si>
    <t>A0391</t>
  </si>
  <si>
    <t>森のエネルギー(株)</t>
  </si>
  <si>
    <t>A0392</t>
  </si>
  <si>
    <t>岐阜電力(株)</t>
  </si>
  <si>
    <t>A0396</t>
  </si>
  <si>
    <t>(株)エスケーエナジー</t>
  </si>
  <si>
    <t>A0397</t>
  </si>
  <si>
    <t>名南共同エネルギー(株)</t>
  </si>
  <si>
    <t>A0398</t>
  </si>
  <si>
    <t>Apaman Energy(株)</t>
  </si>
  <si>
    <t>A0403</t>
  </si>
  <si>
    <t>大分ケーブルテレコム(株)</t>
  </si>
  <si>
    <t>A0405</t>
  </si>
  <si>
    <t>アストマックス・エネルギー(株)</t>
  </si>
  <si>
    <t>A0406</t>
  </si>
  <si>
    <t>生活協同組合コープみらい</t>
  </si>
  <si>
    <t>A0407</t>
  </si>
  <si>
    <t>ALL GREEN POWER(株)</t>
  </si>
  <si>
    <t>A0411</t>
  </si>
  <si>
    <t>福井電力(株)</t>
  </si>
  <si>
    <t>A0413</t>
  </si>
  <si>
    <t>(株)MKエネルギー</t>
  </si>
  <si>
    <t>A0415</t>
  </si>
  <si>
    <t>エネラボ(株)</t>
  </si>
  <si>
    <t>A0418</t>
  </si>
  <si>
    <t>横浜ウォーター(株)</t>
  </si>
  <si>
    <t>A0419</t>
  </si>
  <si>
    <t>スマートエナジー磐田(株)</t>
  </si>
  <si>
    <t>A0420</t>
  </si>
  <si>
    <t>そうまIグリッド合同会社</t>
  </si>
  <si>
    <t>A0425</t>
  </si>
  <si>
    <t>エネトレード(株)</t>
  </si>
  <si>
    <t>A0429</t>
  </si>
  <si>
    <t>ニシムラ(株)</t>
  </si>
  <si>
    <t>A0430</t>
  </si>
  <si>
    <t>(株)さくら新電力</t>
  </si>
  <si>
    <t>A0431</t>
  </si>
  <si>
    <t>(株)グローアップ</t>
  </si>
  <si>
    <t>A0435</t>
  </si>
  <si>
    <t>いこま市民パワー(株)</t>
  </si>
  <si>
    <t>A0437</t>
  </si>
  <si>
    <t>おもてなし山形(株)</t>
  </si>
  <si>
    <t>A0438</t>
  </si>
  <si>
    <t>長野都市ガス(株)</t>
  </si>
  <si>
    <t>A0439</t>
  </si>
  <si>
    <t>上田ガス(株)</t>
  </si>
  <si>
    <t>A0440</t>
  </si>
  <si>
    <t>日本瓦斯(株)(旧：東日本ガス(株)、東彩ガス(株)、北日本ガス(株))</t>
  </si>
  <si>
    <t>A0442</t>
  </si>
  <si>
    <t>(株)シグナストラスト</t>
  </si>
  <si>
    <t>A0443</t>
  </si>
  <si>
    <t>ゲーテハウス(株)</t>
  </si>
  <si>
    <t>A0446</t>
  </si>
  <si>
    <t>JPエネルギー(株)</t>
  </si>
  <si>
    <t>A0447</t>
  </si>
  <si>
    <t>兵庫電力(株)</t>
  </si>
  <si>
    <t>A0448</t>
  </si>
  <si>
    <t>大和ライフエナジア(株)</t>
  </si>
  <si>
    <t>A0451</t>
  </si>
  <si>
    <t>Cocoテラスたがわ(株)</t>
  </si>
  <si>
    <t>A0452</t>
  </si>
  <si>
    <t>東北電力エナジートレーディング(株)</t>
  </si>
  <si>
    <t>A0453</t>
  </si>
  <si>
    <t>(株)横浜環境デザイン</t>
  </si>
  <si>
    <t>A0454</t>
  </si>
  <si>
    <t>(株)まち未来製作所</t>
  </si>
  <si>
    <t>A0455</t>
  </si>
  <si>
    <t>TRENDE(株)</t>
  </si>
  <si>
    <t>A0456</t>
  </si>
  <si>
    <t>(株)どさんこパワー</t>
  </si>
  <si>
    <t>A0457</t>
  </si>
  <si>
    <t>トリニティエナジー(株)</t>
  </si>
  <si>
    <t>A0458</t>
  </si>
  <si>
    <t>ワンワールドエナジー(株)</t>
  </si>
  <si>
    <t>A0461</t>
  </si>
  <si>
    <t>(株)LIXIL TEPCO スマートパートナーズ</t>
  </si>
  <si>
    <t>A0463</t>
  </si>
  <si>
    <t>(株)NEXT ONE</t>
  </si>
  <si>
    <t>A0465</t>
  </si>
  <si>
    <t>(株)ムダカラ</t>
  </si>
  <si>
    <t>A0467</t>
  </si>
  <si>
    <t>(株)アルファライズ</t>
  </si>
  <si>
    <t>A0468</t>
  </si>
  <si>
    <t>おおすみ半島スマートエネルギー(株)</t>
  </si>
  <si>
    <t>A0470</t>
  </si>
  <si>
    <t>おきなわコープエナジー(株)</t>
  </si>
  <si>
    <t>A0471</t>
  </si>
  <si>
    <t>久慈地域エネルギー(株)</t>
  </si>
  <si>
    <t>A0472</t>
  </si>
  <si>
    <t>弘前ガス(株)</t>
  </si>
  <si>
    <t>A0473</t>
  </si>
  <si>
    <t>(株)フォーバルテレコム　</t>
  </si>
  <si>
    <t>A0476</t>
  </si>
  <si>
    <t>(株)ストエネ（旧:(株)グランデータ）</t>
  </si>
  <si>
    <t>A0477</t>
  </si>
  <si>
    <t>くるめエネルギー(株)</t>
  </si>
  <si>
    <t>A0480</t>
  </si>
  <si>
    <t>松阪新電力(株)</t>
  </si>
  <si>
    <t>A0481</t>
  </si>
  <si>
    <t>ヒューリックプロパティソリューション(株)</t>
  </si>
  <si>
    <t>A0482</t>
  </si>
  <si>
    <t>宮崎電力(株)</t>
  </si>
  <si>
    <t>A0490</t>
  </si>
  <si>
    <t>(株)CDエナジーダイレクト</t>
  </si>
  <si>
    <t>A0491</t>
  </si>
  <si>
    <t>Q.ENESTでんき(株)</t>
  </si>
  <si>
    <t>A0493</t>
  </si>
  <si>
    <t>(株)ぶんごおおのエナジー</t>
  </si>
  <si>
    <t>A0494</t>
  </si>
  <si>
    <t>ヴィジョナリーパワー(株)</t>
  </si>
  <si>
    <t>A0495</t>
  </si>
  <si>
    <t>有明エナジー(株)</t>
  </si>
  <si>
    <t>A0499</t>
  </si>
  <si>
    <t>厚木瓦斯(株)</t>
  </si>
  <si>
    <t>A0500</t>
  </si>
  <si>
    <t>(株)エネ・ビジョン</t>
  </si>
  <si>
    <t>A0501</t>
  </si>
  <si>
    <t>イワタニ三重(株)</t>
  </si>
  <si>
    <t>A0502</t>
  </si>
  <si>
    <t>(株)マルヰ</t>
  </si>
  <si>
    <t>A0503</t>
  </si>
  <si>
    <t>大多喜ガス(株)</t>
  </si>
  <si>
    <t>A0506</t>
  </si>
  <si>
    <t>鈴与電力(株)</t>
  </si>
  <si>
    <t>A0507</t>
  </si>
  <si>
    <t>コープ電力(株)</t>
  </si>
  <si>
    <t>A0508</t>
  </si>
  <si>
    <t>生活協同組合コープぐんま</t>
  </si>
  <si>
    <t>A0509</t>
  </si>
  <si>
    <t>とちぎコープ生活協同組合</t>
  </si>
  <si>
    <t>A0510</t>
  </si>
  <si>
    <t>いばらきコープ生活協同組合</t>
  </si>
  <si>
    <t>A0511</t>
  </si>
  <si>
    <t>亀岡ふるさとエナジー(株)</t>
  </si>
  <si>
    <t>A0513</t>
  </si>
  <si>
    <t>(株)織戸組</t>
  </si>
  <si>
    <t>A0514</t>
  </si>
  <si>
    <t>ふかやeパワー(株)</t>
  </si>
  <si>
    <t>A0515</t>
  </si>
  <si>
    <t>(株)Link Life</t>
  </si>
  <si>
    <t>A0518</t>
  </si>
  <si>
    <t>(株)グローバルキャスト</t>
  </si>
  <si>
    <t>A0519</t>
  </si>
  <si>
    <t>日本エネルギー総合システム(株)</t>
  </si>
  <si>
    <t>A0520</t>
  </si>
  <si>
    <t>イワタニ東海(株)</t>
  </si>
  <si>
    <t>A0525</t>
  </si>
  <si>
    <t>(株)ところざわ未来電力</t>
  </si>
  <si>
    <t>A0526</t>
  </si>
  <si>
    <t>朝日ガスエナジー(株)</t>
  </si>
  <si>
    <t>A0528</t>
  </si>
  <si>
    <t>(株)エネファント</t>
  </si>
  <si>
    <t>A0529</t>
  </si>
  <si>
    <t>(株)エスエナジー</t>
  </si>
  <si>
    <t>A0533</t>
  </si>
  <si>
    <t>秩父新電力(株)</t>
  </si>
  <si>
    <t>A0534</t>
  </si>
  <si>
    <t>みよしエナジー(株)</t>
  </si>
  <si>
    <t>A0538</t>
  </si>
  <si>
    <t>綿半パートナーズ(株)</t>
  </si>
  <si>
    <t>A0539</t>
  </si>
  <si>
    <t>(株)karch</t>
  </si>
  <si>
    <t>A0543</t>
  </si>
  <si>
    <t>(株)かみでん里山公社</t>
  </si>
  <si>
    <t>A0546</t>
  </si>
  <si>
    <t>(株)三郷ひまわりエナジー</t>
  </si>
  <si>
    <t>A0547</t>
  </si>
  <si>
    <t>(株)球磨村森電力</t>
  </si>
  <si>
    <t>A0549</t>
  </si>
  <si>
    <t>くこくエネルギー(株)</t>
  </si>
  <si>
    <t>A0550</t>
  </si>
  <si>
    <t>(株)エコログ</t>
  </si>
  <si>
    <t>A0551</t>
  </si>
  <si>
    <t>飯田まちづくり電力(株)</t>
  </si>
  <si>
    <t>A0552</t>
  </si>
  <si>
    <t>イワタニ長野(株)</t>
  </si>
  <si>
    <t>A0553</t>
  </si>
  <si>
    <t>シェルジャパン(株)</t>
  </si>
  <si>
    <t>A0555</t>
  </si>
  <si>
    <t>石油資源開発(株)</t>
  </si>
  <si>
    <t>A0556</t>
  </si>
  <si>
    <t>越後天然ガス(株)</t>
  </si>
  <si>
    <t>A0558</t>
  </si>
  <si>
    <t>坂戸ガス(株)</t>
  </si>
  <si>
    <t>A0559</t>
  </si>
  <si>
    <t>(株)デベロップ</t>
  </si>
  <si>
    <t>A0560</t>
  </si>
  <si>
    <t>(株)テレ・マーカー</t>
  </si>
  <si>
    <t>A0562</t>
  </si>
  <si>
    <t>MGCエネルギー(株)</t>
  </si>
  <si>
    <t>A0565</t>
  </si>
  <si>
    <t>福島フェニックス電力(株)</t>
  </si>
  <si>
    <t>A0566</t>
  </si>
  <si>
    <t>あんしん電力合同会社</t>
  </si>
  <si>
    <t>A0567</t>
  </si>
  <si>
    <t>(株)美作国電力</t>
  </si>
  <si>
    <t>A0570</t>
  </si>
  <si>
    <t>八幡商事(株)</t>
  </si>
  <si>
    <t>A0571</t>
  </si>
  <si>
    <t>おいでんエネルギー(株)</t>
  </si>
  <si>
    <t>A0572</t>
  </si>
  <si>
    <t>(株)イシオ</t>
  </si>
  <si>
    <t>A0573</t>
  </si>
  <si>
    <t>A0574</t>
  </si>
  <si>
    <t>A0577</t>
  </si>
  <si>
    <t>A0578</t>
  </si>
  <si>
    <t>富士山エナジー(株)</t>
  </si>
  <si>
    <t>A0581</t>
  </si>
  <si>
    <t>WSエナジー(株)</t>
  </si>
  <si>
    <t>A0582</t>
  </si>
  <si>
    <t>TERA Energy(株)</t>
  </si>
  <si>
    <t>A0584</t>
  </si>
  <si>
    <t>MCPD(株)</t>
  </si>
  <si>
    <t>A0586</t>
  </si>
  <si>
    <t>グリーンシティこばやし(株)</t>
  </si>
  <si>
    <t>A0587</t>
  </si>
  <si>
    <t>(株)吉田石油店</t>
  </si>
  <si>
    <t>A0589</t>
  </si>
  <si>
    <t>スマートエナジー熊本(株)</t>
  </si>
  <si>
    <t>A0590</t>
  </si>
  <si>
    <t>福山未来エナジー(株)</t>
  </si>
  <si>
    <t>A0596</t>
  </si>
  <si>
    <t>五島市民電力(株)</t>
  </si>
  <si>
    <t>A0598</t>
  </si>
  <si>
    <t>リストプロパティーズ(株)</t>
  </si>
  <si>
    <t>A0602</t>
  </si>
  <si>
    <t>(株)情熱電力</t>
  </si>
  <si>
    <t>A0603</t>
  </si>
  <si>
    <t>バンプーパワートレーディング合同会社</t>
  </si>
  <si>
    <t>A0605</t>
  </si>
  <si>
    <t>(株)センカク</t>
  </si>
  <si>
    <t>A0609</t>
  </si>
  <si>
    <t>(株)ミナサポ</t>
  </si>
  <si>
    <t>A0610</t>
  </si>
  <si>
    <t>唐津電力(株)</t>
  </si>
  <si>
    <t>A0611</t>
  </si>
  <si>
    <t>RE１００電力(株)</t>
  </si>
  <si>
    <t>A0612</t>
  </si>
  <si>
    <t>日本エネルギーファーム(株)</t>
  </si>
  <si>
    <t>A0615</t>
  </si>
  <si>
    <t>(株)イーネットワーク</t>
  </si>
  <si>
    <t>A0617</t>
  </si>
  <si>
    <t>スマートエコエナジー(株)</t>
  </si>
  <si>
    <t>A0620</t>
  </si>
  <si>
    <t>(株)LENETS</t>
  </si>
  <si>
    <t>A0622</t>
  </si>
  <si>
    <t>アイエスジー(株)</t>
  </si>
  <si>
    <t>A0624</t>
  </si>
  <si>
    <t>(株)エネクル</t>
  </si>
  <si>
    <t>A0627</t>
  </si>
  <si>
    <t>フィンテックラボ協同組合</t>
  </si>
  <si>
    <t>A0629</t>
  </si>
  <si>
    <t>新電力新潟(株)</t>
  </si>
  <si>
    <t>A0630</t>
  </si>
  <si>
    <t>(株)タケエイでんき</t>
  </si>
  <si>
    <t>A0631</t>
  </si>
  <si>
    <t>気仙沼グリーンエナジー(株)</t>
  </si>
  <si>
    <t>A0632</t>
  </si>
  <si>
    <t>(株)ユーラスグリーンエナジー</t>
  </si>
  <si>
    <t>A0636</t>
  </si>
  <si>
    <t>生活協同組合コープながの</t>
  </si>
  <si>
    <t>A0637</t>
  </si>
  <si>
    <t>京セラ関電エナジー合同会社</t>
  </si>
  <si>
    <t>A0639</t>
  </si>
  <si>
    <t>酒田天然瓦斯(株)</t>
  </si>
  <si>
    <t>A0640</t>
  </si>
  <si>
    <t>東亜ガス(株)</t>
  </si>
  <si>
    <t>A0641</t>
  </si>
  <si>
    <t>(株)三河の山里コミュニティパワー</t>
  </si>
  <si>
    <t>A0642</t>
  </si>
  <si>
    <t>新潟スワンエナジー(株)</t>
  </si>
  <si>
    <t>A0644</t>
  </si>
  <si>
    <t>グリーンピープルズパワー(株)</t>
  </si>
  <si>
    <t>A0648</t>
  </si>
  <si>
    <t>(株)マルイファシリティーズ</t>
  </si>
  <si>
    <t>A0649</t>
  </si>
  <si>
    <t>(株)デンケン</t>
  </si>
  <si>
    <t>A0650</t>
  </si>
  <si>
    <t>(株)東名</t>
  </si>
  <si>
    <t>A0653</t>
  </si>
  <si>
    <t>NTTアノードエナジー(株)</t>
  </si>
  <si>
    <t>A0654</t>
  </si>
  <si>
    <t>スマート電気(株)</t>
  </si>
  <si>
    <t>A0655</t>
  </si>
  <si>
    <t>(株)唐津パワーホールディングス</t>
  </si>
  <si>
    <t>A0656</t>
  </si>
  <si>
    <t>(株)クリーンエネルギー総合研究所</t>
  </si>
  <si>
    <t>A0659</t>
  </si>
  <si>
    <t>(株)かづのパワー</t>
  </si>
  <si>
    <t>A0660</t>
  </si>
  <si>
    <t>UNIVERGY(株)</t>
  </si>
  <si>
    <t>A0661</t>
  </si>
  <si>
    <t>JR西日本住宅サービス(株)</t>
  </si>
  <si>
    <t>A0664</t>
  </si>
  <si>
    <t>デジタルグリッド(株)</t>
  </si>
  <si>
    <t>A0666</t>
  </si>
  <si>
    <t>(株)西九州させぼパワーズ</t>
  </si>
  <si>
    <t>A0667</t>
  </si>
  <si>
    <t>たんたんエナジー(株)</t>
  </si>
  <si>
    <t>A0668</t>
  </si>
  <si>
    <t>(株)能勢・豊能まちづくり</t>
  </si>
  <si>
    <t>A0670</t>
  </si>
  <si>
    <t>(株)再エネ思考電力</t>
  </si>
  <si>
    <t>A0673</t>
  </si>
  <si>
    <t>(株)ジャパネットサービスイノベーション</t>
  </si>
  <si>
    <t>A0676</t>
  </si>
  <si>
    <t>KBN(株)</t>
  </si>
  <si>
    <t>A0677</t>
  </si>
  <si>
    <t>(株)しおさい電力</t>
  </si>
  <si>
    <t>A0680</t>
  </si>
  <si>
    <t>会津エナジー(株)</t>
  </si>
  <si>
    <t>A0681</t>
  </si>
  <si>
    <t>うべ未来エネルギー(株)</t>
  </si>
  <si>
    <t>A0683</t>
  </si>
  <si>
    <t>永井自動車工業(株)</t>
  </si>
  <si>
    <t>A0685</t>
  </si>
  <si>
    <t>陸前高田しみんエネルギー(株)</t>
  </si>
  <si>
    <t>A0687</t>
  </si>
  <si>
    <t>(株)チャームドライフ</t>
  </si>
  <si>
    <t>A0689</t>
  </si>
  <si>
    <t>スターティア(株)</t>
  </si>
  <si>
    <t>A0690</t>
  </si>
  <si>
    <t>東広島スマートエネルギー(株)</t>
  </si>
  <si>
    <t>A0692</t>
  </si>
  <si>
    <t>旭化成(株)</t>
  </si>
  <si>
    <t>A0693</t>
  </si>
  <si>
    <t>京和ガス(株)</t>
  </si>
  <si>
    <t>A0695</t>
  </si>
  <si>
    <t>KMパワー(株)</t>
  </si>
  <si>
    <t>A0696</t>
  </si>
  <si>
    <t>(株)Okazaki</t>
  </si>
  <si>
    <t>A0698</t>
  </si>
  <si>
    <t>(株)エフオン</t>
  </si>
  <si>
    <t>A0699</t>
  </si>
  <si>
    <t>(株)岡崎さくら電力</t>
  </si>
  <si>
    <t>A0702</t>
  </si>
  <si>
    <t>旭マルヰガス(株)</t>
  </si>
  <si>
    <t>A0703</t>
  </si>
  <si>
    <t>JREトレーディング(株)</t>
  </si>
  <si>
    <t>A0704</t>
  </si>
  <si>
    <t>Castleton Commodities Japan合同会社</t>
  </si>
  <si>
    <t>A0705</t>
  </si>
  <si>
    <t>神戸電力(株)</t>
  </si>
  <si>
    <t>A0708</t>
  </si>
  <si>
    <t>エア・ウォーター・ライフソリューション(株)</t>
  </si>
  <si>
    <t>A0709</t>
  </si>
  <si>
    <t>生活協同組合ひろしま</t>
  </si>
  <si>
    <t>A0711</t>
  </si>
  <si>
    <t>(株)RenoLAbo</t>
  </si>
  <si>
    <t>A0712</t>
  </si>
  <si>
    <t>アークエルテクノロジーズ(株)</t>
  </si>
  <si>
    <t>A0714</t>
  </si>
  <si>
    <t>エルメック(株)</t>
  </si>
  <si>
    <t>A0715</t>
  </si>
  <si>
    <t>(株)オズエナジー</t>
  </si>
  <si>
    <t>A0716</t>
  </si>
  <si>
    <t>レモンガス(株)</t>
  </si>
  <si>
    <t>A0718</t>
  </si>
  <si>
    <t>(株)日本海水</t>
  </si>
  <si>
    <t>A0720</t>
  </si>
  <si>
    <t>しろくま電力(株)(旧:(株)afterFIT)</t>
  </si>
  <si>
    <t>A0721</t>
  </si>
  <si>
    <t>中小企業支援(株)</t>
  </si>
  <si>
    <t>A0722</t>
  </si>
  <si>
    <t>サントラベラーズサービス有限会社</t>
  </si>
  <si>
    <t>A0726</t>
  </si>
  <si>
    <t>八千代エンジニヤリング(株)</t>
  </si>
  <si>
    <t>A0729</t>
  </si>
  <si>
    <t>神楽電力(株)</t>
  </si>
  <si>
    <t>A0730</t>
  </si>
  <si>
    <t>ゆきぐに新電力(株)</t>
  </si>
  <si>
    <t>A0732</t>
  </si>
  <si>
    <t>(株)ながさきサステナエナジー</t>
  </si>
  <si>
    <t>A0733</t>
  </si>
  <si>
    <t>葛尾創生電力(株)</t>
  </si>
  <si>
    <t>A0737</t>
  </si>
  <si>
    <t>(株)ライフエナジー</t>
  </si>
  <si>
    <t>A0738</t>
  </si>
  <si>
    <t>(株)グルーヴエナジー</t>
  </si>
  <si>
    <t>A0739</t>
  </si>
  <si>
    <t>高知ニューエナジー(株)</t>
  </si>
  <si>
    <t>A0740</t>
  </si>
  <si>
    <t>もみじ電力(株)</t>
  </si>
  <si>
    <t>A0742</t>
  </si>
  <si>
    <t>(株)縁人</t>
  </si>
  <si>
    <t>A0743</t>
  </si>
  <si>
    <t>T＆Tエナジー(株)</t>
  </si>
  <si>
    <t>A0744</t>
  </si>
  <si>
    <t>(株)ルーク</t>
  </si>
  <si>
    <t>A0746</t>
  </si>
  <si>
    <t>かけがわ報徳パワー(株)</t>
  </si>
  <si>
    <t>A0747</t>
  </si>
  <si>
    <t>SustainableEnergy(株)</t>
  </si>
  <si>
    <t>A0748</t>
  </si>
  <si>
    <t>穂の国とよはし電力(株)</t>
  </si>
  <si>
    <t>A0752</t>
  </si>
  <si>
    <t>イワタニセントラル北海道(株)</t>
  </si>
  <si>
    <t>A0753</t>
  </si>
  <si>
    <t>ホームタウンエナジー(株)</t>
  </si>
  <si>
    <t>A0754</t>
  </si>
  <si>
    <t>(株)彩の国でんき</t>
  </si>
  <si>
    <t>A0758</t>
  </si>
  <si>
    <t>(株)みやきエネルギー</t>
  </si>
  <si>
    <t>A0759</t>
  </si>
  <si>
    <t>(株)クリーンベンチャー21</t>
  </si>
  <si>
    <t>A0760</t>
  </si>
  <si>
    <t>三河商事(株)</t>
  </si>
  <si>
    <t>A0761</t>
  </si>
  <si>
    <t>(株)みとや</t>
  </si>
  <si>
    <t>A0762</t>
  </si>
  <si>
    <t>三州電力(株)</t>
  </si>
  <si>
    <t>A0764</t>
  </si>
  <si>
    <t>沖縄新エネ開発(株)</t>
  </si>
  <si>
    <t>A0770</t>
  </si>
  <si>
    <t>(株)ほくだん</t>
  </si>
  <si>
    <t>A0772</t>
  </si>
  <si>
    <t>(株)エスコ</t>
  </si>
  <si>
    <t>A0773</t>
  </si>
  <si>
    <t>(株)Qvou</t>
  </si>
  <si>
    <t>A0777</t>
  </si>
  <si>
    <t>住友商事(株)</t>
  </si>
  <si>
    <t>A0781</t>
  </si>
  <si>
    <t>(株)丸の内電力</t>
  </si>
  <si>
    <t>A0783</t>
  </si>
  <si>
    <t>(株)中京電力</t>
  </si>
  <si>
    <t>A0785</t>
  </si>
  <si>
    <t>(株)クオリティプラス</t>
  </si>
  <si>
    <t>A0786</t>
  </si>
  <si>
    <t>Y.W.C.(株)</t>
  </si>
  <si>
    <t>A0792</t>
  </si>
  <si>
    <t>(株)MTエナジー</t>
  </si>
  <si>
    <t>A0793</t>
  </si>
  <si>
    <t>TGオクトパスエナジー(株)</t>
  </si>
  <si>
    <t>A0796</t>
  </si>
  <si>
    <t>東北電力フロンティア(株)</t>
  </si>
  <si>
    <t>A0798</t>
  </si>
  <si>
    <t>(株)ファラデー</t>
  </si>
  <si>
    <t>A0799</t>
  </si>
  <si>
    <t>三菱HCキャピタルエナジー(株)</t>
  </si>
  <si>
    <t>A0800</t>
  </si>
  <si>
    <t>(株)Meisin</t>
  </si>
  <si>
    <t>A0802</t>
  </si>
  <si>
    <t>大塚ビジネスサポート(株)</t>
  </si>
  <si>
    <t>A0803</t>
  </si>
  <si>
    <t>出雲ケーブルビジョン(株)</t>
  </si>
  <si>
    <t>A0806</t>
  </si>
  <si>
    <t>いずも縁結び電力(株)</t>
  </si>
  <si>
    <t>A0807</t>
  </si>
  <si>
    <t>恵那電力(株)</t>
  </si>
  <si>
    <t>A0808</t>
  </si>
  <si>
    <t>宇都宮ライトパワー(株)</t>
  </si>
  <si>
    <t>A0809</t>
  </si>
  <si>
    <t>帯広電力(株)</t>
  </si>
  <si>
    <t>A0810</t>
  </si>
  <si>
    <t>フジ物産(株)</t>
  </si>
  <si>
    <t>A0812</t>
  </si>
  <si>
    <t>金沢エナジー(株)</t>
  </si>
  <si>
    <t>A0817</t>
  </si>
  <si>
    <t>(株)なんとエナジー</t>
  </si>
  <si>
    <t>A0818</t>
  </si>
  <si>
    <t>EDF Trading Japan(株)</t>
  </si>
  <si>
    <t>A0819</t>
  </si>
  <si>
    <t>(株)ボーダレス・ジャパン</t>
  </si>
  <si>
    <t>A0820</t>
  </si>
  <si>
    <t>(株)ワット</t>
  </si>
  <si>
    <t>A0821</t>
  </si>
  <si>
    <t>ジケイ・スペース(株)</t>
  </si>
  <si>
    <t>A0822</t>
  </si>
  <si>
    <t>広島ガス(株)</t>
  </si>
  <si>
    <t>A0824</t>
  </si>
  <si>
    <t>(株)IQg</t>
  </si>
  <si>
    <t>A0825</t>
  </si>
  <si>
    <t>エナジーサプライ(株)</t>
  </si>
  <si>
    <t>A0826</t>
  </si>
  <si>
    <t>(株)FPS</t>
  </si>
  <si>
    <t>A0827</t>
  </si>
  <si>
    <t>大熊るるるん電力(株)</t>
  </si>
  <si>
    <t>A0829</t>
  </si>
  <si>
    <t>(株)レックス</t>
  </si>
  <si>
    <t>A0831</t>
  </si>
  <si>
    <t>おきたま新電力(株)</t>
  </si>
  <si>
    <t>A0835</t>
  </si>
  <si>
    <t>河原実業(株)</t>
  </si>
  <si>
    <t>A0838</t>
  </si>
  <si>
    <t>(株)stc</t>
  </si>
  <si>
    <t>A0839</t>
  </si>
  <si>
    <t>(株)工営エナジー</t>
  </si>
  <si>
    <t>A0840</t>
  </si>
  <si>
    <t>アースシグナルソリューションズ(株)</t>
  </si>
  <si>
    <t>A0843</t>
  </si>
  <si>
    <t>シントウエナジー(株)</t>
  </si>
  <si>
    <t>A0844</t>
  </si>
  <si>
    <t>A0847</t>
  </si>
  <si>
    <t>柏崎あい・あーるエナジー(株)</t>
  </si>
  <si>
    <t>A0849</t>
  </si>
  <si>
    <t>京セラ(株)</t>
  </si>
  <si>
    <t>A0851</t>
  </si>
  <si>
    <t>(株)鳥取みらい電力</t>
  </si>
  <si>
    <t>A0852</t>
  </si>
  <si>
    <t>鈴鹿グリーンエナジー(株)</t>
  </si>
  <si>
    <t>A0853</t>
  </si>
  <si>
    <t>一般社団法人東北自動車産業グリーンエネルギー普及協会</t>
  </si>
  <si>
    <t>A0854</t>
  </si>
  <si>
    <t>刈谷知立みらい電力(株)</t>
  </si>
  <si>
    <t>A0857</t>
  </si>
  <si>
    <t>(株)パワーエックス</t>
  </si>
  <si>
    <t>A0859</t>
  </si>
  <si>
    <t>いちのみや未来エネルギー(株)</t>
  </si>
  <si>
    <t>A0860</t>
  </si>
  <si>
    <t>岡谷酸素(株)</t>
  </si>
  <si>
    <t>A0863</t>
  </si>
  <si>
    <t>(株)絆</t>
  </si>
  <si>
    <t>A0865</t>
  </si>
  <si>
    <t>東北エネルギーサービス(株)</t>
  </si>
  <si>
    <t>A0866</t>
  </si>
  <si>
    <t>(株)いなしきエナジー</t>
  </si>
  <si>
    <t>A0867</t>
  </si>
  <si>
    <t>ながのスマートパワー(株)</t>
  </si>
  <si>
    <t>A0868</t>
  </si>
  <si>
    <t>(株)ホクレン油機サービス</t>
  </si>
  <si>
    <t>A0869</t>
  </si>
  <si>
    <t>(株)JR東日本商事</t>
  </si>
  <si>
    <t>A0870</t>
  </si>
  <si>
    <t>A0871</t>
  </si>
  <si>
    <t>A0873</t>
  </si>
  <si>
    <t>川崎未来エナジー(株)</t>
  </si>
  <si>
    <t>A0874</t>
  </si>
  <si>
    <t>A0877</t>
  </si>
  <si>
    <t>(株)アット東京</t>
  </si>
  <si>
    <t>A0880</t>
  </si>
  <si>
    <t>(株)つるエネルギー</t>
  </si>
  <si>
    <t>A0881</t>
  </si>
  <si>
    <t>川重商事(株)</t>
  </si>
  <si>
    <t>A0882</t>
  </si>
  <si>
    <t>(株)JERA Cross</t>
  </si>
  <si>
    <t>A0883</t>
  </si>
  <si>
    <t>飛騨高山電力(株)</t>
  </si>
  <si>
    <t>A0886</t>
  </si>
  <si>
    <t>(株)リボンエナジー</t>
  </si>
  <si>
    <t>A0888</t>
  </si>
  <si>
    <t>(株)大崎クリエーション</t>
  </si>
  <si>
    <t>A0890</t>
  </si>
  <si>
    <t>(株)UPX</t>
  </si>
  <si>
    <t>A0893</t>
  </si>
  <si>
    <t>Miraiつのエナジー(株)</t>
  </si>
  <si>
    <t>A0903</t>
  </si>
  <si>
    <t>山口グリーンエネルギー(株)</t>
  </si>
  <si>
    <t>A0905</t>
  </si>
  <si>
    <t>(株)はちまんたいジオパワー</t>
  </si>
  <si>
    <t>A0906</t>
  </si>
  <si>
    <t>(株)アイモバイル</t>
  </si>
  <si>
    <t>登録番号</t>
    <rPh sb="0" eb="2">
      <t>トウロク</t>
    </rPh>
    <rPh sb="2" eb="4">
      <t>バンゴウ</t>
    </rPh>
    <phoneticPr fontId="5"/>
  </si>
  <si>
    <t>メニュー名</t>
    <rPh sb="4" eb="5">
      <t>メイ</t>
    </rPh>
    <phoneticPr fontId="5"/>
  </si>
  <si>
    <t>契約メニューの有無</t>
    <rPh sb="0" eb="2">
      <t>ケイヤク</t>
    </rPh>
    <rPh sb="7" eb="9">
      <t>ウム</t>
    </rPh>
    <phoneticPr fontId="5"/>
  </si>
  <si>
    <t>国公表値</t>
    <rPh sb="0" eb="1">
      <t>クニ</t>
    </rPh>
    <rPh sb="1" eb="4">
      <t>コウヒョウチ</t>
    </rPh>
    <phoneticPr fontId="5"/>
  </si>
  <si>
    <t>国代替値</t>
    <rPh sb="0" eb="1">
      <t>クニ</t>
    </rPh>
    <rPh sb="1" eb="4">
      <t>ダイタイチ</t>
    </rPh>
    <phoneticPr fontId="5"/>
  </si>
  <si>
    <t>計量器の検定</t>
    <rPh sb="0" eb="3">
      <t>ケイリョウキ</t>
    </rPh>
    <rPh sb="4" eb="6">
      <t>ケンテイ</t>
    </rPh>
    <phoneticPr fontId="5"/>
  </si>
  <si>
    <t>低圧用</t>
    <rPh sb="0" eb="3">
      <t>テイアツヨウ</t>
    </rPh>
    <phoneticPr fontId="5"/>
  </si>
  <si>
    <t>中間圧用</t>
    <rPh sb="0" eb="2">
      <t>チュウカン</t>
    </rPh>
    <rPh sb="2" eb="3">
      <t>アツ</t>
    </rPh>
    <rPh sb="3" eb="4">
      <t>ヨウ</t>
    </rPh>
    <phoneticPr fontId="5"/>
  </si>
  <si>
    <t>電気・熱_都市ガス</t>
    <phoneticPr fontId="5"/>
  </si>
  <si>
    <t>再エネ電気・熱</t>
    <rPh sb="0" eb="1">
      <t>サイ</t>
    </rPh>
    <rPh sb="3" eb="5">
      <t>デンキ</t>
    </rPh>
    <rPh sb="6" eb="7">
      <t>ネツ</t>
    </rPh>
    <phoneticPr fontId="5"/>
  </si>
  <si>
    <t>電気の使用_一般送配電事業者の電線路を介して供給された買電</t>
    <rPh sb="0" eb="2">
      <t>デンキ</t>
    </rPh>
    <rPh sb="3" eb="5">
      <t>シヨウ</t>
    </rPh>
    <phoneticPr fontId="5"/>
  </si>
  <si>
    <t>①一般送配電事業者の電線路を介して供給された買電_種類</t>
    <rPh sb="1" eb="3">
      <t>イッパン</t>
    </rPh>
    <rPh sb="3" eb="9">
      <t>ソウハイデンジギョウシャ</t>
    </rPh>
    <rPh sb="10" eb="13">
      <t>デンセンロ</t>
    </rPh>
    <rPh sb="14" eb="15">
      <t>カイ</t>
    </rPh>
    <rPh sb="17" eb="19">
      <t>キョウキュウ</t>
    </rPh>
    <rPh sb="22" eb="24">
      <t>バイデン</t>
    </rPh>
    <rPh sb="25" eb="27">
      <t>シュルイ</t>
    </rPh>
    <phoneticPr fontId="5"/>
  </si>
  <si>
    <t>①事業所内供給_排出活動の種類　</t>
    <rPh sb="1" eb="4">
      <t>ジギョウジョ</t>
    </rPh>
    <rPh sb="4" eb="5">
      <t>ナイ</t>
    </rPh>
    <rPh sb="5" eb="7">
      <t>キョウキュウ</t>
    </rPh>
    <phoneticPr fontId="5"/>
  </si>
  <si>
    <t>②算定対象から除く_排出活動の種類　</t>
    <rPh sb="1" eb="3">
      <t>サンテイ</t>
    </rPh>
    <rPh sb="3" eb="5">
      <t>タイショウ</t>
    </rPh>
    <rPh sb="7" eb="8">
      <t>ノゾ</t>
    </rPh>
    <phoneticPr fontId="5"/>
  </si>
  <si>
    <t>①②共通_燃料種類</t>
    <rPh sb="5" eb="7">
      <t>ネンリョウ</t>
    </rPh>
    <rPh sb="7" eb="9">
      <t>シュルイ</t>
    </rPh>
    <phoneticPr fontId="5"/>
  </si>
  <si>
    <t>①熱の使用_種類</t>
    <rPh sb="1" eb="2">
      <t>ネツ</t>
    </rPh>
    <rPh sb="3" eb="5">
      <t>シヨウ</t>
    </rPh>
    <rPh sb="6" eb="8">
      <t>シュルイ</t>
    </rPh>
    <phoneticPr fontId="5"/>
  </si>
  <si>
    <t>①都市ガスの使用_種類</t>
    <rPh sb="1" eb="3">
      <t>トシ</t>
    </rPh>
    <rPh sb="6" eb="8">
      <t>シヨウ</t>
    </rPh>
    <rPh sb="9" eb="11">
      <t>シュルイ</t>
    </rPh>
    <phoneticPr fontId="5"/>
  </si>
  <si>
    <t>②_種類_外部供給以外</t>
    <rPh sb="2" eb="4">
      <t>シュルイ</t>
    </rPh>
    <rPh sb="5" eb="7">
      <t>ガイブ</t>
    </rPh>
    <rPh sb="7" eb="9">
      <t>キョウキュウ</t>
    </rPh>
    <rPh sb="9" eb="11">
      <t>イガイ</t>
    </rPh>
    <phoneticPr fontId="5"/>
  </si>
  <si>
    <t>②_種類_外部供給</t>
    <rPh sb="2" eb="4">
      <t>シュルイ</t>
    </rPh>
    <rPh sb="5" eb="7">
      <t>ガイブ</t>
    </rPh>
    <rPh sb="7" eb="9">
      <t>キョウキュウ</t>
    </rPh>
    <phoneticPr fontId="5"/>
  </si>
  <si>
    <t>電気の使用_一般送配電事業者の電線路以外</t>
    <rPh sb="0" eb="2">
      <t>デンキ</t>
    </rPh>
    <rPh sb="3" eb="5">
      <t>シヨウ</t>
    </rPh>
    <phoneticPr fontId="5"/>
  </si>
  <si>
    <t>①一般送配電事業者の電線路以外_種類</t>
    <rPh sb="16" eb="18">
      <t>シュルイ</t>
    </rPh>
    <phoneticPr fontId="5"/>
  </si>
  <si>
    <t>③算定対象から除く_排出活動の種類</t>
    <rPh sb="1" eb="5">
      <t>サンテイタイショウ</t>
    </rPh>
    <rPh sb="7" eb="8">
      <t>ノゾ</t>
    </rPh>
    <rPh sb="10" eb="12">
      <t>ハイシュツ</t>
    </rPh>
    <rPh sb="12" eb="14">
      <t>カツドウ</t>
    </rPh>
    <rPh sb="15" eb="17">
      <t>シュルイ</t>
    </rPh>
    <phoneticPr fontId="5"/>
  </si>
  <si>
    <t>電気_オフサイト型PPA</t>
    <rPh sb="0" eb="2">
      <t>デンキ</t>
    </rPh>
    <rPh sb="8" eb="9">
      <t>ガタ</t>
    </rPh>
    <phoneticPr fontId="5"/>
  </si>
  <si>
    <t>熱_産業用蒸気</t>
    <rPh sb="0" eb="1">
      <t>ネツ</t>
    </rPh>
    <phoneticPr fontId="5"/>
  </si>
  <si>
    <t>熱_産業用以外の蒸気</t>
    <rPh sb="0" eb="1">
      <t>ネツ</t>
    </rPh>
    <phoneticPr fontId="5"/>
  </si>
  <si>
    <t>熱_温水</t>
    <rPh sb="0" eb="1">
      <t>ネツ</t>
    </rPh>
    <phoneticPr fontId="5"/>
  </si>
  <si>
    <t>熱_冷水</t>
    <rPh sb="0" eb="1">
      <t>ネツ</t>
    </rPh>
    <phoneticPr fontId="5"/>
  </si>
  <si>
    <t>電気_オンサイト型PPA</t>
    <rPh sb="0" eb="2">
      <t>デンキ</t>
    </rPh>
    <rPh sb="8" eb="9">
      <t>ガタ</t>
    </rPh>
    <phoneticPr fontId="5"/>
  </si>
  <si>
    <t>電気_自家発電</t>
    <rPh sb="0" eb="2">
      <t>デンキ</t>
    </rPh>
    <rPh sb="3" eb="7">
      <t>ジカハツデン</t>
    </rPh>
    <phoneticPr fontId="5"/>
  </si>
  <si>
    <t>電気_非燃料由来の非化石電気</t>
    <rPh sb="0" eb="2">
      <t>デンキ</t>
    </rPh>
    <rPh sb="3" eb="4">
      <t>ヒ</t>
    </rPh>
    <rPh sb="4" eb="6">
      <t>ネンリョウ</t>
    </rPh>
    <rPh sb="6" eb="8">
      <t>ユライ</t>
    </rPh>
    <rPh sb="9" eb="12">
      <t>ヒカセキ</t>
    </rPh>
    <rPh sb="12" eb="14">
      <t>デンキ</t>
    </rPh>
    <phoneticPr fontId="5"/>
  </si>
  <si>
    <t>電気_電気事業者からの買電</t>
    <rPh sb="0" eb="2">
      <t>デンキ</t>
    </rPh>
    <rPh sb="3" eb="5">
      <t>デンキ</t>
    </rPh>
    <rPh sb="5" eb="8">
      <t>ジギョウシャ</t>
    </rPh>
    <rPh sb="11" eb="13">
      <t>バイデン</t>
    </rPh>
    <phoneticPr fontId="5"/>
  </si>
  <si>
    <t>再エネの種類</t>
    <rPh sb="0" eb="1">
      <t>サイ</t>
    </rPh>
    <rPh sb="4" eb="6">
      <t>シュルイ</t>
    </rPh>
    <phoneticPr fontId="5"/>
  </si>
  <si>
    <t>太陽光</t>
    <rPh sb="0" eb="3">
      <t>タイヨウコウ</t>
    </rPh>
    <phoneticPr fontId="8"/>
  </si>
  <si>
    <t>風力</t>
    <rPh sb="0" eb="2">
      <t>フウリョク</t>
    </rPh>
    <phoneticPr fontId="8"/>
  </si>
  <si>
    <t>地熱</t>
    <rPh sb="0" eb="2">
      <t>チネツ</t>
    </rPh>
    <phoneticPr fontId="8"/>
  </si>
  <si>
    <t>水力</t>
    <rPh sb="0" eb="2">
      <t>スイリョク</t>
    </rPh>
    <phoneticPr fontId="8"/>
  </si>
  <si>
    <t>温泉熱</t>
    <rPh sb="0" eb="3">
      <t>オンセンネツ</t>
    </rPh>
    <phoneticPr fontId="8"/>
  </si>
  <si>
    <t>雪氷熱</t>
    <rPh sb="0" eb="3">
      <t>セッピョウネツ</t>
    </rPh>
    <phoneticPr fontId="8"/>
  </si>
  <si>
    <t>バイオマス</t>
    <phoneticPr fontId="5"/>
  </si>
  <si>
    <t>任意_海水熱</t>
    <rPh sb="0" eb="2">
      <t>ニンイ</t>
    </rPh>
    <phoneticPr fontId="5"/>
  </si>
  <si>
    <t>任意_河川水熱</t>
    <rPh sb="0" eb="2">
      <t>ニンイ</t>
    </rPh>
    <phoneticPr fontId="5"/>
  </si>
  <si>
    <t>任意_地下水熱</t>
    <rPh sb="0" eb="2">
      <t>ニンイ</t>
    </rPh>
    <phoneticPr fontId="5"/>
  </si>
  <si>
    <t>任意_地中熱</t>
    <rPh sb="0" eb="2">
      <t>ニンイ</t>
    </rPh>
    <phoneticPr fontId="5"/>
  </si>
  <si>
    <t>バイオマス燃料の種類</t>
    <rPh sb="5" eb="7">
      <t>ネンリョウ</t>
    </rPh>
    <rPh sb="8" eb="10">
      <t>シュルイ</t>
    </rPh>
    <phoneticPr fontId="5"/>
  </si>
  <si>
    <t>黒液</t>
  </si>
  <si>
    <t>木材</t>
  </si>
  <si>
    <t>木質廃材</t>
  </si>
  <si>
    <t>バイオエタノール</t>
  </si>
  <si>
    <t>バイオディーゼル</t>
  </si>
  <si>
    <t>バイオガス</t>
  </si>
  <si>
    <t>その他バイオマス</t>
  </si>
  <si>
    <t>環境価値</t>
    <rPh sb="0" eb="2">
      <t>カンキョウ</t>
    </rPh>
    <rPh sb="2" eb="4">
      <t>カチ</t>
    </rPh>
    <phoneticPr fontId="5"/>
  </si>
  <si>
    <t>電気</t>
    <rPh sb="0" eb="2">
      <t>デンキ</t>
    </rPh>
    <phoneticPr fontId="5"/>
  </si>
  <si>
    <t>GJ/千kWh</t>
    <rPh sb="3" eb="4">
      <t>セン</t>
    </rPh>
    <phoneticPr fontId="5"/>
  </si>
  <si>
    <t>設定しない</t>
    <rPh sb="0" eb="2">
      <t>セッテイ</t>
    </rPh>
    <phoneticPr fontId="5"/>
  </si>
  <si>
    <r>
      <t>t-CO</t>
    </r>
    <r>
      <rPr>
        <vertAlign val="subscript"/>
        <sz val="11"/>
        <color theme="1"/>
        <rFont val="游ゴシック"/>
        <family val="3"/>
        <charset val="128"/>
        <scheme val="minor"/>
      </rPr>
      <t>2</t>
    </r>
    <r>
      <rPr>
        <sz val="11"/>
        <color theme="1"/>
        <rFont val="游ゴシック"/>
        <family val="3"/>
        <charset val="128"/>
        <scheme val="minor"/>
      </rPr>
      <t>/千kWh</t>
    </r>
    <rPh sb="6" eb="7">
      <t>セン</t>
    </rPh>
    <phoneticPr fontId="5"/>
  </si>
  <si>
    <t>事業者記入値</t>
    <rPh sb="0" eb="3">
      <t>ジギョウシャ</t>
    </rPh>
    <rPh sb="3" eb="6">
      <t>キニュウチ</t>
    </rPh>
    <phoneticPr fontId="5"/>
  </si>
  <si>
    <t>GJ/GJ</t>
    <phoneticPr fontId="5"/>
  </si>
  <si>
    <t>気体単位変換</t>
    <rPh sb="0" eb="2">
      <t>キタイ</t>
    </rPh>
    <rPh sb="2" eb="4">
      <t>タンイ</t>
    </rPh>
    <rPh sb="4" eb="6">
      <t>ヘンカン</t>
    </rPh>
    <phoneticPr fontId="5"/>
  </si>
  <si>
    <r>
      <t>t-CO</t>
    </r>
    <r>
      <rPr>
        <vertAlign val="subscript"/>
        <sz val="11"/>
        <color theme="1"/>
        <rFont val="游ゴシック"/>
        <family val="3"/>
        <charset val="128"/>
        <scheme val="minor"/>
      </rPr>
      <t>2</t>
    </r>
    <r>
      <rPr>
        <sz val="11"/>
        <color theme="1"/>
        <rFont val="游ゴシック"/>
        <family val="3"/>
        <charset val="128"/>
        <scheme val="minor"/>
      </rPr>
      <t>/GJ</t>
    </r>
    <phoneticPr fontId="5"/>
  </si>
  <si>
    <t>第3計画期間（第3計画期間基準での目標設定ガス排出量計算用）</t>
    <rPh sb="0" eb="1">
      <t>ダイ</t>
    </rPh>
    <rPh sb="2" eb="4">
      <t>ケイカク</t>
    </rPh>
    <rPh sb="4" eb="6">
      <t>キカン</t>
    </rPh>
    <rPh sb="7" eb="8">
      <t>ダイ</t>
    </rPh>
    <rPh sb="9" eb="13">
      <t>ケイカクキカン</t>
    </rPh>
    <rPh sb="13" eb="15">
      <t>キジュン</t>
    </rPh>
    <rPh sb="17" eb="19">
      <t>モクヒョウ</t>
    </rPh>
    <rPh sb="19" eb="21">
      <t>セッテイ</t>
    </rPh>
    <rPh sb="23" eb="25">
      <t>ハイシュツ</t>
    </rPh>
    <rPh sb="25" eb="26">
      <t>リョウ</t>
    </rPh>
    <rPh sb="26" eb="29">
      <t>ケイサンヨウ</t>
    </rPh>
    <phoneticPr fontId="5"/>
  </si>
  <si>
    <t>第3計画期間（第3計画期間基準での目標設定ガス排出量計算用）</t>
    <rPh sb="0" eb="1">
      <t>ダイ</t>
    </rPh>
    <rPh sb="2" eb="4">
      <t>ケイカク</t>
    </rPh>
    <rPh sb="4" eb="6">
      <t>キカン</t>
    </rPh>
    <phoneticPr fontId="5"/>
  </si>
  <si>
    <r>
      <t>GJ/千m</t>
    </r>
    <r>
      <rPr>
        <vertAlign val="superscript"/>
        <sz val="11"/>
        <color theme="1"/>
        <rFont val="游ゴシック"/>
        <family val="3"/>
        <charset val="128"/>
        <scheme val="minor"/>
      </rPr>
      <t>3</t>
    </r>
    <r>
      <rPr>
        <sz val="11"/>
        <color theme="1"/>
        <rFont val="游ゴシック"/>
        <family val="3"/>
        <charset val="128"/>
        <scheme val="minor"/>
      </rPr>
      <t>(SATP)</t>
    </r>
    <rPh sb="3" eb="4">
      <t>セン</t>
    </rPh>
    <phoneticPr fontId="5"/>
  </si>
  <si>
    <t>t-C/GJ</t>
    <phoneticPr fontId="5"/>
  </si>
  <si>
    <r>
      <t>t-CO</t>
    </r>
    <r>
      <rPr>
        <vertAlign val="subscript"/>
        <sz val="11"/>
        <color theme="1"/>
        <rFont val="游ゴシック"/>
        <family val="3"/>
        <charset val="128"/>
        <scheme val="minor"/>
      </rPr>
      <t>2</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t>
    </r>
    <rPh sb="6" eb="7">
      <t>セン</t>
    </rPh>
    <phoneticPr fontId="5"/>
  </si>
  <si>
    <t>排出係数設定根拠_電気・熱</t>
    <rPh sb="0" eb="2">
      <t>ハイシュツ</t>
    </rPh>
    <rPh sb="2" eb="4">
      <t>ケイスウ</t>
    </rPh>
    <rPh sb="4" eb="6">
      <t>セッテイ</t>
    </rPh>
    <rPh sb="6" eb="8">
      <t>コンキョ</t>
    </rPh>
    <rPh sb="9" eb="11">
      <t>デンキ</t>
    </rPh>
    <rPh sb="12" eb="13">
      <t>ネツ</t>
    </rPh>
    <phoneticPr fontId="5"/>
  </si>
  <si>
    <t>排出係数設定根拠_都市ガス</t>
    <rPh sb="0" eb="2">
      <t>ハイシュツ</t>
    </rPh>
    <rPh sb="2" eb="4">
      <t>ケイスウ</t>
    </rPh>
    <rPh sb="4" eb="6">
      <t>セッテイ</t>
    </rPh>
    <rPh sb="6" eb="8">
      <t>コンキョ</t>
    </rPh>
    <rPh sb="9" eb="11">
      <t>トシ</t>
    </rPh>
    <phoneticPr fontId="5"/>
  </si>
  <si>
    <t>メーター種_都市ガス</t>
    <rPh sb="4" eb="5">
      <t>シュ</t>
    </rPh>
    <rPh sb="6" eb="8">
      <t>トシ</t>
    </rPh>
    <phoneticPr fontId="5"/>
  </si>
  <si>
    <t>バイオマス燃料種_持続可能性</t>
    <rPh sb="5" eb="7">
      <t>ネンリョウ</t>
    </rPh>
    <rPh sb="7" eb="8">
      <t>シュ</t>
    </rPh>
    <rPh sb="9" eb="11">
      <t>ジゾク</t>
    </rPh>
    <rPh sb="11" eb="14">
      <t>カノウセイ</t>
    </rPh>
    <phoneticPr fontId="5"/>
  </si>
  <si>
    <t>排出係数設定根拠_環境価値有の場合</t>
    <rPh sb="0" eb="2">
      <t>ハイシュツ</t>
    </rPh>
    <rPh sb="2" eb="4">
      <t>ケイスウ</t>
    </rPh>
    <rPh sb="4" eb="6">
      <t>セッテイ</t>
    </rPh>
    <rPh sb="6" eb="8">
      <t>コンキョ</t>
    </rPh>
    <rPh sb="9" eb="11">
      <t>カンキョウ</t>
    </rPh>
    <rPh sb="11" eb="13">
      <t>カチ</t>
    </rPh>
    <rPh sb="13" eb="14">
      <t>アリ</t>
    </rPh>
    <rPh sb="15" eb="17">
      <t>バアイ</t>
    </rPh>
    <phoneticPr fontId="5"/>
  </si>
  <si>
    <t>国代替値</t>
    <rPh sb="0" eb="4">
      <t>クニダイタイチ</t>
    </rPh>
    <phoneticPr fontId="5"/>
  </si>
  <si>
    <t>排出係数設定根拠_環境価値無の場合</t>
    <rPh sb="0" eb="2">
      <t>ハイシュツ</t>
    </rPh>
    <rPh sb="2" eb="4">
      <t>ケイスウ</t>
    </rPh>
    <rPh sb="4" eb="6">
      <t>セッテイ</t>
    </rPh>
    <rPh sb="6" eb="8">
      <t>コンキョ</t>
    </rPh>
    <rPh sb="9" eb="11">
      <t>カンキョウ</t>
    </rPh>
    <rPh sb="11" eb="13">
      <t>カチ</t>
    </rPh>
    <rPh sb="13" eb="14">
      <t>ナ</t>
    </rPh>
    <rPh sb="15" eb="17">
      <t>バアイ</t>
    </rPh>
    <phoneticPr fontId="5"/>
  </si>
  <si>
    <t>燃料
電気・熱_都市ガス
再エネ電気・熱</t>
    <rPh sb="0" eb="2">
      <t>ネンリョウ</t>
    </rPh>
    <rPh sb="13" eb="14">
      <t>サイ</t>
    </rPh>
    <rPh sb="16" eb="18">
      <t>デンキ</t>
    </rPh>
    <rPh sb="19" eb="20">
      <t>ネツ</t>
    </rPh>
    <phoneticPr fontId="5"/>
  </si>
  <si>
    <t>千kWh</t>
    <rPh sb="0" eb="1">
      <t>セン</t>
    </rPh>
    <phoneticPr fontId="5"/>
  </si>
  <si>
    <t>MJ</t>
    <phoneticPr fontId="5"/>
  </si>
  <si>
    <t>アンモニア</t>
  </si>
  <si>
    <t>セメントクリンカーの製造</t>
  </si>
  <si>
    <t>ソーダ灰の製造</t>
  </si>
  <si>
    <t>廃棄物の焼却：廃油（植物性のもの及び動物性のもの並びに特定有害産業廃棄物を除く）</t>
  </si>
  <si>
    <t xml:space="preserve">廃棄物の焼却：廃油（特定有害産業廃棄物に限る。） </t>
  </si>
  <si>
    <t>廃棄物の焼却：合成繊維</t>
  </si>
  <si>
    <t>廃棄物の焼却：廃タイヤ</t>
  </si>
  <si>
    <t>廃棄物の焼却：合成繊維及び廃ﾀｲﾔ以外の廃ﾌﾟﾗｽﾁｯｸ類（産業廃棄物）</t>
  </si>
  <si>
    <t>廃棄物の焼却：ポリエチレンテレフタレート製の容器</t>
  </si>
  <si>
    <t>廃棄物の焼却：廃プラスチック類（合成繊維、廃タイヤ、廃プラスチック類（産業廃棄物であるものに限る。）及びポリエチレンテレフタレート製の容器を除く。）</t>
  </si>
  <si>
    <t>廃棄物の焼却：紙くず</t>
  </si>
  <si>
    <t>廃棄物の焼却：紙おむつ</t>
  </si>
  <si>
    <t>生石灰の製造:石灰石</t>
  </si>
  <si>
    <t>生石灰の製造:ドロマイト</t>
  </si>
  <si>
    <t>ソーダ石灰ガラスの製造:石灰石</t>
  </si>
  <si>
    <t>ソーダ石灰ガラスの製造:ドロマイト</t>
  </si>
  <si>
    <t>ソーダ石灰ガラスの製造:ソーダ灰（国内産）</t>
  </si>
  <si>
    <t>ソーダ石灰ガラスの製造:ソーダ灰（輸入）</t>
  </si>
  <si>
    <t>ソーダ石灰ガラスの製造:炭酸バリウム</t>
  </si>
  <si>
    <t>ソーダ石灰ガラスの製造:炭酸カリウム</t>
  </si>
  <si>
    <t>ソーダ石灰ガラスの製造:炭酸ストロンチウム</t>
  </si>
  <si>
    <t>ソーダ石灰ガラスの製造:炭酸リチウム</t>
  </si>
  <si>
    <t>その他用途・プロセスでの炭酸塩の使用:石灰石</t>
  </si>
  <si>
    <t>その他用途・プロセスでの炭酸塩の使用:ドロマイト</t>
  </si>
  <si>
    <t>その他用途・プロセスでの炭酸塩の使用:ソーダ灰（国内産）</t>
  </si>
  <si>
    <t>その他用途・プロセスでの炭酸塩の使用:ソーダ灰（輸入）</t>
  </si>
  <si>
    <t>アンモニアの製造:石炭</t>
  </si>
  <si>
    <t>アンモニアの製造:石油コークス</t>
  </si>
  <si>
    <t>アンモニアの製造:ナフサ</t>
  </si>
  <si>
    <t>アンモニアの製造:液化天然ガス（LNG)</t>
  </si>
  <si>
    <t>アンモニアの製造:天然ガス（液化天然ガス（LNG)を除く）</t>
  </si>
  <si>
    <t>炭化けい素の製造</t>
  </si>
  <si>
    <t>炭化カルシウムの製造:製造された生石灰を炭化カルシウムの原料として使用した場合の生石灰の製造</t>
  </si>
  <si>
    <t>炭化カルシウムの製造:炭化カルシウムの製造</t>
  </si>
  <si>
    <t>二酸化チタンの製造:二酸化チタンをルチルから分離させる方法</t>
  </si>
  <si>
    <t>二酸化チタンの製造:塩化チタンと酸素を化学反応させる方法</t>
  </si>
  <si>
    <t>エチレン等の製造:エチレン（ナフサからの製造）</t>
  </si>
  <si>
    <t>エチレン等の製造:エチレン（軽油からの製造）</t>
  </si>
  <si>
    <t>エチレン等の製造:エチレン（エタンからの製造）</t>
  </si>
  <si>
    <t>エチレン等の製造:エチレン（プロパンからの製造）</t>
  </si>
  <si>
    <t>エチレン等の製造:エチレン（ブタンからの製造）</t>
  </si>
  <si>
    <t>エチレン等の製造:エチレン（その他原料からの製造）</t>
  </si>
  <si>
    <t>エチレン等の製造:クロロエチレン</t>
  </si>
  <si>
    <t>エチレン等の製造:酸化エチレン</t>
  </si>
  <si>
    <t>エチレン等の製造:アクリロニトリル</t>
  </si>
  <si>
    <t>エチレン等の製造:カーボンブラック</t>
  </si>
  <si>
    <t>エチレン等の製造:無水フタル酸</t>
  </si>
  <si>
    <t>エチレン等の製造:無水マレイン酸</t>
  </si>
  <si>
    <t>エチレン等の製造:水素</t>
  </si>
  <si>
    <t>カルシウムカーバイドを原料としたアセチレンの使用</t>
  </si>
  <si>
    <t>電気炉における炭素電極の使用</t>
  </si>
  <si>
    <t>鉄鋼の製造における鉱物の使用:石灰石</t>
  </si>
  <si>
    <t>鉄鋼の製造における鉱物の使用:ドロマイト</t>
  </si>
  <si>
    <t>鉄鋼の製造において生じるガスの燃焼（フレアリング）:高炉がス</t>
  </si>
  <si>
    <t>鉄鋼の製造において生じるガスの燃焼（フレアリング）:転炉ガス</t>
  </si>
  <si>
    <t>潤滑油等の使用:潤滑油</t>
  </si>
  <si>
    <t>潤滑油等の使用:グリース</t>
  </si>
  <si>
    <t>潤滑油等の使用:パラフィンろう</t>
  </si>
  <si>
    <t>非メタン揮発性有機化合物（NMVOC)を含む溶剤の焼却</t>
  </si>
  <si>
    <t>ドライアイスの製造</t>
  </si>
  <si>
    <t>ドライアイスの使用</t>
  </si>
  <si>
    <t>炭酸ガスのボンベへの封入</t>
  </si>
  <si>
    <t xml:space="preserve">炭酸ガスの使用に伴い排出されたCO2の量 </t>
  </si>
  <si>
    <t>その他活動によるCO2排出量1</t>
  </si>
  <si>
    <t>その他活動によるCO2排出量2</t>
  </si>
  <si>
    <t>その他活動によるCO2排出量3</t>
  </si>
  <si>
    <t>シート　燃料</t>
    <rPh sb="4" eb="6">
      <t>ネンリョウ</t>
    </rPh>
    <phoneticPr fontId="5"/>
  </si>
  <si>
    <t>シート　非化石燃料</t>
    <rPh sb="4" eb="9">
      <t>ヒカセキネンリョウ</t>
    </rPh>
    <phoneticPr fontId="5"/>
  </si>
  <si>
    <t>シート　その他ガス</t>
    <rPh sb="6" eb="7">
      <t>ホカ</t>
    </rPh>
    <phoneticPr fontId="5"/>
  </si>
  <si>
    <t>シート　証書_森林吸収量</t>
    <rPh sb="4" eb="6">
      <t>ショウショ</t>
    </rPh>
    <rPh sb="7" eb="12">
      <t>シンリンキュウシュウリョウ</t>
    </rPh>
    <phoneticPr fontId="5"/>
  </si>
  <si>
    <t>グリーン熱証書</t>
    <rPh sb="4" eb="5">
      <t>ネツ</t>
    </rPh>
    <rPh sb="5" eb="7">
      <t>ショウショ</t>
    </rPh>
    <phoneticPr fontId="5"/>
  </si>
  <si>
    <t>シート　電気・熱_都市ガス、再エネ電気・熱</t>
    <rPh sb="4" eb="6">
      <t>デンキ</t>
    </rPh>
    <rPh sb="7" eb="8">
      <t>ネツ</t>
    </rPh>
    <rPh sb="9" eb="11">
      <t>トシ</t>
    </rPh>
    <rPh sb="14" eb="15">
      <t>サイ</t>
    </rPh>
    <rPh sb="17" eb="19">
      <t>デンキ</t>
    </rPh>
    <rPh sb="20" eb="21">
      <t>ネツ</t>
    </rPh>
    <phoneticPr fontId="5"/>
  </si>
  <si>
    <t>証書_森林吸収量</t>
    <rPh sb="0" eb="2">
      <t>ショウショ</t>
    </rPh>
    <rPh sb="3" eb="5">
      <t>シンリン</t>
    </rPh>
    <rPh sb="5" eb="8">
      <t>キュウシュウリョウ</t>
    </rPh>
    <phoneticPr fontId="5"/>
  </si>
  <si>
    <t>種類</t>
    <rPh sb="0" eb="2">
      <t>シュルイ</t>
    </rPh>
    <phoneticPr fontId="5"/>
  </si>
  <si>
    <t>揮発油_ガソリン</t>
    <phoneticPr fontId="6"/>
  </si>
  <si>
    <t>ナフサ</t>
    <phoneticPr fontId="5"/>
  </si>
  <si>
    <t>液化石油ガス_LPG_プロパン</t>
    <phoneticPr fontId="5"/>
  </si>
  <si>
    <t>液化石油ガス_LPG_ブタン</t>
    <phoneticPr fontId="5"/>
  </si>
  <si>
    <t>コールタール</t>
    <phoneticPr fontId="5"/>
  </si>
  <si>
    <t>コークス炉ガス</t>
    <phoneticPr fontId="5"/>
  </si>
  <si>
    <t>７</t>
  </si>
  <si>
    <t>（１）都市ガス・ＬＰＧ以外の気体化石燃料</t>
    <rPh sb="16" eb="18">
      <t>カセキ</t>
    </rPh>
    <phoneticPr fontId="6"/>
  </si>
  <si>
    <t>（２）その他の化石燃料</t>
    <rPh sb="5" eb="6">
      <t>タ</t>
    </rPh>
    <rPh sb="7" eb="9">
      <t>カセキ</t>
    </rPh>
    <rPh sb="9" eb="11">
      <t>ネンリョウ</t>
    </rPh>
    <phoneticPr fontId="6"/>
  </si>
  <si>
    <t>換算係数</t>
    <rPh sb="0" eb="2">
      <t>カンザン</t>
    </rPh>
    <rPh sb="2" eb="4">
      <t>ケイスウ</t>
    </rPh>
    <phoneticPr fontId="5"/>
  </si>
  <si>
    <t>換算単位</t>
    <rPh sb="0" eb="2">
      <t>カンザン</t>
    </rPh>
    <rPh sb="2" eb="4">
      <t>タンイ</t>
    </rPh>
    <phoneticPr fontId="5"/>
  </si>
  <si>
    <t>石油系炭化水素ガス</t>
    <rPh sb="0" eb="3">
      <t>セキユケイ</t>
    </rPh>
    <rPh sb="3" eb="7">
      <t>タンカスイソ</t>
    </rPh>
    <phoneticPr fontId="5"/>
  </si>
  <si>
    <t>高炉ガス_発電用</t>
    <rPh sb="0" eb="2">
      <t>コウロ</t>
    </rPh>
    <rPh sb="5" eb="7">
      <t>ハツデン</t>
    </rPh>
    <rPh sb="7" eb="8">
      <t>ヨウ</t>
    </rPh>
    <phoneticPr fontId="6"/>
  </si>
  <si>
    <r>
      <t>m</t>
    </r>
    <r>
      <rPr>
        <vertAlign val="superscript"/>
        <sz val="11"/>
        <color theme="1"/>
        <rFont val="游ゴシック"/>
        <family val="3"/>
        <charset val="128"/>
        <scheme val="minor"/>
      </rPr>
      <t>3</t>
    </r>
    <r>
      <rPr>
        <sz val="11"/>
        <color theme="1"/>
        <rFont val="游ゴシック"/>
        <family val="3"/>
        <charset val="128"/>
        <scheme val="minor"/>
      </rPr>
      <t>→m</t>
    </r>
    <r>
      <rPr>
        <vertAlign val="superscript"/>
        <sz val="11"/>
        <color theme="1"/>
        <rFont val="游ゴシック"/>
        <family val="3"/>
        <charset val="128"/>
        <scheme val="minor"/>
      </rPr>
      <t>3</t>
    </r>
    <r>
      <rPr>
        <sz val="11"/>
        <color theme="1"/>
        <rFont val="游ゴシック"/>
        <family val="3"/>
        <charset val="128"/>
        <scheme val="minor"/>
      </rPr>
      <t>(SATP)への換算係数</t>
    </r>
    <rPh sb="13" eb="15">
      <t>カンザン</t>
    </rPh>
    <rPh sb="15" eb="17">
      <t>ケイスウ</t>
    </rPh>
    <phoneticPr fontId="5"/>
  </si>
  <si>
    <t>事業所概要_算定体制から圧力と温度を参照して計算</t>
    <rPh sb="12" eb="14">
      <t>アツリョク</t>
    </rPh>
    <rPh sb="15" eb="17">
      <t>オンド</t>
    </rPh>
    <rPh sb="18" eb="20">
      <t>サンショウ</t>
    </rPh>
    <rPh sb="22" eb="24">
      <t>ケイサン</t>
    </rPh>
    <phoneticPr fontId="5"/>
  </si>
  <si>
    <t>単位補正</t>
    <rPh sb="0" eb="2">
      <t>タンイ</t>
    </rPh>
    <rPh sb="2" eb="4">
      <t>ホセイ</t>
    </rPh>
    <phoneticPr fontId="5"/>
  </si>
  <si>
    <t>単位補正</t>
    <rPh sb="0" eb="2">
      <t>タンイ</t>
    </rPh>
    <rPh sb="2" eb="4">
      <t>ホセイ</t>
    </rPh>
    <phoneticPr fontId="5"/>
  </si>
  <si>
    <t>単位補正値</t>
    <rPh sb="0" eb="4">
      <t>タンイホセイ</t>
    </rPh>
    <rPh sb="4" eb="5">
      <t>チ</t>
    </rPh>
    <phoneticPr fontId="5"/>
  </si>
  <si>
    <t>単位換算</t>
    <rPh sb="0" eb="4">
      <t>タンイカンザン</t>
    </rPh>
    <phoneticPr fontId="5"/>
  </si>
  <si>
    <r>
      <t>千m</t>
    </r>
    <r>
      <rPr>
        <vertAlign val="superscript"/>
        <sz val="11"/>
        <color theme="1"/>
        <rFont val="游ゴシック"/>
        <family val="3"/>
        <charset val="128"/>
        <scheme val="minor"/>
      </rPr>
      <t>3</t>
    </r>
    <r>
      <rPr>
        <sz val="11"/>
        <color theme="1"/>
        <rFont val="游ゴシック"/>
        <family val="3"/>
        <charset val="128"/>
        <scheme val="minor"/>
      </rPr>
      <t>→tへの換算係数</t>
    </r>
    <rPh sb="0" eb="1">
      <t>セン</t>
    </rPh>
    <phoneticPr fontId="5"/>
  </si>
  <si>
    <r>
      <t>千m</t>
    </r>
    <r>
      <rPr>
        <vertAlign val="superscript"/>
        <sz val="11"/>
        <color theme="1"/>
        <rFont val="游ゴシック"/>
        <family val="3"/>
        <charset val="128"/>
        <scheme val="minor"/>
      </rPr>
      <t>3</t>
    </r>
    <r>
      <rPr>
        <sz val="11"/>
        <color theme="1"/>
        <rFont val="游ゴシック"/>
        <family val="3"/>
        <charset val="128"/>
        <scheme val="minor"/>
      </rPr>
      <t>→tへの換算係数　（m3を単位補正1000で割った値に、この換算係数を掛ける）</t>
    </r>
    <rPh sb="0" eb="1">
      <t>セン</t>
    </rPh>
    <rPh sb="16" eb="18">
      <t>タンイ</t>
    </rPh>
    <rPh sb="18" eb="20">
      <t>ホセイ</t>
    </rPh>
    <rPh sb="25" eb="26">
      <t>ワ</t>
    </rPh>
    <rPh sb="28" eb="29">
      <t>アタイ</t>
    </rPh>
    <rPh sb="33" eb="35">
      <t>カンザン</t>
    </rPh>
    <rPh sb="35" eb="37">
      <t>ケイスウ</t>
    </rPh>
    <rPh sb="38" eb="39">
      <t>カ</t>
    </rPh>
    <phoneticPr fontId="5"/>
  </si>
  <si>
    <t>使用量(年度計)
単位換算後</t>
    <rPh sb="0" eb="3">
      <t>シヨウリョウ</t>
    </rPh>
    <rPh sb="4" eb="6">
      <t>ネンド</t>
    </rPh>
    <rPh sb="6" eb="7">
      <t>ケイ</t>
    </rPh>
    <rPh sb="9" eb="11">
      <t>タンイ</t>
    </rPh>
    <rPh sb="11" eb="13">
      <t>カンザン</t>
    </rPh>
    <rPh sb="13" eb="14">
      <t>アト</t>
    </rPh>
    <phoneticPr fontId="5"/>
  </si>
  <si>
    <t>換算後単位</t>
    <rPh sb="0" eb="3">
      <t>カンザンアト</t>
    </rPh>
    <rPh sb="3" eb="5">
      <t>タンイ</t>
    </rPh>
    <phoneticPr fontId="5"/>
  </si>
  <si>
    <t>排出活動
選択</t>
    <rPh sb="0" eb="2">
      <t>ハイシュツ</t>
    </rPh>
    <rPh sb="2" eb="4">
      <t>カツドウ</t>
    </rPh>
    <rPh sb="5" eb="7">
      <t>センタク</t>
    </rPh>
    <phoneticPr fontId="5"/>
  </si>
  <si>
    <r>
      <t>Nm</t>
    </r>
    <r>
      <rPr>
        <vertAlign val="superscript"/>
        <sz val="11"/>
        <color theme="1"/>
        <rFont val="游ゴシック"/>
        <family val="3"/>
        <charset val="128"/>
        <scheme val="minor"/>
      </rPr>
      <t>3</t>
    </r>
    <r>
      <rPr>
        <sz val="11"/>
        <color theme="1"/>
        <rFont val="游ゴシック"/>
        <family val="3"/>
        <charset val="128"/>
        <scheme val="minor"/>
      </rPr>
      <t xml:space="preserve"> →m</t>
    </r>
    <r>
      <rPr>
        <vertAlign val="superscript"/>
        <sz val="11"/>
        <color theme="1"/>
        <rFont val="游ゴシック"/>
        <family val="3"/>
        <charset val="128"/>
        <scheme val="minor"/>
      </rPr>
      <t>3</t>
    </r>
    <r>
      <rPr>
        <sz val="11"/>
        <color theme="1"/>
        <rFont val="游ゴシック"/>
        <family val="3"/>
        <charset val="128"/>
        <scheme val="minor"/>
      </rPr>
      <t>(SATP)への換算係数</t>
    </r>
    <rPh sb="15" eb="17">
      <t>カンザン</t>
    </rPh>
    <rPh sb="17" eb="19">
      <t>ケイスウ</t>
    </rPh>
    <phoneticPr fontId="5"/>
  </si>
  <si>
    <r>
      <t>千Nm</t>
    </r>
    <r>
      <rPr>
        <vertAlign val="superscript"/>
        <sz val="11"/>
        <color theme="1"/>
        <rFont val="游ゴシック"/>
        <family val="3"/>
        <charset val="128"/>
        <scheme val="minor"/>
      </rPr>
      <t>3</t>
    </r>
    <r>
      <rPr>
        <sz val="11"/>
        <color theme="1"/>
        <rFont val="游ゴシック"/>
        <family val="3"/>
        <charset val="128"/>
        <scheme val="minor"/>
      </rPr>
      <t xml:space="preserve"> →千m</t>
    </r>
    <r>
      <rPr>
        <vertAlign val="superscript"/>
        <sz val="11"/>
        <color theme="1"/>
        <rFont val="游ゴシック"/>
        <family val="3"/>
        <charset val="128"/>
        <scheme val="minor"/>
      </rPr>
      <t>3</t>
    </r>
    <r>
      <rPr>
        <sz val="11"/>
        <color theme="1"/>
        <rFont val="游ゴシック"/>
        <family val="3"/>
        <charset val="128"/>
        <scheme val="minor"/>
      </rPr>
      <t>(SATP)への換算係数</t>
    </r>
    <rPh sb="0" eb="1">
      <t>セン</t>
    </rPh>
    <rPh sb="6" eb="7">
      <t>セン</t>
    </rPh>
    <rPh sb="17" eb="19">
      <t>カンザン</t>
    </rPh>
    <rPh sb="19" eb="21">
      <t>ケイスウ</t>
    </rPh>
    <phoneticPr fontId="5"/>
  </si>
  <si>
    <t>記入単位</t>
    <rPh sb="0" eb="2">
      <t>キニュウ</t>
    </rPh>
    <rPh sb="2" eb="4">
      <t>タンイ</t>
    </rPh>
    <phoneticPr fontId="5"/>
  </si>
  <si>
    <t>熱量</t>
    <rPh sb="0" eb="2">
      <t>ネツリョウ</t>
    </rPh>
    <phoneticPr fontId="5"/>
  </si>
  <si>
    <t>原料炭</t>
    <rPh sb="0" eb="2">
      <t>ゲンリョウ</t>
    </rPh>
    <rPh sb="2" eb="3">
      <t>スミ</t>
    </rPh>
    <phoneticPr fontId="6"/>
  </si>
  <si>
    <t>一般炭</t>
    <rPh sb="2" eb="3">
      <t>スミ</t>
    </rPh>
    <phoneticPr fontId="6"/>
  </si>
  <si>
    <t>無煙炭</t>
    <rPh sb="0" eb="3">
      <t>ムエンタン</t>
    </rPh>
    <phoneticPr fontId="6"/>
  </si>
  <si>
    <t>高炉ガス</t>
    <rPh sb="0" eb="2">
      <t>コウロ</t>
    </rPh>
    <phoneticPr fontId="6"/>
  </si>
  <si>
    <t>第4まとめ表
行番号</t>
    <rPh sb="0" eb="1">
      <t>ダイ</t>
    </rPh>
    <rPh sb="5" eb="6">
      <t>ヒョウ</t>
    </rPh>
    <rPh sb="7" eb="10">
      <t>ギョウバンゴウ</t>
    </rPh>
    <phoneticPr fontId="5"/>
  </si>
  <si>
    <t>第3まとめ表
行番号</t>
    <rPh sb="0" eb="1">
      <t>ダイ</t>
    </rPh>
    <rPh sb="5" eb="6">
      <t>ヒョウ</t>
    </rPh>
    <rPh sb="7" eb="10">
      <t>ギョウバンゴウ</t>
    </rPh>
    <phoneticPr fontId="5"/>
  </si>
  <si>
    <t>第3係数
排出係数</t>
    <rPh sb="0" eb="1">
      <t>ダイ</t>
    </rPh>
    <rPh sb="2" eb="4">
      <t>ケイスウ</t>
    </rPh>
    <rPh sb="5" eb="7">
      <t>ハイシュツ</t>
    </rPh>
    <rPh sb="7" eb="9">
      <t>ケイスウ</t>
    </rPh>
    <phoneticPr fontId="5"/>
  </si>
  <si>
    <t>第3係数
熱量[GJ]</t>
    <rPh sb="0" eb="1">
      <t>ダイ</t>
    </rPh>
    <rPh sb="2" eb="4">
      <t>ケイスウ</t>
    </rPh>
    <rPh sb="5" eb="7">
      <t>ネツリョウ</t>
    </rPh>
    <phoneticPr fontId="5"/>
  </si>
  <si>
    <t>第3係数
使用量（年度計)</t>
    <rPh sb="0" eb="1">
      <t>ダイ</t>
    </rPh>
    <rPh sb="2" eb="4">
      <t>ケイスウ</t>
    </rPh>
    <rPh sb="5" eb="8">
      <t>シヨウリョウ</t>
    </rPh>
    <rPh sb="9" eb="11">
      <t>ネンド</t>
    </rPh>
    <rPh sb="11" eb="12">
      <t>ケイ</t>
    </rPh>
    <phoneticPr fontId="5"/>
  </si>
  <si>
    <t>第3係数
単位発熱量</t>
    <rPh sb="0" eb="1">
      <t>ダイ</t>
    </rPh>
    <rPh sb="2" eb="4">
      <t>ケイスウ</t>
    </rPh>
    <rPh sb="5" eb="7">
      <t>タンイ</t>
    </rPh>
    <rPh sb="7" eb="10">
      <t>ハツネツリョウ</t>
    </rPh>
    <phoneticPr fontId="5"/>
  </si>
  <si>
    <t>第3係数気体単位換算
（SATP→N)</t>
    <rPh sb="0" eb="1">
      <t>ダイ</t>
    </rPh>
    <rPh sb="2" eb="4">
      <t>ケイスウ</t>
    </rPh>
    <rPh sb="4" eb="6">
      <t>キタイ</t>
    </rPh>
    <rPh sb="6" eb="8">
      <t>タンイ</t>
    </rPh>
    <rPh sb="8" eb="10">
      <t>カンザン</t>
    </rPh>
    <phoneticPr fontId="5"/>
  </si>
  <si>
    <r>
      <t>第3係数
排出量[t-CO</t>
    </r>
    <r>
      <rPr>
        <vertAlign val="subscript"/>
        <sz val="11"/>
        <color theme="1"/>
        <rFont val="游明朝"/>
        <family val="1"/>
        <charset val="128"/>
      </rPr>
      <t>2</t>
    </r>
    <r>
      <rPr>
        <sz val="11"/>
        <color theme="1"/>
        <rFont val="游明朝"/>
        <family val="1"/>
        <charset val="128"/>
      </rPr>
      <t>]</t>
    </r>
    <rPh sb="0" eb="1">
      <t>ダイ</t>
    </rPh>
    <rPh sb="2" eb="4">
      <t>ケイスウ</t>
    </rPh>
    <rPh sb="5" eb="7">
      <t>ハイシュツ</t>
    </rPh>
    <rPh sb="7" eb="8">
      <t>リョウ</t>
    </rPh>
    <phoneticPr fontId="5"/>
  </si>
  <si>
    <r>
      <t>千Nｍ</t>
    </r>
    <r>
      <rPr>
        <vertAlign val="superscript"/>
        <sz val="11"/>
        <color theme="1"/>
        <rFont val="游明朝"/>
        <family val="1"/>
        <charset val="128"/>
      </rPr>
      <t xml:space="preserve">3 </t>
    </r>
    <rPh sb="0" eb="1">
      <t>セン</t>
    </rPh>
    <phoneticPr fontId="6"/>
  </si>
  <si>
    <t>(参考）</t>
    <rPh sb="1" eb="3">
      <t>サンコウ</t>
    </rPh>
    <phoneticPr fontId="6"/>
  </si>
  <si>
    <t>第3計画期間排出係数で算出した目標設定ガス排出量</t>
    <rPh sb="0" eb="1">
      <t>ダイ</t>
    </rPh>
    <rPh sb="2" eb="4">
      <t>ケイカク</t>
    </rPh>
    <rPh sb="4" eb="6">
      <t>キカン</t>
    </rPh>
    <rPh sb="6" eb="8">
      <t>ハイシュツ</t>
    </rPh>
    <rPh sb="8" eb="10">
      <t>ケイスウ</t>
    </rPh>
    <rPh sb="11" eb="13">
      <t>サンシュツ</t>
    </rPh>
    <rPh sb="15" eb="17">
      <t>モクヒョウ</t>
    </rPh>
    <rPh sb="17" eb="19">
      <t>セッテイ</t>
    </rPh>
    <rPh sb="21" eb="23">
      <t>ハイシュツ</t>
    </rPh>
    <rPh sb="23" eb="24">
      <t>リョウ</t>
    </rPh>
    <phoneticPr fontId="5"/>
  </si>
  <si>
    <t>自ら生成した電気熱</t>
    <rPh sb="0" eb="1">
      <t>ミズカ</t>
    </rPh>
    <rPh sb="2" eb="4">
      <t>セイセイ</t>
    </rPh>
    <rPh sb="6" eb="9">
      <t>デンキネツ</t>
    </rPh>
    <phoneticPr fontId="5"/>
  </si>
  <si>
    <t>自己作成値</t>
    <rPh sb="0" eb="2">
      <t>ジコ</t>
    </rPh>
    <rPh sb="2" eb="4">
      <t>サクセイ</t>
    </rPh>
    <rPh sb="4" eb="5">
      <t>チ</t>
    </rPh>
    <phoneticPr fontId="5"/>
  </si>
  <si>
    <t>自己作成値</t>
    <rPh sb="0" eb="2">
      <t>ジコ</t>
    </rPh>
    <rPh sb="2" eb="4">
      <t>サクセイ</t>
    </rPh>
    <rPh sb="4" eb="5">
      <t>チ</t>
    </rPh>
    <phoneticPr fontId="5"/>
  </si>
  <si>
    <t>対象</t>
    <rPh sb="0" eb="2">
      <t>タイショウ</t>
    </rPh>
    <phoneticPr fontId="5"/>
  </si>
  <si>
    <t>電気_自ら生成した電気</t>
    <rPh sb="0" eb="2">
      <t>デンキ</t>
    </rPh>
    <rPh sb="3" eb="4">
      <t>ミズカ</t>
    </rPh>
    <rPh sb="5" eb="7">
      <t>セイセイ</t>
    </rPh>
    <rPh sb="9" eb="11">
      <t>デンキ</t>
    </rPh>
    <phoneticPr fontId="5"/>
  </si>
  <si>
    <t>熱_自ら生成した熱</t>
    <rPh sb="0" eb="1">
      <t>ネツ</t>
    </rPh>
    <rPh sb="2" eb="3">
      <t>ミズカ</t>
    </rPh>
    <rPh sb="4" eb="6">
      <t>セイセイ</t>
    </rPh>
    <rPh sb="8" eb="9">
      <t>ネツ</t>
    </rPh>
    <phoneticPr fontId="5"/>
  </si>
  <si>
    <t>要記入</t>
    <rPh sb="0" eb="1">
      <t>ヨウ</t>
    </rPh>
    <rPh sb="1" eb="3">
      <t>キニュウ</t>
    </rPh>
    <phoneticPr fontId="5"/>
  </si>
  <si>
    <t>メータ種</t>
    <rPh sb="3" eb="4">
      <t>シュ</t>
    </rPh>
    <phoneticPr fontId="5"/>
  </si>
  <si>
    <t>供給事業者</t>
    <rPh sb="0" eb="2">
      <t>キョウキュウ</t>
    </rPh>
    <rPh sb="2" eb="5">
      <t>ジギョウシャ</t>
    </rPh>
    <phoneticPr fontId="5"/>
  </si>
  <si>
    <t>年度</t>
    <rPh sb="0" eb="2">
      <t>ネンド</t>
    </rPh>
    <phoneticPr fontId="5"/>
  </si>
  <si>
    <r>
      <t>単位発熱量[GJ/Nm</t>
    </r>
    <r>
      <rPr>
        <vertAlign val="superscript"/>
        <sz val="11"/>
        <color theme="1"/>
        <rFont val="游ゴシック"/>
        <family val="3"/>
        <charset val="128"/>
        <scheme val="minor"/>
      </rPr>
      <t>3</t>
    </r>
    <r>
      <rPr>
        <sz val="11"/>
        <color theme="1"/>
        <rFont val="游ゴシック"/>
        <family val="3"/>
        <charset val="128"/>
        <scheme val="minor"/>
      </rPr>
      <t>]</t>
    </r>
    <rPh sb="0" eb="5">
      <t>タンイハツネツリョウ</t>
    </rPh>
    <phoneticPr fontId="5"/>
  </si>
  <si>
    <r>
      <t>排出係数
[t-CO</t>
    </r>
    <r>
      <rPr>
        <vertAlign val="subscript"/>
        <sz val="11"/>
        <color theme="1"/>
        <rFont val="游ゴシック"/>
        <family val="3"/>
        <charset val="128"/>
        <scheme val="minor"/>
      </rPr>
      <t>2</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t>
    </r>
    <rPh sb="0" eb="2">
      <t>ハイシュツ</t>
    </rPh>
    <rPh sb="2" eb="4">
      <t>ケイスウ</t>
    </rPh>
    <rPh sb="12" eb="13">
      <t>セン</t>
    </rPh>
    <phoneticPr fontId="5"/>
  </si>
  <si>
    <r>
      <t>単位発熱量
[GJ/千m</t>
    </r>
    <r>
      <rPr>
        <vertAlign val="superscript"/>
        <sz val="11"/>
        <color theme="1"/>
        <rFont val="游ゴシック"/>
        <family val="3"/>
        <charset val="128"/>
        <scheme val="minor"/>
      </rPr>
      <t>3</t>
    </r>
    <r>
      <rPr>
        <sz val="11"/>
        <color theme="1"/>
        <rFont val="游ゴシック"/>
        <family val="3"/>
        <charset val="128"/>
        <scheme val="minor"/>
      </rPr>
      <t>(SATP)]</t>
    </r>
    <rPh sb="0" eb="2">
      <t>タンイ</t>
    </rPh>
    <rPh sb="2" eb="5">
      <t>ハツネツリョウ</t>
    </rPh>
    <rPh sb="10" eb="11">
      <t>セン</t>
    </rPh>
    <phoneticPr fontId="5"/>
  </si>
  <si>
    <t>デフォルト値</t>
    <rPh sb="5" eb="6">
      <t>チ</t>
    </rPh>
    <phoneticPr fontId="5"/>
  </si>
  <si>
    <t>電気_自己託送_非燃料由来の非化石電気</t>
    <rPh sb="0" eb="2">
      <t>デンキ</t>
    </rPh>
    <rPh sb="3" eb="7">
      <t>ジコタクソウ</t>
    </rPh>
    <rPh sb="8" eb="13">
      <t>ヒネンリョウユライ</t>
    </rPh>
    <rPh sb="14" eb="17">
      <t>ヒカセキ</t>
    </rPh>
    <rPh sb="17" eb="19">
      <t>デンキ</t>
    </rPh>
    <phoneticPr fontId="5"/>
  </si>
  <si>
    <t>電気_自己託送_非燃料由来の非化石電気以外</t>
    <rPh sb="0" eb="2">
      <t>デンキ</t>
    </rPh>
    <rPh sb="3" eb="7">
      <t>ジコタクソウ</t>
    </rPh>
    <rPh sb="8" eb="13">
      <t>ヒネンリョウユライ</t>
    </rPh>
    <rPh sb="14" eb="19">
      <t>ヒカセキデンキ</t>
    </rPh>
    <rPh sb="19" eb="21">
      <t>イガイ</t>
    </rPh>
    <phoneticPr fontId="5"/>
  </si>
  <si>
    <t>非FIT非化石証書_再生可能エネルギー指定</t>
    <rPh sb="0" eb="1">
      <t>ヒ</t>
    </rPh>
    <rPh sb="4" eb="7">
      <t>ヒカセキ</t>
    </rPh>
    <rPh sb="7" eb="9">
      <t>ショウショ</t>
    </rPh>
    <rPh sb="10" eb="12">
      <t>サイセイ</t>
    </rPh>
    <rPh sb="12" eb="14">
      <t>カノウ</t>
    </rPh>
    <rPh sb="19" eb="21">
      <t>シテイ</t>
    </rPh>
    <phoneticPr fontId="5"/>
  </si>
  <si>
    <t>任意_大気熱_ヒートポンプを除く</t>
    <rPh sb="0" eb="2">
      <t>ニンイ</t>
    </rPh>
    <phoneticPr fontId="5"/>
  </si>
  <si>
    <t>排出係数
[t-CO2/千m3(SATP)]</t>
    <rPh sb="0" eb="4">
      <t>ハイシュツケイスウ</t>
    </rPh>
    <phoneticPr fontId="5"/>
  </si>
  <si>
    <t>東京電力エナジーパートナー(株)</t>
  </si>
  <si>
    <t>エバーグリーン・マーケティング(株)</t>
  </si>
  <si>
    <t>ネクストパワーやまと(株)</t>
  </si>
  <si>
    <t>東京エコサービス(株)</t>
  </si>
  <si>
    <t>北海道瓦斯(株)</t>
  </si>
  <si>
    <t>アルカナエナジー(株)</t>
  </si>
  <si>
    <t>新エネルギー開発(株)</t>
  </si>
  <si>
    <t>ENEOS Power(株)（旧:ENEOS(株)）</t>
  </si>
  <si>
    <t>シン・エナジー(株)</t>
  </si>
  <si>
    <t>伊藤忠商事(株)</t>
  </si>
  <si>
    <t>東邦ガス(株)</t>
  </si>
  <si>
    <t>水戸電力(株)</t>
  </si>
  <si>
    <t>カナデビア(株)（旧:日立造船(株)）</t>
  </si>
  <si>
    <t>リニューアブル・ジャパン(株)</t>
  </si>
  <si>
    <t>みやまスマートエネルギー(株)</t>
  </si>
  <si>
    <t>森の電力(株)</t>
  </si>
  <si>
    <t>大和ハウス工業(株)　</t>
  </si>
  <si>
    <t>湘南電力(株)</t>
  </si>
  <si>
    <t>鈴与商事(株)</t>
  </si>
  <si>
    <t>ひおき地域エネルギー(株)</t>
  </si>
  <si>
    <t>エネックス(株)</t>
  </si>
  <si>
    <t>なでしこ電力(株)</t>
  </si>
  <si>
    <t>日産トレーディング(株)</t>
  </si>
  <si>
    <t>ゼロワットパワー(株)</t>
  </si>
  <si>
    <t>アストマックス(株)</t>
  </si>
  <si>
    <t>宮古新電力(株)</t>
  </si>
  <si>
    <t>新電力おおいた(株)</t>
  </si>
  <si>
    <t>ミライフ東日本(株)</t>
  </si>
  <si>
    <t>武陽ガス(株)</t>
  </si>
  <si>
    <t>北海道電力(株)</t>
  </si>
  <si>
    <t>中国電力(株)</t>
  </si>
  <si>
    <t>香川電力(株)　</t>
  </si>
  <si>
    <t>楽天モバイル(株)（旧：楽天エナジー(株)）</t>
  </si>
  <si>
    <t>北陸電力ビズ・エナジーソリューション(株)</t>
  </si>
  <si>
    <t>リニューアブルトレード(株)</t>
  </si>
  <si>
    <t>ICT伊那みらいでんき(株)(旧:丸紅伊那みらいでんき(株))</t>
  </si>
  <si>
    <t>那須野ヶ原みらい電力(株)</t>
  </si>
  <si>
    <t>岡山ガス(株)</t>
  </si>
  <si>
    <t>合同会社グリーンパワーリテイリング</t>
  </si>
  <si>
    <t>(株)いずみみらい</t>
  </si>
  <si>
    <t>電気事業者名</t>
    <rPh sb="0" eb="6">
      <t>デンキジギョウシャメイ</t>
    </rPh>
    <phoneticPr fontId="5"/>
  </si>
  <si>
    <t>メニューR</t>
  </si>
  <si>
    <t>メニューS</t>
  </si>
  <si>
    <t>メニューT</t>
  </si>
  <si>
    <t>メニュー名リスト</t>
    <rPh sb="4" eb="5">
      <t>メイ</t>
    </rPh>
    <phoneticPr fontId="5"/>
  </si>
  <si>
    <t>調整後排出係数[t-CO2/kWh]</t>
    <phoneticPr fontId="5"/>
  </si>
  <si>
    <t>国平均値</t>
    <rPh sb="0" eb="1">
      <t>クニ</t>
    </rPh>
    <rPh sb="1" eb="3">
      <t>ヘイキン</t>
    </rPh>
    <rPh sb="3" eb="4">
      <t>チ</t>
    </rPh>
    <phoneticPr fontId="5"/>
  </si>
  <si>
    <t>排出係数
[t-CO2/kWh]</t>
    <phoneticPr fontId="5"/>
  </si>
  <si>
    <t>電気事業者名リスト</t>
    <rPh sb="0" eb="6">
      <t>デンキジギョウシャメイ</t>
    </rPh>
    <phoneticPr fontId="5"/>
  </si>
  <si>
    <t>伊奈都市ガス(株)_13A</t>
    <rPh sb="0" eb="2">
      <t>イナ</t>
    </rPh>
    <rPh sb="2" eb="4">
      <t>トシ</t>
    </rPh>
    <rPh sb="6" eb="9">
      <t>カブ</t>
    </rPh>
    <phoneticPr fontId="3"/>
  </si>
  <si>
    <t>入間ガス(株)_13A</t>
    <rPh sb="0" eb="2">
      <t>イルマ</t>
    </rPh>
    <rPh sb="4" eb="7">
      <t>カブ</t>
    </rPh>
    <phoneticPr fontId="3"/>
  </si>
  <si>
    <t>太田都市ガス(株)_13A</t>
    <rPh sb="0" eb="2">
      <t>オオタ</t>
    </rPh>
    <rPh sb="2" eb="4">
      <t>トシ</t>
    </rPh>
    <rPh sb="6" eb="9">
      <t>カブ</t>
    </rPh>
    <phoneticPr fontId="3"/>
  </si>
  <si>
    <t>角栄ガス(株)_13A</t>
    <rPh sb="4" eb="7">
      <t>カブ</t>
    </rPh>
    <phoneticPr fontId="5"/>
  </si>
  <si>
    <t>埼玉ガス(株)_13A</t>
    <rPh sb="0" eb="2">
      <t>サイタマ</t>
    </rPh>
    <rPh sb="4" eb="7">
      <t>カブ</t>
    </rPh>
    <phoneticPr fontId="3"/>
  </si>
  <si>
    <t>坂戸ガス(株)_13A</t>
    <rPh sb="4" eb="7">
      <t>カブ</t>
    </rPh>
    <phoneticPr fontId="5"/>
  </si>
  <si>
    <t>幸手都市ガス(株)_13A</t>
    <rPh sb="6" eb="9">
      <t>カブ</t>
    </rPh>
    <phoneticPr fontId="5"/>
  </si>
  <si>
    <t>松栄ガス(株)_13A</t>
    <rPh sb="4" eb="7">
      <t>カブ</t>
    </rPh>
    <phoneticPr fontId="5"/>
  </si>
  <si>
    <t>新日本瓦斯(株)_13A</t>
    <rPh sb="0" eb="3">
      <t>シンニホン</t>
    </rPh>
    <rPh sb="3" eb="5">
      <t>ガス</t>
    </rPh>
    <rPh sb="5" eb="8">
      <t>カブ</t>
    </rPh>
    <phoneticPr fontId="3"/>
  </si>
  <si>
    <t>西武ガス(株)_13A</t>
    <rPh sb="4" eb="7">
      <t>カブ</t>
    </rPh>
    <phoneticPr fontId="5"/>
  </si>
  <si>
    <t>大東ガス(株)_13A</t>
    <rPh sb="0" eb="2">
      <t>ダイトウ</t>
    </rPh>
    <rPh sb="4" eb="7">
      <t>カブ</t>
    </rPh>
    <phoneticPr fontId="3"/>
  </si>
  <si>
    <t>秩父ガス(株)_13A</t>
    <rPh sb="0" eb="2">
      <t>チチブ</t>
    </rPh>
    <rPh sb="4" eb="7">
      <t>カブ</t>
    </rPh>
    <phoneticPr fontId="3"/>
  </si>
  <si>
    <t>東彩ガス(株)_13A</t>
    <rPh sb="4" eb="7">
      <t>カブ</t>
    </rPh>
    <phoneticPr fontId="5"/>
  </si>
  <si>
    <t>日高都市ガス(株)_13A</t>
    <rPh sb="0" eb="2">
      <t>ヒダカ</t>
    </rPh>
    <rPh sb="2" eb="4">
      <t>トシ</t>
    </rPh>
    <rPh sb="6" eb="9">
      <t>カブ</t>
    </rPh>
    <phoneticPr fontId="3"/>
  </si>
  <si>
    <t>武州ガス(株)_13A</t>
    <rPh sb="0" eb="2">
      <t>ブシュウ</t>
    </rPh>
    <rPh sb="4" eb="7">
      <t>カブ</t>
    </rPh>
    <phoneticPr fontId="3"/>
  </si>
  <si>
    <t>本庄ガス(株)_13A</t>
    <rPh sb="0" eb="2">
      <t>ホンジョウ</t>
    </rPh>
    <rPh sb="4" eb="7">
      <t>カブ</t>
    </rPh>
    <phoneticPr fontId="3"/>
  </si>
  <si>
    <t>武蔵野ガス(株)_13A</t>
    <rPh sb="0" eb="3">
      <t>ムサシノ</t>
    </rPh>
    <rPh sb="5" eb="8">
      <t>カブ</t>
    </rPh>
    <phoneticPr fontId="3"/>
  </si>
  <si>
    <t>東京ガス(株)_13A</t>
    <rPh sb="4" eb="7">
      <t>カブ</t>
    </rPh>
    <phoneticPr fontId="3"/>
  </si>
  <si>
    <t>鷲宮ガス(株)_13A</t>
    <rPh sb="0" eb="2">
      <t>ワシミヤ</t>
    </rPh>
    <rPh sb="4" eb="7">
      <t>カブ</t>
    </rPh>
    <phoneticPr fontId="3"/>
  </si>
  <si>
    <t>堀川産業(株)_13A</t>
    <rPh sb="0" eb="2">
      <t>ホリカワ</t>
    </rPh>
    <rPh sb="2" eb="4">
      <t>サンギョウ</t>
    </rPh>
    <rPh sb="4" eb="7">
      <t>カブ</t>
    </rPh>
    <phoneticPr fontId="3"/>
  </si>
  <si>
    <t>登録番号</t>
    <rPh sb="0" eb="4">
      <t>トウロクバンゴウ</t>
    </rPh>
    <phoneticPr fontId="5"/>
  </si>
  <si>
    <t>A0020</t>
    <phoneticPr fontId="5"/>
  </si>
  <si>
    <t>A0002</t>
    <phoneticPr fontId="5"/>
  </si>
  <si>
    <t>東京電力エナジーパートナー(株)</t>
    <rPh sb="13" eb="16">
      <t>カブ</t>
    </rPh>
    <phoneticPr fontId="5"/>
  </si>
  <si>
    <t>東京電力エナジーパートナー(株)_13A</t>
    <rPh sb="13" eb="16">
      <t>カブ</t>
    </rPh>
    <phoneticPr fontId="5"/>
  </si>
  <si>
    <t>メニュー名</t>
    <rPh sb="4" eb="5">
      <t>メイ</t>
    </rPh>
    <phoneticPr fontId="5"/>
  </si>
  <si>
    <t>メニューA</t>
    <phoneticPr fontId="5"/>
  </si>
  <si>
    <t>残差</t>
  </si>
  <si>
    <t>残差</t>
    <rPh sb="0" eb="2">
      <t>ザンサ</t>
    </rPh>
    <phoneticPr fontId="5"/>
  </si>
  <si>
    <t>ガス事業者名</t>
    <rPh sb="2" eb="5">
      <t>ジギョウシャ</t>
    </rPh>
    <rPh sb="5" eb="6">
      <t>メイ</t>
    </rPh>
    <phoneticPr fontId="5"/>
  </si>
  <si>
    <t>ガス事業者名リスト</t>
    <rPh sb="2" eb="5">
      <t>ジギョウシャ</t>
    </rPh>
    <rPh sb="5" eb="6">
      <t>メイ</t>
    </rPh>
    <phoneticPr fontId="5"/>
  </si>
  <si>
    <t>002</t>
    <phoneticPr fontId="43"/>
  </si>
  <si>
    <t>東京ガスエンジニアリングソリューションズ株式会社</t>
    <phoneticPr fontId="43"/>
  </si>
  <si>
    <t>田町駅東口北地域</t>
    <phoneticPr fontId="43"/>
  </si>
  <si>
    <t>006</t>
    <phoneticPr fontId="43"/>
  </si>
  <si>
    <t>丸の内熱供給株式会社</t>
    <rPh sb="0" eb="1">
      <t>マル</t>
    </rPh>
    <rPh sb="2" eb="3">
      <t>ウチ</t>
    </rPh>
    <rPh sb="3" eb="6">
      <t>ネツキョウキュウ</t>
    </rPh>
    <rPh sb="6" eb="10">
      <t>カブシキガイシャ</t>
    </rPh>
    <phoneticPr fontId="43"/>
  </si>
  <si>
    <t>残差</t>
    <rPh sb="0" eb="2">
      <t>ザンサ</t>
    </rPh>
    <phoneticPr fontId="43"/>
  </si>
  <si>
    <t>009</t>
    <phoneticPr fontId="43"/>
  </si>
  <si>
    <t>池袋地域冷暖房株式会社</t>
    <phoneticPr fontId="43"/>
  </si>
  <si>
    <t>東池袋地域</t>
    <phoneticPr fontId="43"/>
  </si>
  <si>
    <t>014</t>
    <phoneticPr fontId="43"/>
  </si>
  <si>
    <t>新都市熱供給株式会社</t>
    <phoneticPr fontId="43"/>
  </si>
  <si>
    <t>016</t>
    <phoneticPr fontId="43"/>
  </si>
  <si>
    <t>西池袋熱供給株式会社</t>
    <phoneticPr fontId="43"/>
  </si>
  <si>
    <t>西池袋地域</t>
    <phoneticPr fontId="43"/>
  </si>
  <si>
    <t>020</t>
    <phoneticPr fontId="43"/>
  </si>
  <si>
    <t>東京都市サービス株式会社</t>
    <phoneticPr fontId="43"/>
  </si>
  <si>
    <t>芝浦4丁目地域</t>
    <phoneticPr fontId="43"/>
  </si>
  <si>
    <t>銀座5・6丁目地域</t>
  </si>
  <si>
    <t>新川地域</t>
  </si>
  <si>
    <t>神田駿河台地域</t>
  </si>
  <si>
    <t>箱崎地域</t>
  </si>
  <si>
    <t>幕張新都心ハイテク・ビジネス地域</t>
  </si>
  <si>
    <t>高崎市中央・城址地域</t>
  </si>
  <si>
    <t>本駒込2丁目地域</t>
  </si>
  <si>
    <t>大崎1丁目地域</t>
  </si>
  <si>
    <t>晴海アイランド地域</t>
  </si>
  <si>
    <t>府中日鋼町地域</t>
  </si>
  <si>
    <t>横浜市北仲通南地域</t>
  </si>
  <si>
    <t>024</t>
    <phoneticPr fontId="43"/>
  </si>
  <si>
    <t>みなとみらい二十一熱供給株式会社</t>
    <rPh sb="6" eb="9">
      <t>ニジュウイチ</t>
    </rPh>
    <rPh sb="9" eb="10">
      <t>ネツ</t>
    </rPh>
    <rPh sb="10" eb="12">
      <t>キョウキュウ</t>
    </rPh>
    <rPh sb="12" eb="16">
      <t>カブシキガイシャ</t>
    </rPh>
    <phoneticPr fontId="43"/>
  </si>
  <si>
    <t>033</t>
    <phoneticPr fontId="43"/>
  </si>
  <si>
    <t>新宿熱供給株式会社</t>
    <phoneticPr fontId="43"/>
  </si>
  <si>
    <t>039</t>
    <phoneticPr fontId="43"/>
  </si>
  <si>
    <t>株式会社福岡エネルギーサービス</t>
    <rPh sb="0" eb="4">
      <t>カブシキ</t>
    </rPh>
    <rPh sb="4" eb="6">
      <t>フクオカ</t>
    </rPh>
    <phoneticPr fontId="43"/>
  </si>
  <si>
    <t>シーサイドももち地域</t>
    <phoneticPr fontId="43"/>
  </si>
  <si>
    <t>西鉄福岡駅再開発地域</t>
    <rPh sb="0" eb="2">
      <t>ニシテツ</t>
    </rPh>
    <rPh sb="2" eb="5">
      <t>フクオカエキ</t>
    </rPh>
    <rPh sb="5" eb="8">
      <t>サイカイハツ</t>
    </rPh>
    <rPh sb="8" eb="10">
      <t>チイキ</t>
    </rPh>
    <phoneticPr fontId="43"/>
  </si>
  <si>
    <t>下川端再開発地域</t>
    <rPh sb="0" eb="3">
      <t>シモカワバタ</t>
    </rPh>
    <rPh sb="3" eb="6">
      <t>サイカイハツ</t>
    </rPh>
    <rPh sb="6" eb="8">
      <t>チイキ</t>
    </rPh>
    <phoneticPr fontId="43"/>
  </si>
  <si>
    <t>047</t>
    <phoneticPr fontId="43"/>
  </si>
  <si>
    <t>東京下水道エネルギー株式会社　後楽事業所</t>
    <phoneticPr fontId="43"/>
  </si>
  <si>
    <t>後楽一丁目地域</t>
    <rPh sb="5" eb="7">
      <t>チイキ</t>
    </rPh>
    <phoneticPr fontId="43"/>
  </si>
  <si>
    <t>050</t>
    <phoneticPr fontId="43"/>
  </si>
  <si>
    <t>新宿南エネルギーサービス株式会社</t>
    <phoneticPr fontId="43"/>
  </si>
  <si>
    <t>057</t>
  </si>
  <si>
    <t>錦糸町熱供給株式会社</t>
    <phoneticPr fontId="43"/>
  </si>
  <si>
    <t>058</t>
  </si>
  <si>
    <t>品川熱供給株式会社</t>
    <rPh sb="0" eb="2">
      <t>シナガワ</t>
    </rPh>
    <rPh sb="2" eb="3">
      <t>ネツ</t>
    </rPh>
    <rPh sb="3" eb="5">
      <t>キョウキュウ</t>
    </rPh>
    <rPh sb="5" eb="7">
      <t>カブシキ</t>
    </rPh>
    <rPh sb="7" eb="9">
      <t>カイシャ</t>
    </rPh>
    <phoneticPr fontId="6"/>
  </si>
  <si>
    <t>品川東口南地域</t>
    <rPh sb="0" eb="2">
      <t>シナガワ</t>
    </rPh>
    <rPh sb="2" eb="4">
      <t>ヒガシグチ</t>
    </rPh>
    <rPh sb="4" eb="5">
      <t>ミナミ</t>
    </rPh>
    <rPh sb="5" eb="7">
      <t>チイキ</t>
    </rPh>
    <phoneticPr fontId="6"/>
  </si>
  <si>
    <t>064</t>
    <phoneticPr fontId="43"/>
  </si>
  <si>
    <t>山王熱供給株式会社</t>
    <rPh sb="0" eb="2">
      <t>サンノウ</t>
    </rPh>
    <rPh sb="2" eb="5">
      <t>ネツキョウキュウ</t>
    </rPh>
    <rPh sb="5" eb="9">
      <t>カブシキガイシャ</t>
    </rPh>
    <phoneticPr fontId="43"/>
  </si>
  <si>
    <t>065</t>
  </si>
  <si>
    <t>渋谷熱供給株式会社</t>
    <phoneticPr fontId="43"/>
  </si>
  <si>
    <t>069</t>
    <phoneticPr fontId="43"/>
  </si>
  <si>
    <t>073</t>
    <phoneticPr fontId="43"/>
  </si>
  <si>
    <t>ＤＨＣ名古屋株式会社</t>
    <phoneticPr fontId="43"/>
  </si>
  <si>
    <t>名駅東地域</t>
    <rPh sb="3" eb="5">
      <t>チイキ</t>
    </rPh>
    <phoneticPr fontId="43"/>
  </si>
  <si>
    <t>079</t>
    <phoneticPr fontId="43"/>
  </si>
  <si>
    <t>虎ノ門エネルギーネットワーク株式会社</t>
    <rPh sb="0" eb="1">
      <t>トラ</t>
    </rPh>
    <rPh sb="2" eb="3">
      <t>モン</t>
    </rPh>
    <rPh sb="14" eb="18">
      <t>カブシキガイシャ</t>
    </rPh>
    <phoneticPr fontId="43"/>
  </si>
  <si>
    <t>虎ノ門一・二丁目地域</t>
  </si>
  <si>
    <t>虎ノ門・麻布台地域</t>
  </si>
  <si>
    <t>メニューA</t>
    <phoneticPr fontId="43"/>
  </si>
  <si>
    <t>メニューB</t>
    <phoneticPr fontId="43"/>
  </si>
  <si>
    <t>品川エネルギーサービス株式会社</t>
    <phoneticPr fontId="43"/>
  </si>
  <si>
    <t>006</t>
  </si>
  <si>
    <t>009</t>
  </si>
  <si>
    <t>池袋地域冷暖房株式会社</t>
  </si>
  <si>
    <t>020</t>
  </si>
  <si>
    <t>東京都市サービス株式会社</t>
  </si>
  <si>
    <t>024</t>
  </si>
  <si>
    <t>039</t>
  </si>
  <si>
    <t>079</t>
  </si>
  <si>
    <t>熱供給事業者名</t>
    <rPh sb="0" eb="1">
      <t>ネツ</t>
    </rPh>
    <rPh sb="1" eb="3">
      <t>キョウキュウ</t>
    </rPh>
    <rPh sb="3" eb="6">
      <t>ジギョウシャ</t>
    </rPh>
    <rPh sb="6" eb="7">
      <t>メイ</t>
    </rPh>
    <phoneticPr fontId="5"/>
  </si>
  <si>
    <t>熱供給事業者名リスト</t>
    <rPh sb="0" eb="1">
      <t>ネツ</t>
    </rPh>
    <rPh sb="1" eb="3">
      <t>キョウキュウ</t>
    </rPh>
    <rPh sb="3" eb="6">
      <t>ジギョウシャ</t>
    </rPh>
    <rPh sb="6" eb="7">
      <t>メイ</t>
    </rPh>
    <phoneticPr fontId="5"/>
  </si>
  <si>
    <t>メニューB</t>
    <phoneticPr fontId="5"/>
  </si>
  <si>
    <t>メニューC</t>
    <phoneticPr fontId="5"/>
  </si>
  <si>
    <r>
      <t>排出係数
[t-CO</t>
    </r>
    <r>
      <rPr>
        <vertAlign val="subscript"/>
        <sz val="11"/>
        <color theme="1"/>
        <rFont val="游ゴシック"/>
        <family val="3"/>
        <charset val="128"/>
        <scheme val="minor"/>
      </rPr>
      <t>2</t>
    </r>
    <r>
      <rPr>
        <sz val="11"/>
        <color theme="1"/>
        <rFont val="游ゴシック"/>
        <family val="3"/>
        <charset val="128"/>
        <scheme val="minor"/>
      </rPr>
      <t>/GJ]</t>
    </r>
    <rPh sb="0" eb="2">
      <t>ハイシュツ</t>
    </rPh>
    <rPh sb="2" eb="4">
      <t>ケイスウ</t>
    </rPh>
    <phoneticPr fontId="5"/>
  </si>
  <si>
    <t>排出係数
国代替値</t>
    <rPh sb="0" eb="2">
      <t>ハイシュツ</t>
    </rPh>
    <rPh sb="2" eb="4">
      <t>ケイスウ</t>
    </rPh>
    <rPh sb="5" eb="6">
      <t>クニ</t>
    </rPh>
    <rPh sb="6" eb="9">
      <t>ダイタイチ</t>
    </rPh>
    <phoneticPr fontId="5"/>
  </si>
  <si>
    <t>排出係数
国公表値</t>
    <rPh sb="0" eb="2">
      <t>ハイシュツ</t>
    </rPh>
    <rPh sb="2" eb="4">
      <t>ケイスウ</t>
    </rPh>
    <rPh sb="5" eb="6">
      <t>クニ</t>
    </rPh>
    <rPh sb="6" eb="9">
      <t>コウヒョウチ</t>
    </rPh>
    <phoneticPr fontId="5"/>
  </si>
  <si>
    <t>令和７年度</t>
  </si>
  <si>
    <t>令和８年度</t>
  </si>
  <si>
    <t>令和９年度</t>
  </si>
  <si>
    <t>令和１０年度</t>
  </si>
  <si>
    <t>令和１１年度</t>
  </si>
  <si>
    <t>電気</t>
    <rPh sb="0" eb="2">
      <t>デンキ</t>
    </rPh>
    <phoneticPr fontId="5"/>
  </si>
  <si>
    <t>熱</t>
    <rPh sb="0" eb="1">
      <t>ネツ</t>
    </rPh>
    <phoneticPr fontId="5"/>
  </si>
  <si>
    <t>都市ガス</t>
    <rPh sb="0" eb="2">
      <t>トシ</t>
    </rPh>
    <phoneticPr fontId="5"/>
  </si>
  <si>
    <t>参照用</t>
    <rPh sb="0" eb="2">
      <t>サンショウ</t>
    </rPh>
    <rPh sb="2" eb="3">
      <t>ヨウ</t>
    </rPh>
    <phoneticPr fontId="5"/>
  </si>
  <si>
    <t>検索キー</t>
    <rPh sb="0" eb="2">
      <t>ケンサク</t>
    </rPh>
    <phoneticPr fontId="5"/>
  </si>
  <si>
    <t>検索キー</t>
    <rPh sb="0" eb="2">
      <t>ケンサク</t>
    </rPh>
    <phoneticPr fontId="5"/>
  </si>
  <si>
    <t>使用量年度計 
[固有単位]</t>
    <rPh sb="9" eb="11">
      <t>コユウ</t>
    </rPh>
    <rPh sb="11" eb="13">
      <t>タンイ</t>
    </rPh>
    <phoneticPr fontId="5"/>
  </si>
  <si>
    <t>単位発熱量
[GJ/固有単位]</t>
    <phoneticPr fontId="5"/>
  </si>
  <si>
    <t>排出係数
[t-C/GJ]</t>
    <phoneticPr fontId="5"/>
  </si>
  <si>
    <t>一次エネルギー
換算係数
[GJ/固有単位]</t>
    <rPh sb="0" eb="2">
      <t>イチジ</t>
    </rPh>
    <rPh sb="8" eb="12">
      <t>カンザンケイスウ</t>
    </rPh>
    <rPh sb="17" eb="19">
      <t>コユウ</t>
    </rPh>
    <rPh sb="19" eb="21">
      <t>タンイ</t>
    </rPh>
    <phoneticPr fontId="5"/>
  </si>
  <si>
    <t>排出係数
選択結果</t>
    <rPh sb="0" eb="2">
      <t>ハイシュツ</t>
    </rPh>
    <rPh sb="2" eb="4">
      <t>ケイスウ</t>
    </rPh>
    <rPh sb="5" eb="7">
      <t>センタク</t>
    </rPh>
    <rPh sb="7" eb="9">
      <t>ケッカ</t>
    </rPh>
    <phoneticPr fontId="5"/>
  </si>
  <si>
    <t>002</t>
  </si>
  <si>
    <t>東京ガスエンジニアリングソリューションズ株式会社</t>
  </si>
  <si>
    <t>田町駅東口北地域</t>
  </si>
  <si>
    <t>東池袋地域</t>
  </si>
  <si>
    <t>014</t>
  </si>
  <si>
    <t>新都市熱供給株式会社</t>
  </si>
  <si>
    <t>016</t>
  </si>
  <si>
    <t>西池袋熱供給株式会社</t>
  </si>
  <si>
    <t>西池袋地域</t>
  </si>
  <si>
    <t>芝浦4丁目地域</t>
  </si>
  <si>
    <t>033</t>
  </si>
  <si>
    <t>新宿熱供給株式会社</t>
  </si>
  <si>
    <t>シーサイドももち地域</t>
  </si>
  <si>
    <t>047</t>
  </si>
  <si>
    <t>東京下水道エネルギー株式会社　後楽事業所</t>
  </si>
  <si>
    <t>050</t>
  </si>
  <si>
    <t>新宿南エネルギーサービス株式会社</t>
  </si>
  <si>
    <t>錦糸町熱供給株式会社</t>
  </si>
  <si>
    <t>064</t>
  </si>
  <si>
    <t>渋谷熱供給株式会社</t>
  </si>
  <si>
    <t>069</t>
  </si>
  <si>
    <t>品川エネルギーサービス株式会社</t>
  </si>
  <si>
    <t>073</t>
  </si>
  <si>
    <t>ＤＨＣ名古屋株式会社</t>
  </si>
  <si>
    <t>地域</t>
    <rPh sb="0" eb="2">
      <t>チイキ</t>
    </rPh>
    <phoneticPr fontId="5"/>
  </si>
  <si>
    <t>排出係数
単位</t>
    <rPh sb="0" eb="2">
      <t>ハイシュツ</t>
    </rPh>
    <rPh sb="2" eb="4">
      <t>ケイスウ</t>
    </rPh>
    <rPh sb="5" eb="7">
      <t>タンイ</t>
    </rPh>
    <phoneticPr fontId="5"/>
  </si>
  <si>
    <t>SHK制度公表資料からの転記時は千kwhではなくkWh単位</t>
    <rPh sb="3" eb="5">
      <t>セイド</t>
    </rPh>
    <rPh sb="5" eb="7">
      <t>コウヒョウ</t>
    </rPh>
    <rPh sb="7" eb="9">
      <t>シリョウ</t>
    </rPh>
    <rPh sb="12" eb="14">
      <t>テンキ</t>
    </rPh>
    <rPh sb="14" eb="15">
      <t>ジ</t>
    </rPh>
    <rPh sb="16" eb="17">
      <t>セン</t>
    </rPh>
    <rPh sb="27" eb="29">
      <t>タンイ</t>
    </rPh>
    <phoneticPr fontId="5"/>
  </si>
  <si>
    <t>使用量
（年度計）
[固有単位]</t>
    <rPh sb="0" eb="3">
      <t>シヨウリョウ</t>
    </rPh>
    <rPh sb="5" eb="7">
      <t>ネンド</t>
    </rPh>
    <rPh sb="7" eb="8">
      <t>ケイ</t>
    </rPh>
    <rPh sb="11" eb="13">
      <t>コユウ</t>
    </rPh>
    <phoneticPr fontId="5"/>
  </si>
  <si>
    <t>単位補正</t>
    <rPh sb="0" eb="2">
      <t>タンイ</t>
    </rPh>
    <rPh sb="2" eb="4">
      <t>ホセイ</t>
    </rPh>
    <phoneticPr fontId="5"/>
  </si>
  <si>
    <t>MJ</t>
  </si>
  <si>
    <t>GJ</t>
  </si>
  <si>
    <t>kWh</t>
    <phoneticPr fontId="5"/>
  </si>
  <si>
    <t>千kWh</t>
    <rPh sb="0" eb="1">
      <t>セン</t>
    </rPh>
    <phoneticPr fontId="5"/>
  </si>
  <si>
    <t>MJ</t>
    <phoneticPr fontId="5"/>
  </si>
  <si>
    <t>GJ</t>
    <phoneticPr fontId="5"/>
  </si>
  <si>
    <t>都市ガス低圧用</t>
    <rPh sb="0" eb="2">
      <t>トシ</t>
    </rPh>
    <rPh sb="4" eb="7">
      <t>テイアツヨウ</t>
    </rPh>
    <phoneticPr fontId="5"/>
  </si>
  <si>
    <t>都市ガス中間圧用</t>
    <rPh sb="0" eb="2">
      <t>トシ</t>
    </rPh>
    <rPh sb="4" eb="8">
      <t>チュウカンアツヨウ</t>
    </rPh>
    <phoneticPr fontId="5"/>
  </si>
  <si>
    <r>
      <t>m</t>
    </r>
    <r>
      <rPr>
        <vertAlign val="superscript"/>
        <sz val="11"/>
        <color theme="1"/>
        <rFont val="游ゴシック"/>
        <family val="3"/>
        <charset val="128"/>
        <scheme val="minor"/>
      </rPr>
      <t>3</t>
    </r>
    <r>
      <rPr>
        <sz val="11"/>
        <color theme="1"/>
        <rFont val="游ゴシック"/>
        <family val="3"/>
        <charset val="128"/>
        <scheme val="minor"/>
      </rPr>
      <t>→m</t>
    </r>
    <r>
      <rPr>
        <vertAlign val="superscript"/>
        <sz val="11"/>
        <color theme="1"/>
        <rFont val="游ゴシック"/>
        <family val="3"/>
        <charset val="128"/>
        <scheme val="minor"/>
      </rPr>
      <t>3</t>
    </r>
    <r>
      <rPr>
        <sz val="11"/>
        <color theme="1"/>
        <rFont val="游ゴシック"/>
        <family val="3"/>
        <charset val="128"/>
        <scheme val="minor"/>
      </rPr>
      <t>(SATP)への換算係数　=  千m</t>
    </r>
    <r>
      <rPr>
        <vertAlign val="superscript"/>
        <sz val="11"/>
        <color theme="1"/>
        <rFont val="游ゴシック"/>
        <family val="3"/>
        <charset val="128"/>
        <scheme val="minor"/>
      </rPr>
      <t>3</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(SATP)への換算係数</t>
    </r>
    <rPh sb="13" eb="15">
      <t>カンザン</t>
    </rPh>
    <rPh sb="15" eb="17">
      <t>ケイスウ</t>
    </rPh>
    <rPh sb="21" eb="22">
      <t>セン</t>
    </rPh>
    <rPh sb="25" eb="26">
      <t>セン</t>
    </rPh>
    <phoneticPr fontId="5"/>
  </si>
  <si>
    <r>
      <t>千m</t>
    </r>
    <r>
      <rPr>
        <vertAlign val="superscript"/>
        <sz val="11"/>
        <color theme="1"/>
        <rFont val="游ゴシック"/>
        <family val="3"/>
        <charset val="128"/>
        <scheme val="minor"/>
      </rPr>
      <t>3</t>
    </r>
    <r>
      <rPr>
        <sz val="11"/>
        <color theme="1"/>
        <rFont val="游ゴシック"/>
        <family val="3"/>
        <charset val="128"/>
        <scheme val="minor"/>
      </rPr>
      <t>→千m</t>
    </r>
    <r>
      <rPr>
        <vertAlign val="superscript"/>
        <sz val="11"/>
        <color theme="1"/>
        <rFont val="游ゴシック"/>
        <family val="3"/>
        <charset val="128"/>
        <scheme val="minor"/>
      </rPr>
      <t>3</t>
    </r>
    <r>
      <rPr>
        <sz val="11"/>
        <color theme="1"/>
        <rFont val="游ゴシック"/>
        <family val="3"/>
        <charset val="128"/>
        <scheme val="minor"/>
      </rPr>
      <t>(SATP)への換算係数</t>
    </r>
    <rPh sb="0" eb="1">
      <t>セン</t>
    </rPh>
    <rPh sb="4" eb="5">
      <t>セン</t>
    </rPh>
    <phoneticPr fontId="5"/>
  </si>
  <si>
    <r>
      <t>Nm</t>
    </r>
    <r>
      <rPr>
        <vertAlign val="superscript"/>
        <sz val="11"/>
        <color theme="1"/>
        <rFont val="游ゴシック"/>
        <family val="3"/>
        <charset val="128"/>
        <scheme val="minor"/>
      </rPr>
      <t>3</t>
    </r>
    <phoneticPr fontId="5"/>
  </si>
  <si>
    <r>
      <t>Nm</t>
    </r>
    <r>
      <rPr>
        <b/>
        <vertAlign val="superscript"/>
        <sz val="11"/>
        <color theme="1"/>
        <rFont val="游ゴシック"/>
        <family val="3"/>
        <charset val="128"/>
        <scheme val="minor"/>
      </rPr>
      <t>3</t>
    </r>
    <phoneticPr fontId="5"/>
  </si>
  <si>
    <t>単位換算</t>
    <rPh sb="0" eb="2">
      <t>タンイ</t>
    </rPh>
    <rPh sb="2" eb="4">
      <t>カンザン</t>
    </rPh>
    <phoneticPr fontId="5"/>
  </si>
  <si>
    <t>要記入</t>
    <rPh sb="0" eb="3">
      <t>ヨウキニュウ</t>
    </rPh>
    <phoneticPr fontId="5"/>
  </si>
  <si>
    <r>
      <t>m</t>
    </r>
    <r>
      <rPr>
        <vertAlign val="superscript"/>
        <sz val="11"/>
        <color theme="1"/>
        <rFont val="游ゴシック"/>
        <family val="3"/>
        <charset val="128"/>
        <scheme val="minor"/>
      </rPr>
      <t>3</t>
    </r>
    <r>
      <rPr>
        <sz val="11"/>
        <color theme="1"/>
        <rFont val="游ゴシック"/>
        <family val="3"/>
        <charset val="128"/>
        <scheme val="minor"/>
      </rPr>
      <t>（SATP)</t>
    </r>
    <phoneticPr fontId="5"/>
  </si>
  <si>
    <t>都市ガス単位換算
（SATP→N)</t>
    <rPh sb="0" eb="2">
      <t>トシ</t>
    </rPh>
    <rPh sb="4" eb="6">
      <t>タンイ</t>
    </rPh>
    <rPh sb="6" eb="8">
      <t>カンザン</t>
    </rPh>
    <phoneticPr fontId="5"/>
  </si>
  <si>
    <t>都市ガス
第3係数熱量
[GJ]</t>
    <rPh sb="0" eb="2">
      <t>トシ</t>
    </rPh>
    <rPh sb="5" eb="6">
      <t>ダイ</t>
    </rPh>
    <rPh sb="7" eb="9">
      <t>ケイスウ</t>
    </rPh>
    <rPh sb="9" eb="11">
      <t>ネツリョウ</t>
    </rPh>
    <phoneticPr fontId="5"/>
  </si>
  <si>
    <r>
      <t>第3係数
CO</t>
    </r>
    <r>
      <rPr>
        <vertAlign val="subscript"/>
        <sz val="11"/>
        <color theme="1"/>
        <rFont val="游明朝"/>
        <family val="1"/>
        <charset val="128"/>
      </rPr>
      <t>２</t>
    </r>
    <r>
      <rPr>
        <sz val="11"/>
        <color theme="1"/>
        <rFont val="游明朝"/>
        <family val="1"/>
        <charset val="128"/>
      </rPr>
      <t>排出量
[t-CO</t>
    </r>
    <r>
      <rPr>
        <vertAlign val="subscript"/>
        <sz val="11"/>
        <color theme="1"/>
        <rFont val="游明朝"/>
        <family val="1"/>
        <charset val="128"/>
      </rPr>
      <t>2</t>
    </r>
    <r>
      <rPr>
        <sz val="11"/>
        <color theme="1"/>
        <rFont val="游明朝"/>
        <family val="1"/>
        <charset val="128"/>
      </rPr>
      <t>]</t>
    </r>
    <rPh sb="0" eb="1">
      <t>ダイ</t>
    </rPh>
    <rPh sb="2" eb="4">
      <t>ケイスウ</t>
    </rPh>
    <rPh sb="8" eb="11">
      <t>ハイシュツリョウ</t>
    </rPh>
    <phoneticPr fontId="5"/>
  </si>
  <si>
    <t>第4まとめ表
行番号</t>
    <rPh sb="0" eb="1">
      <t>ダイ</t>
    </rPh>
    <rPh sb="5" eb="6">
      <t>ヒョウ</t>
    </rPh>
    <rPh sb="7" eb="8">
      <t>ギョウ</t>
    </rPh>
    <rPh sb="8" eb="10">
      <t>バンゴウ</t>
    </rPh>
    <phoneticPr fontId="5"/>
  </si>
  <si>
    <t>第3まとめ表
行番号</t>
    <rPh sb="0" eb="1">
      <t>ダイ</t>
    </rPh>
    <rPh sb="5" eb="6">
      <t>ヒョウ</t>
    </rPh>
    <rPh sb="7" eb="8">
      <t>ギョウ</t>
    </rPh>
    <rPh sb="8" eb="10">
      <t>バンゴウ</t>
    </rPh>
    <phoneticPr fontId="5"/>
  </si>
  <si>
    <t>電気・熱_都市ガスシート</t>
    <rPh sb="0" eb="2">
      <t>デンキ</t>
    </rPh>
    <rPh sb="3" eb="4">
      <t>ネツ</t>
    </rPh>
    <rPh sb="5" eb="7">
      <t>トシ</t>
    </rPh>
    <phoneticPr fontId="5"/>
  </si>
  <si>
    <t>燃料シート</t>
    <rPh sb="0" eb="2">
      <t>ネンリョウ</t>
    </rPh>
    <phoneticPr fontId="5"/>
  </si>
  <si>
    <t>電気_自己託送_非燃料由来の非化石電気以外</t>
    <rPh sb="0" eb="2">
      <t>デンキ</t>
    </rPh>
    <rPh sb="3" eb="7">
      <t>ジコタクソウ</t>
    </rPh>
    <rPh sb="8" eb="9">
      <t>ヒ</t>
    </rPh>
    <rPh sb="9" eb="11">
      <t>ネンリョウ</t>
    </rPh>
    <rPh sb="11" eb="13">
      <t>ユライ</t>
    </rPh>
    <rPh sb="14" eb="15">
      <t>ヒ</t>
    </rPh>
    <rPh sb="15" eb="17">
      <t>カセキ</t>
    </rPh>
    <rPh sb="17" eb="19">
      <t>デンキ</t>
    </rPh>
    <rPh sb="19" eb="21">
      <t>イガイ</t>
    </rPh>
    <phoneticPr fontId="5"/>
  </si>
  <si>
    <t>電気・熱</t>
    <rPh sb="0" eb="2">
      <t>デンキ</t>
    </rPh>
    <rPh sb="3" eb="4">
      <t>ネツ</t>
    </rPh>
    <phoneticPr fontId="5"/>
  </si>
  <si>
    <r>
      <t>CO</t>
    </r>
    <r>
      <rPr>
        <vertAlign val="subscript"/>
        <sz val="10"/>
        <color theme="1"/>
        <rFont val="游明朝"/>
        <family val="1"/>
        <charset val="128"/>
      </rPr>
      <t>２</t>
    </r>
    <r>
      <rPr>
        <sz val="10"/>
        <color theme="1"/>
        <rFont val="游明朝"/>
        <family val="1"/>
        <charset val="128"/>
      </rPr>
      <t>排出量
[t-CO</t>
    </r>
    <r>
      <rPr>
        <vertAlign val="subscript"/>
        <sz val="10"/>
        <color theme="1"/>
        <rFont val="游明朝"/>
        <family val="1"/>
        <charset val="128"/>
      </rPr>
      <t>2</t>
    </r>
    <r>
      <rPr>
        <sz val="10"/>
        <color theme="1"/>
        <rFont val="游明朝"/>
        <family val="1"/>
        <charset val="128"/>
      </rPr>
      <t>]</t>
    </r>
    <rPh sb="3" eb="6">
      <t>ハイシュツリョウ</t>
    </rPh>
    <phoneticPr fontId="5"/>
  </si>
  <si>
    <t>ごみ固形燃料（RDF）</t>
    <phoneticPr fontId="5"/>
  </si>
  <si>
    <t>非表示</t>
    <rPh sb="0" eb="3">
      <t>ヒヒョウジ</t>
    </rPh>
    <phoneticPr fontId="5"/>
  </si>
  <si>
    <t>単位_データ入力規則参照</t>
    <rPh sb="0" eb="2">
      <t>タンイ</t>
    </rPh>
    <rPh sb="6" eb="8">
      <t>ニュウリョク</t>
    </rPh>
    <rPh sb="8" eb="10">
      <t>キソク</t>
    </rPh>
    <rPh sb="10" eb="12">
      <t>サンショウ</t>
    </rPh>
    <phoneticPr fontId="5"/>
  </si>
  <si>
    <r>
      <t>t-CO</t>
    </r>
    <r>
      <rPr>
        <vertAlign val="subscript"/>
        <sz val="11"/>
        <color theme="1"/>
        <rFont val="游明朝"/>
        <family val="1"/>
        <charset val="128"/>
      </rPr>
      <t>2</t>
    </r>
    <r>
      <rPr>
        <sz val="11"/>
        <color theme="1"/>
        <rFont val="游明朝"/>
        <family val="1"/>
        <charset val="128"/>
      </rPr>
      <t>/t</t>
    </r>
    <phoneticPr fontId="6"/>
  </si>
  <si>
    <r>
      <t>t-CO</t>
    </r>
    <r>
      <rPr>
        <vertAlign val="subscript"/>
        <sz val="11"/>
        <color theme="1"/>
        <rFont val="游明朝"/>
        <family val="1"/>
        <charset val="128"/>
      </rPr>
      <t>2</t>
    </r>
    <r>
      <rPr>
        <sz val="11"/>
        <color theme="1"/>
        <rFont val="游明朝"/>
        <family val="1"/>
        <charset val="128"/>
      </rPr>
      <t>/kL</t>
    </r>
    <phoneticPr fontId="6"/>
  </si>
  <si>
    <t>使　用　量
（端数処理後）</t>
    <phoneticPr fontId="6"/>
  </si>
  <si>
    <t>熱量
[GJ]</t>
    <rPh sb="0" eb="2">
      <t>ネツリョウ</t>
    </rPh>
    <phoneticPr fontId="5"/>
  </si>
  <si>
    <r>
      <t>目標設定ガス以外のCO</t>
    </r>
    <r>
      <rPr>
        <vertAlign val="subscript"/>
        <sz val="11"/>
        <color indexed="8"/>
        <rFont val="游明朝"/>
        <family val="1"/>
        <charset val="128"/>
      </rPr>
      <t>2</t>
    </r>
    <r>
      <rPr>
        <sz val="11"/>
        <color indexed="8"/>
        <rFont val="游明朝"/>
        <family val="1"/>
        <charset val="128"/>
      </rPr>
      <t xml:space="preserve">
[t-CO</t>
    </r>
    <r>
      <rPr>
        <vertAlign val="subscript"/>
        <sz val="11"/>
        <color indexed="8"/>
        <rFont val="游明朝"/>
        <family val="1"/>
        <charset val="128"/>
      </rPr>
      <t>2</t>
    </r>
    <r>
      <rPr>
        <sz val="11"/>
        <color indexed="8"/>
        <rFont val="游明朝"/>
        <family val="1"/>
        <charset val="128"/>
      </rPr>
      <t>]</t>
    </r>
    <rPh sb="0" eb="4">
      <t>モクヒョウセッテイ</t>
    </rPh>
    <rPh sb="6" eb="8">
      <t>イガイ</t>
    </rPh>
    <phoneticPr fontId="5"/>
  </si>
  <si>
    <r>
      <t xml:space="preserve">排出係数
</t>
    </r>
    <r>
      <rPr>
        <sz val="10"/>
        <color theme="1"/>
        <rFont val="游明朝"/>
        <family val="1"/>
        <charset val="128"/>
      </rPr>
      <t>（その他の温室効果ガス欄は
地球温暖化係数）</t>
    </r>
    <rPh sb="8" eb="9">
      <t>タ</t>
    </rPh>
    <rPh sb="10" eb="12">
      <t>オンシツ</t>
    </rPh>
    <rPh sb="12" eb="14">
      <t>コウカ</t>
    </rPh>
    <rPh sb="16" eb="17">
      <t>ラン</t>
    </rPh>
    <rPh sb="19" eb="21">
      <t>チキュウ</t>
    </rPh>
    <rPh sb="21" eb="24">
      <t>オンダンカ</t>
    </rPh>
    <rPh sb="24" eb="26">
      <t>ケイスウ</t>
    </rPh>
    <phoneticPr fontId="6"/>
  </si>
  <si>
    <r>
      <t>t-CO</t>
    </r>
    <r>
      <rPr>
        <vertAlign val="subscript"/>
        <sz val="14"/>
        <color theme="1"/>
        <rFont val="游明朝"/>
        <family val="1"/>
        <charset val="128"/>
      </rPr>
      <t>2</t>
    </r>
    <phoneticPr fontId="5"/>
  </si>
  <si>
    <r>
      <t>t-CO</t>
    </r>
    <r>
      <rPr>
        <vertAlign val="subscript"/>
        <sz val="11"/>
        <color theme="1"/>
        <rFont val="游明朝"/>
        <family val="1"/>
        <charset val="128"/>
      </rPr>
      <t>2</t>
    </r>
    <r>
      <rPr>
        <sz val="11"/>
        <color theme="1"/>
        <rFont val="游明朝"/>
        <family val="1"/>
        <charset val="128"/>
      </rPr>
      <t>/千m</t>
    </r>
    <r>
      <rPr>
        <vertAlign val="superscript"/>
        <sz val="11"/>
        <color theme="1"/>
        <rFont val="游明朝"/>
        <family val="1"/>
        <charset val="128"/>
      </rPr>
      <t>3</t>
    </r>
    <rPh sb="6" eb="7">
      <t>セン</t>
    </rPh>
    <phoneticPr fontId="6"/>
  </si>
  <si>
    <r>
      <t>t-CO</t>
    </r>
    <r>
      <rPr>
        <vertAlign val="subscript"/>
        <sz val="11"/>
        <color theme="1"/>
        <rFont val="游明朝"/>
        <family val="1"/>
        <charset val="128"/>
      </rPr>
      <t>2</t>
    </r>
    <r>
      <rPr>
        <sz val="11"/>
        <color theme="1"/>
        <rFont val="游明朝"/>
        <family val="1"/>
        <charset val="128"/>
      </rPr>
      <t>/Nm</t>
    </r>
    <r>
      <rPr>
        <vertAlign val="superscript"/>
        <sz val="11"/>
        <color theme="1"/>
        <rFont val="游明朝"/>
        <family val="1"/>
        <charset val="128"/>
      </rPr>
      <t>3</t>
    </r>
    <phoneticPr fontId="6"/>
  </si>
  <si>
    <t>単位補正</t>
    <rPh sb="0" eb="2">
      <t>タンイ</t>
    </rPh>
    <rPh sb="2" eb="4">
      <t>ホセイ</t>
    </rPh>
    <phoneticPr fontId="5"/>
  </si>
  <si>
    <t>単位補正後使用量</t>
    <rPh sb="0" eb="2">
      <t>タンイ</t>
    </rPh>
    <rPh sb="2" eb="4">
      <t>ホセイ</t>
    </rPh>
    <rPh sb="4" eb="5">
      <t>アト</t>
    </rPh>
    <rPh sb="5" eb="8">
      <t>シヨウリョウ</t>
    </rPh>
    <phoneticPr fontId="6"/>
  </si>
  <si>
    <r>
      <t>t-CO</t>
    </r>
    <r>
      <rPr>
        <vertAlign val="subscript"/>
        <sz val="11"/>
        <color theme="1"/>
        <rFont val="游明朝"/>
        <family val="1"/>
        <charset val="128"/>
      </rPr>
      <t>2</t>
    </r>
    <r>
      <rPr>
        <sz val="11"/>
        <color theme="1"/>
        <rFont val="游明朝"/>
        <family val="1"/>
        <charset val="128"/>
      </rPr>
      <t>/t-CH</t>
    </r>
    <r>
      <rPr>
        <vertAlign val="subscript"/>
        <sz val="11"/>
        <color theme="1"/>
        <rFont val="游明朝"/>
        <family val="1"/>
        <charset val="128"/>
      </rPr>
      <t>4</t>
    </r>
    <phoneticPr fontId="6"/>
  </si>
  <si>
    <r>
      <t>t-CO</t>
    </r>
    <r>
      <rPr>
        <vertAlign val="subscript"/>
        <sz val="11"/>
        <color theme="1"/>
        <rFont val="游明朝"/>
        <family val="1"/>
        <charset val="128"/>
      </rPr>
      <t>2</t>
    </r>
    <r>
      <rPr>
        <sz val="11"/>
        <color theme="1"/>
        <rFont val="游明朝"/>
        <family val="1"/>
        <charset val="128"/>
      </rPr>
      <t>/t-N</t>
    </r>
    <r>
      <rPr>
        <vertAlign val="subscript"/>
        <sz val="11"/>
        <color theme="1"/>
        <rFont val="游明朝"/>
        <family val="1"/>
        <charset val="128"/>
      </rPr>
      <t>2</t>
    </r>
    <r>
      <rPr>
        <sz val="11"/>
        <color theme="1"/>
        <rFont val="游明朝"/>
        <family val="1"/>
        <charset val="128"/>
      </rPr>
      <t>O</t>
    </r>
    <phoneticPr fontId="6"/>
  </si>
  <si>
    <r>
      <t>t-CO</t>
    </r>
    <r>
      <rPr>
        <vertAlign val="subscript"/>
        <sz val="11"/>
        <color theme="1"/>
        <rFont val="游明朝"/>
        <family val="1"/>
        <charset val="128"/>
      </rPr>
      <t>2</t>
    </r>
    <r>
      <rPr>
        <sz val="11"/>
        <color theme="1"/>
        <rFont val="游明朝"/>
        <family val="1"/>
        <charset val="128"/>
      </rPr>
      <t>/t-SF</t>
    </r>
    <r>
      <rPr>
        <vertAlign val="subscript"/>
        <sz val="11"/>
        <color theme="1"/>
        <rFont val="游明朝"/>
        <family val="1"/>
        <charset val="128"/>
      </rPr>
      <t>6</t>
    </r>
    <phoneticPr fontId="6"/>
  </si>
  <si>
    <r>
      <t>t-CO</t>
    </r>
    <r>
      <rPr>
        <vertAlign val="subscript"/>
        <sz val="11"/>
        <color theme="1"/>
        <rFont val="游明朝"/>
        <family val="1"/>
        <charset val="128"/>
      </rPr>
      <t>2</t>
    </r>
    <r>
      <rPr>
        <sz val="11"/>
        <color theme="1"/>
        <rFont val="游明朝"/>
        <family val="1"/>
        <charset val="128"/>
      </rPr>
      <t>/t-NF</t>
    </r>
    <r>
      <rPr>
        <vertAlign val="subscript"/>
        <sz val="11"/>
        <color theme="1"/>
        <rFont val="游明朝"/>
        <family val="1"/>
        <charset val="128"/>
      </rPr>
      <t>3</t>
    </r>
    <phoneticPr fontId="6"/>
  </si>
  <si>
    <t>t</t>
    <phoneticPr fontId="5"/>
  </si>
  <si>
    <t>kL</t>
    <phoneticPr fontId="5"/>
  </si>
  <si>
    <t>非表示</t>
    <rPh sb="0" eb="3">
      <t>ヒヒョウジ</t>
    </rPh>
    <phoneticPr fontId="5"/>
  </si>
  <si>
    <r>
      <t>千m</t>
    </r>
    <r>
      <rPr>
        <vertAlign val="superscript"/>
        <sz val="11"/>
        <color theme="1"/>
        <rFont val="游明朝"/>
        <family val="1"/>
        <charset val="128"/>
      </rPr>
      <t>3</t>
    </r>
    <phoneticPr fontId="5"/>
  </si>
  <si>
    <r>
      <t>Nm</t>
    </r>
    <r>
      <rPr>
        <vertAlign val="superscript"/>
        <sz val="11"/>
        <color theme="1"/>
        <rFont val="游明朝"/>
        <family val="1"/>
        <charset val="128"/>
      </rPr>
      <t>3</t>
    </r>
    <phoneticPr fontId="5"/>
  </si>
  <si>
    <r>
      <t>t-SF</t>
    </r>
    <r>
      <rPr>
        <vertAlign val="subscript"/>
        <sz val="11"/>
        <color theme="1"/>
        <rFont val="游明朝"/>
        <family val="1"/>
        <charset val="128"/>
      </rPr>
      <t>6</t>
    </r>
    <phoneticPr fontId="5"/>
  </si>
  <si>
    <r>
      <t>t-NF</t>
    </r>
    <r>
      <rPr>
        <vertAlign val="subscript"/>
        <sz val="11"/>
        <color theme="1"/>
        <rFont val="游明朝"/>
        <family val="1"/>
        <charset val="128"/>
      </rPr>
      <t>3</t>
    </r>
    <phoneticPr fontId="5"/>
  </si>
  <si>
    <r>
      <t>t-CH</t>
    </r>
    <r>
      <rPr>
        <vertAlign val="subscript"/>
        <sz val="11"/>
        <color theme="1"/>
        <rFont val="游明朝"/>
        <family val="1"/>
        <charset val="128"/>
      </rPr>
      <t>4</t>
    </r>
    <phoneticPr fontId="5"/>
  </si>
  <si>
    <r>
      <t>t-N</t>
    </r>
    <r>
      <rPr>
        <vertAlign val="subscript"/>
        <sz val="11"/>
        <color theme="1"/>
        <rFont val="游明朝"/>
        <family val="1"/>
        <charset val="128"/>
      </rPr>
      <t>2</t>
    </r>
    <r>
      <rPr>
        <sz val="11"/>
        <color theme="1"/>
        <rFont val="游明朝"/>
        <family val="1"/>
        <charset val="128"/>
      </rPr>
      <t>O</t>
    </r>
    <phoneticPr fontId="5"/>
  </si>
  <si>
    <t>種類</t>
    <rPh sb="0" eb="2">
      <t>シュルイ</t>
    </rPh>
    <phoneticPr fontId="5"/>
  </si>
  <si>
    <t>再エネ種類選択</t>
    <rPh sb="0" eb="1">
      <t>サイ</t>
    </rPh>
    <rPh sb="3" eb="5">
      <t>シュルイ</t>
    </rPh>
    <rPh sb="5" eb="7">
      <t>センタク</t>
    </rPh>
    <phoneticPr fontId="5"/>
  </si>
  <si>
    <t>バイオマス種類選択</t>
    <rPh sb="5" eb="7">
      <t>シュルイ</t>
    </rPh>
    <rPh sb="7" eb="9">
      <t>センタク</t>
    </rPh>
    <phoneticPr fontId="5"/>
  </si>
  <si>
    <t>有</t>
    <rPh sb="0" eb="1">
      <t>アリ</t>
    </rPh>
    <phoneticPr fontId="5"/>
  </si>
  <si>
    <t>無</t>
    <rPh sb="0" eb="1">
      <t>ナ</t>
    </rPh>
    <phoneticPr fontId="5"/>
  </si>
  <si>
    <t>一次エネルギー換算係数</t>
    <rPh sb="0" eb="2">
      <t>イチジ</t>
    </rPh>
    <rPh sb="7" eb="11">
      <t>カンザンケイスウ</t>
    </rPh>
    <phoneticPr fontId="5"/>
  </si>
  <si>
    <t>一次エネルギー
換算係数
[GJ/固有単位]</t>
    <rPh sb="0" eb="2">
      <t>イチジ</t>
    </rPh>
    <rPh sb="8" eb="12">
      <t>カンザンケイスウ</t>
    </rPh>
    <phoneticPr fontId="5"/>
  </si>
  <si>
    <t>燃料
電気・熱_都市ガス</t>
    <rPh sb="0" eb="2">
      <t>ネンリョウ</t>
    </rPh>
    <phoneticPr fontId="5"/>
  </si>
  <si>
    <t>把握方法_事業所内</t>
    <rPh sb="0" eb="2">
      <t>ハアク</t>
    </rPh>
    <rPh sb="2" eb="4">
      <t>ホウホウ</t>
    </rPh>
    <rPh sb="5" eb="8">
      <t>ジギョウジョ</t>
    </rPh>
    <rPh sb="8" eb="9">
      <t>ウチ</t>
    </rPh>
    <phoneticPr fontId="5"/>
  </si>
  <si>
    <t>電気_仮想電力購入契約</t>
    <rPh sb="0" eb="2">
      <t>デンキ</t>
    </rPh>
    <rPh sb="3" eb="5">
      <t>カソウ</t>
    </rPh>
    <rPh sb="5" eb="7">
      <t>デンリョク</t>
    </rPh>
    <rPh sb="7" eb="9">
      <t>コウニュウ</t>
    </rPh>
    <rPh sb="9" eb="11">
      <t>ケイヤク</t>
    </rPh>
    <phoneticPr fontId="5"/>
  </si>
  <si>
    <t>環境価値_仮想電力契約</t>
    <rPh sb="0" eb="2">
      <t>カンキョウ</t>
    </rPh>
    <rPh sb="2" eb="4">
      <t>カチ</t>
    </rPh>
    <rPh sb="5" eb="7">
      <t>カソウ</t>
    </rPh>
    <rPh sb="7" eb="11">
      <t>デンリョクケイヤク</t>
    </rPh>
    <phoneticPr fontId="5"/>
  </si>
  <si>
    <t>環境価値の有無選択</t>
    <rPh sb="0" eb="4">
      <t>カンキョウカチ</t>
    </rPh>
    <rPh sb="5" eb="7">
      <t>ウム</t>
    </rPh>
    <rPh sb="7" eb="9">
      <t>センタク</t>
    </rPh>
    <phoneticPr fontId="5"/>
  </si>
  <si>
    <t>排出係数設定根拠_仮想電力契約購入の場合</t>
    <rPh sb="0" eb="2">
      <t>ハイシュツ</t>
    </rPh>
    <rPh sb="2" eb="4">
      <t>ケイスウ</t>
    </rPh>
    <rPh sb="4" eb="6">
      <t>セッテイ</t>
    </rPh>
    <rPh sb="6" eb="8">
      <t>コンキョ</t>
    </rPh>
    <rPh sb="9" eb="11">
      <t>カソウ</t>
    </rPh>
    <rPh sb="11" eb="15">
      <t>デンリョクケイヤク</t>
    </rPh>
    <rPh sb="15" eb="17">
      <t>コウニュウ</t>
    </rPh>
    <rPh sb="18" eb="20">
      <t>バアイ</t>
    </rPh>
    <phoneticPr fontId="5"/>
  </si>
  <si>
    <t>国代替値</t>
    <rPh sb="0" eb="1">
      <t>クニ</t>
    </rPh>
    <rPh sb="1" eb="4">
      <t>ダイタイチ</t>
    </rPh>
    <phoneticPr fontId="5"/>
  </si>
  <si>
    <t>目標設定ガスの算定対象外</t>
    <rPh sb="0" eb="4">
      <t>モクヒョウセッテイ</t>
    </rPh>
    <rPh sb="7" eb="9">
      <t>サンテイ</t>
    </rPh>
    <rPh sb="9" eb="12">
      <t>タイショウガイ</t>
    </rPh>
    <phoneticPr fontId="5"/>
  </si>
  <si>
    <t>排出係数設定根拠</t>
    <rPh sb="0" eb="2">
      <t>ハイシュツ</t>
    </rPh>
    <rPh sb="2" eb="4">
      <t>ケイスウ</t>
    </rPh>
    <rPh sb="4" eb="6">
      <t>セッテイ</t>
    </rPh>
    <rPh sb="6" eb="8">
      <t>コンキョ</t>
    </rPh>
    <phoneticPr fontId="5"/>
  </si>
  <si>
    <t>排出係数</t>
    <rPh sb="0" eb="2">
      <t>ハイシュツ</t>
    </rPh>
    <rPh sb="2" eb="4">
      <t>ケイスウ</t>
    </rPh>
    <phoneticPr fontId="5"/>
  </si>
  <si>
    <t>国代替値</t>
    <rPh sb="0" eb="4">
      <t>クニダイタイチ</t>
    </rPh>
    <phoneticPr fontId="5"/>
  </si>
  <si>
    <t>使用量
（年度計）
[記入単位]</t>
    <phoneticPr fontId="5"/>
  </si>
  <si>
    <t>使用量(年度計)
単位補正後</t>
    <rPh sb="0" eb="3">
      <t>シヨウリョウ</t>
    </rPh>
    <rPh sb="4" eb="6">
      <t>ネンド</t>
    </rPh>
    <rPh sb="6" eb="7">
      <t>ケイ</t>
    </rPh>
    <rPh sb="9" eb="11">
      <t>タンイ</t>
    </rPh>
    <rPh sb="11" eb="13">
      <t>ホセイ</t>
    </rPh>
    <rPh sb="13" eb="14">
      <t>アト</t>
    </rPh>
    <phoneticPr fontId="5"/>
  </si>
  <si>
    <r>
      <t>CO</t>
    </r>
    <r>
      <rPr>
        <vertAlign val="subscript"/>
        <sz val="11"/>
        <color theme="1"/>
        <rFont val="游明朝"/>
        <family val="1"/>
        <charset val="128"/>
      </rPr>
      <t>2</t>
    </r>
    <r>
      <rPr>
        <sz val="11"/>
        <color theme="1"/>
        <rFont val="游明朝"/>
        <family val="1"/>
        <charset val="128"/>
      </rPr>
      <t>排出量</t>
    </r>
    <rPh sb="3" eb="5">
      <t>ハイシュツ</t>
    </rPh>
    <rPh sb="5" eb="6">
      <t>リョウ</t>
    </rPh>
    <phoneticPr fontId="5"/>
  </si>
  <si>
    <t>正負</t>
    <rPh sb="0" eb="2">
      <t>セイフ</t>
    </rPh>
    <phoneticPr fontId="5"/>
  </si>
  <si>
    <t>②　事業所外から供給される再生可能エネルギー等により発電した電気及び発生させた熱</t>
    <rPh sb="2" eb="5">
      <t>ジギョウジョ</t>
    </rPh>
    <rPh sb="5" eb="6">
      <t>ガイ</t>
    </rPh>
    <rPh sb="13" eb="15">
      <t>サイセイ</t>
    </rPh>
    <rPh sb="15" eb="17">
      <t>カノウ</t>
    </rPh>
    <rPh sb="22" eb="23">
      <t>トウ</t>
    </rPh>
    <rPh sb="26" eb="28">
      <t>ハツデン</t>
    </rPh>
    <rPh sb="30" eb="32">
      <t>デンキ</t>
    </rPh>
    <rPh sb="32" eb="33">
      <t>オヨ</t>
    </rPh>
    <rPh sb="34" eb="36">
      <t>ハッセイ</t>
    </rPh>
    <rPh sb="39" eb="40">
      <t>ネツ</t>
    </rPh>
    <phoneticPr fontId="5"/>
  </si>
  <si>
    <t>①　事業所等で再生可能エネルギー等により発電した電気及び発生させた熱の自家消費</t>
    <rPh sb="2" eb="5">
      <t>ジギョウジョ</t>
    </rPh>
    <rPh sb="5" eb="6">
      <t>トウ</t>
    </rPh>
    <rPh sb="7" eb="9">
      <t>サイセイ</t>
    </rPh>
    <rPh sb="9" eb="11">
      <t>カノウ</t>
    </rPh>
    <rPh sb="16" eb="17">
      <t>トウ</t>
    </rPh>
    <rPh sb="20" eb="22">
      <t>ハツデン</t>
    </rPh>
    <rPh sb="24" eb="26">
      <t>デンキ</t>
    </rPh>
    <rPh sb="26" eb="27">
      <t>オヨ</t>
    </rPh>
    <rPh sb="28" eb="30">
      <t>ハッセイ</t>
    </rPh>
    <rPh sb="33" eb="34">
      <t>ネツ</t>
    </rPh>
    <rPh sb="35" eb="39">
      <t>ジカショウヒ</t>
    </rPh>
    <phoneticPr fontId="5"/>
  </si>
  <si>
    <t>②事業所外からの供給_排出活動の種類　</t>
    <phoneticPr fontId="5"/>
  </si>
  <si>
    <t>①自家消費_排出活動の種類</t>
    <phoneticPr fontId="5"/>
  </si>
  <si>
    <t>①事業所内_熱の使用_種類</t>
    <rPh sb="1" eb="4">
      <t>ジギョウジョ</t>
    </rPh>
    <rPh sb="4" eb="5">
      <t>ナイ</t>
    </rPh>
    <rPh sb="6" eb="7">
      <t>ネツ</t>
    </rPh>
    <rPh sb="8" eb="10">
      <t>シヨウ</t>
    </rPh>
    <rPh sb="11" eb="13">
      <t>シュルイ</t>
    </rPh>
    <phoneticPr fontId="5"/>
  </si>
  <si>
    <t>①事業所内_電気の使用_種類</t>
    <rPh sb="1" eb="4">
      <t>ジギョウジョ</t>
    </rPh>
    <rPh sb="4" eb="5">
      <t>ナイ</t>
    </rPh>
    <rPh sb="6" eb="8">
      <t>デンキ</t>
    </rPh>
    <rPh sb="9" eb="11">
      <t>シヨウ</t>
    </rPh>
    <rPh sb="12" eb="14">
      <t>シュルイ</t>
    </rPh>
    <phoneticPr fontId="5"/>
  </si>
  <si>
    <t>②事業所外_電気の使用_種類</t>
    <rPh sb="1" eb="4">
      <t>ジギョウジョ</t>
    </rPh>
    <rPh sb="4" eb="5">
      <t>ソト</t>
    </rPh>
    <rPh sb="6" eb="8">
      <t>デンキ</t>
    </rPh>
    <rPh sb="9" eb="11">
      <t>シヨウ</t>
    </rPh>
    <rPh sb="12" eb="14">
      <t>シュルイ</t>
    </rPh>
    <phoneticPr fontId="5"/>
  </si>
  <si>
    <t>②事業所外_熱の使用_種類</t>
    <rPh sb="1" eb="4">
      <t>ジギョウジョ</t>
    </rPh>
    <rPh sb="4" eb="5">
      <t>ソト</t>
    </rPh>
    <rPh sb="6" eb="7">
      <t>ネツ</t>
    </rPh>
    <rPh sb="8" eb="10">
      <t>シヨウ</t>
    </rPh>
    <rPh sb="11" eb="13">
      <t>シュルイ</t>
    </rPh>
    <phoneticPr fontId="5"/>
  </si>
  <si>
    <t>バイオマス燃料持続可能性</t>
    <rPh sb="5" eb="7">
      <t>ネンリョウ</t>
    </rPh>
    <rPh sb="7" eb="9">
      <t>ジゾク</t>
    </rPh>
    <rPh sb="9" eb="12">
      <t>カノウセイ</t>
    </rPh>
    <phoneticPr fontId="5"/>
  </si>
  <si>
    <t>排出係数設定根拠_バイオマス燃料_持続可能性無の場合</t>
    <rPh sb="0" eb="2">
      <t>ハイシュツ</t>
    </rPh>
    <rPh sb="2" eb="4">
      <t>ケイスウ</t>
    </rPh>
    <rPh sb="4" eb="6">
      <t>セッテイ</t>
    </rPh>
    <rPh sb="6" eb="8">
      <t>コンキョ</t>
    </rPh>
    <rPh sb="14" eb="16">
      <t>ネンリョウ</t>
    </rPh>
    <rPh sb="24" eb="26">
      <t>バアイ</t>
    </rPh>
    <phoneticPr fontId="5"/>
  </si>
  <si>
    <t>把握方法_事業所外</t>
    <rPh sb="0" eb="2">
      <t>ハアク</t>
    </rPh>
    <rPh sb="2" eb="4">
      <t>ホウホウ</t>
    </rPh>
    <rPh sb="5" eb="8">
      <t>ジギョウジョ</t>
    </rPh>
    <rPh sb="8" eb="9">
      <t>ガイ</t>
    </rPh>
    <phoneticPr fontId="5"/>
  </si>
  <si>
    <t>熱量実測値
対象再エネ</t>
    <rPh sb="0" eb="2">
      <t>ネツリョウ</t>
    </rPh>
    <rPh sb="2" eb="5">
      <t>ジッソクチ</t>
    </rPh>
    <rPh sb="6" eb="8">
      <t>タイショウ</t>
    </rPh>
    <rPh sb="8" eb="9">
      <t>サイ</t>
    </rPh>
    <phoneticPr fontId="5"/>
  </si>
  <si>
    <t>自家消費_事業所外利用の移動体への供給</t>
    <rPh sb="0" eb="4">
      <t>ジカショウヒ</t>
    </rPh>
    <phoneticPr fontId="6"/>
  </si>
  <si>
    <t>自家消費_工事のためのエネルギー使用</t>
    <rPh sb="0" eb="4">
      <t>ジカショウヒ</t>
    </rPh>
    <phoneticPr fontId="6"/>
  </si>
  <si>
    <t>自家消費_住宅用途への供給</t>
    <rPh sb="0" eb="4">
      <t>ジカショウヒ</t>
    </rPh>
    <phoneticPr fontId="6"/>
  </si>
  <si>
    <t>自家消費_他事業所への燃料等の直接供給</t>
    <rPh sb="0" eb="4">
      <t>ジカショウヒ</t>
    </rPh>
    <phoneticPr fontId="6"/>
  </si>
  <si>
    <t>自家消費以外_事業所外利用の移動体への供給</t>
    <rPh sb="0" eb="4">
      <t>ジカショウヒ</t>
    </rPh>
    <rPh sb="4" eb="6">
      <t>イガイ</t>
    </rPh>
    <phoneticPr fontId="6"/>
  </si>
  <si>
    <t>自家消費以外_住宅用途への供給</t>
    <phoneticPr fontId="6"/>
  </si>
  <si>
    <t>自家消費以外_他事業所への燃料等の直接供給</t>
    <phoneticPr fontId="6"/>
  </si>
  <si>
    <t>③自家消費_種類</t>
    <rPh sb="1" eb="5">
      <t>ジカショウヒ</t>
    </rPh>
    <rPh sb="6" eb="8">
      <t>シュルイ</t>
    </rPh>
    <phoneticPr fontId="5"/>
  </si>
  <si>
    <t>③自家消費以外（事業所外からの供給)_種類</t>
    <rPh sb="1" eb="7">
      <t>ジカショウヒイガイ</t>
    </rPh>
    <rPh sb="8" eb="12">
      <t>ジギョウジョソト</t>
    </rPh>
    <rPh sb="15" eb="17">
      <t>キョウキュウ</t>
    </rPh>
    <rPh sb="19" eb="21">
      <t>シュルイ</t>
    </rPh>
    <phoneticPr fontId="5"/>
  </si>
  <si>
    <t>自家消費以外_工事のためのエネルギー使用</t>
    <phoneticPr fontId="6"/>
  </si>
  <si>
    <t>再エネ電気・熱</t>
    <rPh sb="0" eb="1">
      <t>サイ</t>
    </rPh>
    <rPh sb="3" eb="5">
      <t>デンキ</t>
    </rPh>
    <rPh sb="6" eb="7">
      <t>ネツ</t>
    </rPh>
    <phoneticPr fontId="5"/>
  </si>
  <si>
    <t>自家消費</t>
    <rPh sb="0" eb="4">
      <t>ジカショウヒ</t>
    </rPh>
    <phoneticPr fontId="5"/>
  </si>
  <si>
    <t>熱</t>
    <rPh sb="0" eb="1">
      <t>ネツ</t>
    </rPh>
    <phoneticPr fontId="5"/>
  </si>
  <si>
    <t>環境価値</t>
    <rPh sb="0" eb="2">
      <t>カンキョウ</t>
    </rPh>
    <rPh sb="2" eb="4">
      <t>カチ</t>
    </rPh>
    <phoneticPr fontId="5"/>
  </si>
  <si>
    <t>区分</t>
    <rPh sb="0" eb="2">
      <t>クブン</t>
    </rPh>
    <phoneticPr fontId="5"/>
  </si>
  <si>
    <t>自家消費</t>
    <rPh sb="0" eb="4">
      <t>ジカショウヒ</t>
    </rPh>
    <phoneticPr fontId="5"/>
  </si>
  <si>
    <t>自家消費以外</t>
    <rPh sb="0" eb="4">
      <t>ジカショウヒ</t>
    </rPh>
    <rPh sb="4" eb="6">
      <t>イガイ</t>
    </rPh>
    <phoneticPr fontId="5"/>
  </si>
  <si>
    <t>電気</t>
    <rPh sb="0" eb="2">
      <t>デンキ</t>
    </rPh>
    <phoneticPr fontId="5"/>
  </si>
  <si>
    <t>バイオマス
持続可能性</t>
    <rPh sb="6" eb="8">
      <t>ジゾク</t>
    </rPh>
    <rPh sb="8" eb="11">
      <t>カノウセイ</t>
    </rPh>
    <phoneticPr fontId="5"/>
  </si>
  <si>
    <t>自家消費以外_仮想電力購入契約</t>
    <rPh sb="0" eb="4">
      <t>ジカショウヒ</t>
    </rPh>
    <rPh sb="4" eb="6">
      <t>イガイ</t>
    </rPh>
    <rPh sb="7" eb="9">
      <t>カソウ</t>
    </rPh>
    <rPh sb="9" eb="15">
      <t>デンリョクコウニュウケイヤク</t>
    </rPh>
    <phoneticPr fontId="5"/>
  </si>
  <si>
    <t>区分</t>
    <rPh sb="0" eb="2">
      <t>クブン</t>
    </rPh>
    <phoneticPr fontId="5"/>
  </si>
  <si>
    <t>環境価値</t>
    <rPh sb="0" eb="2">
      <t>カンキョウ</t>
    </rPh>
    <rPh sb="2" eb="4">
      <t>カチ</t>
    </rPh>
    <phoneticPr fontId="5"/>
  </si>
  <si>
    <t>自家消費</t>
    <rPh sb="0" eb="2">
      <t>ジカ</t>
    </rPh>
    <rPh sb="2" eb="4">
      <t>ショウヒ</t>
    </rPh>
    <phoneticPr fontId="5"/>
  </si>
  <si>
    <t>バイオマス持続可能性</t>
    <rPh sb="5" eb="7">
      <t>ジゾク</t>
    </rPh>
    <rPh sb="7" eb="10">
      <t>カノウセイ</t>
    </rPh>
    <phoneticPr fontId="5"/>
  </si>
  <si>
    <t>森林吸収量_埼玉県森林CO2吸収量認証制度</t>
    <rPh sb="0" eb="5">
      <t>シンリンキュウシュウリョウ</t>
    </rPh>
    <phoneticPr fontId="5"/>
  </si>
  <si>
    <t>森林吸収量_Jクレジット制度</t>
    <rPh sb="0" eb="5">
      <t>シンリンキュウシュウリョウ</t>
    </rPh>
    <rPh sb="12" eb="14">
      <t>セイド</t>
    </rPh>
    <phoneticPr fontId="5"/>
  </si>
  <si>
    <t>森林吸収量</t>
    <rPh sb="0" eb="5">
      <t>シンリンキュウシュウリョウ</t>
    </rPh>
    <phoneticPr fontId="5"/>
  </si>
  <si>
    <t>非FIT非化石証書_再生可能エネルギー指定</t>
  </si>
  <si>
    <t>単位</t>
    <rPh sb="0" eb="2">
      <t>タンイ</t>
    </rPh>
    <phoneticPr fontId="5"/>
  </si>
  <si>
    <t>区分</t>
    <rPh sb="0" eb="2">
      <t>クブン</t>
    </rPh>
    <phoneticPr fontId="5"/>
  </si>
  <si>
    <t>全国平均係数</t>
    <rPh sb="0" eb="2">
      <t>ゼンコク</t>
    </rPh>
    <rPh sb="2" eb="4">
      <t>ヘイキン</t>
    </rPh>
    <rPh sb="4" eb="6">
      <t>ケイスウ</t>
    </rPh>
    <phoneticPr fontId="5"/>
  </si>
  <si>
    <t>排出係数</t>
    <rPh sb="0" eb="2">
      <t>ハイシュツ</t>
    </rPh>
    <rPh sb="2" eb="4">
      <t>ケイスウ</t>
    </rPh>
    <phoneticPr fontId="5"/>
  </si>
  <si>
    <t>単位補正</t>
    <rPh sb="0" eb="2">
      <t>タンイ</t>
    </rPh>
    <rPh sb="2" eb="4">
      <t>ホセイ</t>
    </rPh>
    <phoneticPr fontId="5"/>
  </si>
  <si>
    <t>保有量
単位補正値</t>
    <rPh sb="0" eb="3">
      <t>ホユウリョウ</t>
    </rPh>
    <rPh sb="4" eb="9">
      <t>タンイホセイチ</t>
    </rPh>
    <phoneticPr fontId="5"/>
  </si>
  <si>
    <t>削減量</t>
    <rPh sb="0" eb="3">
      <t>サクゲンリョウ</t>
    </rPh>
    <phoneticPr fontId="5"/>
  </si>
  <si>
    <t>証書_森林吸収量</t>
    <rPh sb="0" eb="2">
      <t>ショウショ</t>
    </rPh>
    <rPh sb="3" eb="8">
      <t>シンリンキュウシュウリョウ</t>
    </rPh>
    <phoneticPr fontId="5"/>
  </si>
  <si>
    <t>第4まとめ表</t>
    <rPh sb="0" eb="1">
      <t>ダイ</t>
    </rPh>
    <rPh sb="5" eb="6">
      <t>ヒョウ</t>
    </rPh>
    <phoneticPr fontId="5"/>
  </si>
  <si>
    <t>第3まとめ表</t>
    <rPh sb="0" eb="1">
      <t>ダイ</t>
    </rPh>
    <rPh sb="5" eb="6">
      <t>ヒョウ</t>
    </rPh>
    <phoneticPr fontId="5"/>
  </si>
  <si>
    <t>第4
まとめ表</t>
    <rPh sb="0" eb="1">
      <t>ダイ</t>
    </rPh>
    <rPh sb="6" eb="7">
      <t>ヒョウ</t>
    </rPh>
    <phoneticPr fontId="5"/>
  </si>
  <si>
    <t>第3
まとめ表</t>
    <rPh sb="0" eb="1">
      <t>ダイ</t>
    </rPh>
    <rPh sb="6" eb="7">
      <t>ヒョウ</t>
    </rPh>
    <phoneticPr fontId="5"/>
  </si>
  <si>
    <t>証書等</t>
    <rPh sb="0" eb="2">
      <t>ショウショ</t>
    </rPh>
    <rPh sb="2" eb="3">
      <t>トウ</t>
    </rPh>
    <phoneticPr fontId="5"/>
  </si>
  <si>
    <t>日本産業規格Ａ列４番</t>
    <phoneticPr fontId="5"/>
  </si>
  <si>
    <t>東京電力エナジーパートナー(株)</t>
    <phoneticPr fontId="5"/>
  </si>
  <si>
    <t>メニューU</t>
    <phoneticPr fontId="5"/>
  </si>
  <si>
    <t>メニューV</t>
    <phoneticPr fontId="5"/>
  </si>
  <si>
    <t>メニューW</t>
    <phoneticPr fontId="5"/>
  </si>
  <si>
    <t>メニューX</t>
    <phoneticPr fontId="5"/>
  </si>
  <si>
    <t>メニューY</t>
    <phoneticPr fontId="5"/>
  </si>
  <si>
    <t>メニューZ</t>
    <phoneticPr fontId="5"/>
  </si>
  <si>
    <t>メニューD</t>
    <phoneticPr fontId="5"/>
  </si>
  <si>
    <t>メニューE</t>
    <phoneticPr fontId="5"/>
  </si>
  <si>
    <t>報告対象の再生可能
エネルギーかどうか</t>
    <rPh sb="0" eb="2">
      <t>ホウコク</t>
    </rPh>
    <rPh sb="2" eb="4">
      <t>タイショウ</t>
    </rPh>
    <rPh sb="5" eb="9">
      <t>サイセイカノウ</t>
    </rPh>
    <phoneticPr fontId="5"/>
  </si>
  <si>
    <t>(バイオマス燃料の持続可能性の有無）</t>
    <rPh sb="6" eb="8">
      <t>ネンリョウ</t>
    </rPh>
    <rPh sb="9" eb="11">
      <t>ジゾク</t>
    </rPh>
    <rPh sb="11" eb="14">
      <t>カノウセイ</t>
    </rPh>
    <rPh sb="15" eb="17">
      <t>ウム</t>
    </rPh>
    <phoneticPr fontId="5"/>
  </si>
  <si>
    <t>(参考値)事業者全体</t>
    <rPh sb="1" eb="4">
      <t>サンコウチ</t>
    </rPh>
    <rPh sb="5" eb="10">
      <t>ジギョウシャゼンタイ</t>
    </rPh>
    <phoneticPr fontId="43"/>
  </si>
  <si>
    <t>(参考値)事業者全体</t>
  </si>
  <si>
    <t>0.000422</t>
  </si>
  <si>
    <t>環境価値_バイオマス持続可能性無</t>
    <rPh sb="0" eb="2">
      <t>カンキョウ</t>
    </rPh>
    <rPh sb="2" eb="4">
      <t>カチ</t>
    </rPh>
    <rPh sb="10" eb="12">
      <t>ジゾク</t>
    </rPh>
    <rPh sb="12" eb="15">
      <t>カノウセイ</t>
    </rPh>
    <rPh sb="15" eb="16">
      <t>ナ</t>
    </rPh>
    <phoneticPr fontId="5"/>
  </si>
  <si>
    <r>
      <t>証書等による削減量
t-CO</t>
    </r>
    <r>
      <rPr>
        <vertAlign val="subscript"/>
        <sz val="11"/>
        <color theme="1"/>
        <rFont val="游明朝"/>
        <family val="1"/>
        <charset val="128"/>
      </rPr>
      <t>2</t>
    </r>
    <rPh sb="0" eb="2">
      <t>ショウショ</t>
    </rPh>
    <rPh sb="2" eb="3">
      <t>トウ</t>
    </rPh>
    <rPh sb="6" eb="9">
      <t>サクゲンリョウ</t>
    </rPh>
    <phoneticPr fontId="5"/>
  </si>
  <si>
    <t>電気あるいは熱の使用量がある場合のみ対象の証書を選択可</t>
    <rPh sb="0" eb="2">
      <t>デンキ</t>
    </rPh>
    <rPh sb="6" eb="7">
      <t>ネツ</t>
    </rPh>
    <rPh sb="8" eb="11">
      <t>シヨウリョウ</t>
    </rPh>
    <rPh sb="14" eb="16">
      <t>バアイ</t>
    </rPh>
    <rPh sb="18" eb="20">
      <t>タイショウ</t>
    </rPh>
    <rPh sb="21" eb="23">
      <t>ショウショ</t>
    </rPh>
    <rPh sb="24" eb="26">
      <t>センタク</t>
    </rPh>
    <rPh sb="26" eb="27">
      <t>カ</t>
    </rPh>
    <phoneticPr fontId="5"/>
  </si>
  <si>
    <t>種類_熱なし</t>
    <rPh sb="0" eb="2">
      <t>シュルイ</t>
    </rPh>
    <rPh sb="3" eb="4">
      <t>ネツ</t>
    </rPh>
    <phoneticPr fontId="5"/>
  </si>
  <si>
    <t>種類_電気なし</t>
    <rPh sb="0" eb="2">
      <t>シュルイ</t>
    </rPh>
    <rPh sb="3" eb="5">
      <t>デンキ</t>
    </rPh>
    <phoneticPr fontId="5"/>
  </si>
  <si>
    <t>種類_森林吸収量のみ</t>
    <rPh sb="0" eb="2">
      <t>シュルイ</t>
    </rPh>
    <rPh sb="3" eb="7">
      <t>シンリンキュウシュウ</t>
    </rPh>
    <rPh sb="7" eb="8">
      <t>リョウ</t>
    </rPh>
    <phoneticPr fontId="5"/>
  </si>
  <si>
    <t>バイオディーゼル</t>
    <phoneticPr fontId="5"/>
  </si>
  <si>
    <t>電気_「オンサイト型PPA、自家発電、非燃料由来の非化石電気」以外からの買電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5"/>
  </si>
  <si>
    <t>供給会社等
選択または入力可能</t>
    <rPh sb="0" eb="4">
      <t>キョウキュウカイシャ</t>
    </rPh>
    <rPh sb="4" eb="5">
      <t>トウ</t>
    </rPh>
    <rPh sb="6" eb="8">
      <t>センタク</t>
    </rPh>
    <rPh sb="11" eb="15">
      <t>ニュウリョクカノウ</t>
    </rPh>
    <phoneticPr fontId="5"/>
  </si>
  <si>
    <t>電気_「オンサイト型PPA_自家発電_非燃料由来の非化石電気」以外からの買電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5"/>
  </si>
  <si>
    <t>乗率_排出量</t>
    <rPh sb="0" eb="2">
      <t>ジョウリツ</t>
    </rPh>
    <rPh sb="3" eb="6">
      <t>ハイシュツリョウ</t>
    </rPh>
    <phoneticPr fontId="5"/>
  </si>
  <si>
    <t>乗率_除外する排出量</t>
    <rPh sb="0" eb="2">
      <t>ジョウリツ</t>
    </rPh>
    <rPh sb="3" eb="5">
      <t>ジョガイ</t>
    </rPh>
    <rPh sb="7" eb="10">
      <t>ハイシュツリョウ</t>
    </rPh>
    <phoneticPr fontId="5"/>
  </si>
  <si>
    <t>乗率選択</t>
    <rPh sb="0" eb="2">
      <t>ジョウリツ</t>
    </rPh>
    <rPh sb="2" eb="4">
      <t>センタク</t>
    </rPh>
    <phoneticPr fontId="5"/>
  </si>
  <si>
    <t>使用量(年度計) 
[記入単位]</t>
    <rPh sb="0" eb="3">
      <t>シヨウリョウ</t>
    </rPh>
    <rPh sb="4" eb="6">
      <t>ネンド</t>
    </rPh>
    <rPh sb="6" eb="7">
      <t>ケイ</t>
    </rPh>
    <rPh sb="11" eb="13">
      <t>キニュウ</t>
    </rPh>
    <rPh sb="13" eb="15">
      <t>タンイ</t>
    </rPh>
    <phoneticPr fontId="5"/>
  </si>
  <si>
    <t>使用量(年度計:乗率反映） 
[記入単位]</t>
    <rPh sb="0" eb="3">
      <t>シヨウリョウ</t>
    </rPh>
    <rPh sb="4" eb="6">
      <t>ネンド</t>
    </rPh>
    <rPh sb="6" eb="7">
      <t>ケイ</t>
    </rPh>
    <rPh sb="16" eb="18">
      <t>キニュウ</t>
    </rPh>
    <rPh sb="18" eb="20">
      <t>タンイ</t>
    </rPh>
    <phoneticPr fontId="5"/>
  </si>
  <si>
    <t>使用量（年度計）
[記入単位]</t>
    <rPh sb="0" eb="3">
      <t>シヨウリョウ</t>
    </rPh>
    <rPh sb="4" eb="6">
      <t>ネンド</t>
    </rPh>
    <rPh sb="6" eb="7">
      <t>ケイ</t>
    </rPh>
    <rPh sb="10" eb="12">
      <t>キニュウ</t>
    </rPh>
    <rPh sb="12" eb="14">
      <t>タンイ</t>
    </rPh>
    <phoneticPr fontId="5"/>
  </si>
  <si>
    <t>使用量（年度計:乗率反映）
[記入単位]</t>
    <rPh sb="0" eb="3">
      <t>シヨウリョウ</t>
    </rPh>
    <rPh sb="4" eb="6">
      <t>ネンド</t>
    </rPh>
    <rPh sb="6" eb="7">
      <t>ケイ</t>
    </rPh>
    <rPh sb="8" eb="12">
      <t>ジョウリツハンエイ</t>
    </rPh>
    <rPh sb="15" eb="17">
      <t>キニュウ</t>
    </rPh>
    <rPh sb="17" eb="19">
      <t>タンイ</t>
    </rPh>
    <phoneticPr fontId="5"/>
  </si>
  <si>
    <t>使用量
（年度計:乗率反映）
[記入単位]</t>
    <rPh sb="9" eb="13">
      <t>ジョウリツハンエイ</t>
    </rPh>
    <phoneticPr fontId="5"/>
  </si>
  <si>
    <t>ID_RENEWENERGY_TYPE_CALC</t>
  </si>
  <si>
    <t>バイオマス</t>
  </si>
  <si>
    <t>ID_BIOMASS_FUEL_TYPE</t>
  </si>
  <si>
    <t>ID_FUEL</t>
    <phoneticPr fontId="5"/>
  </si>
  <si>
    <t>SUPPLIER</t>
    <phoneticPr fontId="5"/>
  </si>
  <si>
    <t>MENU</t>
    <phoneticPr fontId="5"/>
  </si>
  <si>
    <t>CALORIFIC_VALUE</t>
    <phoneticPr fontId="5"/>
  </si>
  <si>
    <t>CALORIFIC_VALUE2</t>
    <phoneticPr fontId="5"/>
  </si>
  <si>
    <t>EF_BASIS</t>
    <phoneticPr fontId="5"/>
  </si>
  <si>
    <t>EMISSION_FACTOR</t>
    <phoneticPr fontId="5"/>
  </si>
  <si>
    <t>AMOUNT</t>
    <phoneticPr fontId="5"/>
  </si>
  <si>
    <t>COEFFICIENTS</t>
    <phoneticPr fontId="5"/>
  </si>
  <si>
    <t>ID_RENEWENERGY_TYPE_CALC</t>
    <phoneticPr fontId="5"/>
  </si>
  <si>
    <t>ID_BIOMASS_FUEL_TYPE</t>
    <phoneticPr fontId="5"/>
  </si>
  <si>
    <t>補正係数</t>
    <rPh sb="0" eb="2">
      <t>ホセイ</t>
    </rPh>
    <rPh sb="2" eb="4">
      <t>ケイスウ</t>
    </rPh>
    <phoneticPr fontId="5"/>
  </si>
  <si>
    <t>排出係数
数式or値チェック</t>
    <rPh sb="0" eb="2">
      <t>ハイシュツ</t>
    </rPh>
    <rPh sb="2" eb="4">
      <t>ケイスウ</t>
    </rPh>
    <rPh sb="5" eb="7">
      <t>スウシキ</t>
    </rPh>
    <rPh sb="9" eb="10">
      <t>アタイ</t>
    </rPh>
    <phoneticPr fontId="5"/>
  </si>
  <si>
    <t>保守的
算定
（乗率）</t>
    <phoneticPr fontId="5"/>
  </si>
  <si>
    <t>保守的
算定
（乗率）</t>
    <rPh sb="0" eb="3">
      <t>ホシュテキ</t>
    </rPh>
    <rPh sb="4" eb="6">
      <t>サンテイ</t>
    </rPh>
    <rPh sb="8" eb="9">
      <t>ジョウ</t>
    </rPh>
    <rPh sb="9" eb="10">
      <t>リツ</t>
    </rPh>
    <phoneticPr fontId="5"/>
  </si>
  <si>
    <t>都市ガス
発熱量
数式or値チェック</t>
    <rPh sb="0" eb="2">
      <t>トシ</t>
    </rPh>
    <rPh sb="5" eb="8">
      <t>ハツネツリョウ</t>
    </rPh>
    <phoneticPr fontId="5"/>
  </si>
  <si>
    <t>削減量
数式OR数値</t>
    <rPh sb="0" eb="3">
      <t>サクゲンリョウ</t>
    </rPh>
    <rPh sb="4" eb="6">
      <t>スウシキ</t>
    </rPh>
    <rPh sb="8" eb="10">
      <t>スウチ</t>
    </rPh>
    <phoneticPr fontId="5"/>
  </si>
  <si>
    <t>使用量
(端数処理前）</t>
    <rPh sb="0" eb="3">
      <t>シヨウリョウ</t>
    </rPh>
    <rPh sb="5" eb="7">
      <t>ハスウ</t>
    </rPh>
    <rPh sb="7" eb="9">
      <t>ショリ</t>
    </rPh>
    <rPh sb="9" eb="10">
      <t>マエ</t>
    </rPh>
    <phoneticPr fontId="5"/>
  </si>
  <si>
    <t>システム読取用</t>
    <rPh sb="4" eb="6">
      <t>ヨミトリ</t>
    </rPh>
    <rPh sb="6" eb="7">
      <t>ヨウ</t>
    </rPh>
    <phoneticPr fontId="5"/>
  </si>
  <si>
    <t>ｱ)建物系</t>
  </si>
  <si>
    <t>ｲ)工場現場系</t>
  </si>
  <si>
    <t>ｳ)自動車系</t>
    <rPh sb="2" eb="6">
      <t>ジドウシャケイ</t>
    </rPh>
    <phoneticPr fontId="5"/>
  </si>
  <si>
    <t>用途区分</t>
    <rPh sb="0" eb="4">
      <t>ヨウトクブン</t>
    </rPh>
    <phoneticPr fontId="5"/>
  </si>
  <si>
    <t>事業所</t>
    <rPh sb="0" eb="3">
      <t>ジギョウショ</t>
    </rPh>
    <phoneticPr fontId="6"/>
  </si>
  <si>
    <t>事業所</t>
    <rPh sb="0" eb="3">
      <t>ジギョウジョ</t>
    </rPh>
    <phoneticPr fontId="5"/>
  </si>
  <si>
    <t>jiu</t>
    <phoneticPr fontId="5"/>
  </si>
  <si>
    <t>用途区分</t>
    <rPh sb="0" eb="2">
      <t>ヨウト</t>
    </rPh>
    <rPh sb="2" eb="4">
      <t>クブン</t>
    </rPh>
    <phoneticPr fontId="5"/>
  </si>
  <si>
    <t>ｳ)自動車系</t>
    <rPh sb="2" eb="5">
      <t>ジドウシャ</t>
    </rPh>
    <rPh sb="5" eb="6">
      <t>ケイ</t>
    </rPh>
    <phoneticPr fontId="5"/>
  </si>
  <si>
    <t>自動車系エネルギー量、CO₂排出量</t>
    <rPh sb="0" eb="3">
      <t>ジドウシャ</t>
    </rPh>
    <rPh sb="3" eb="4">
      <t>ケイ</t>
    </rPh>
    <rPh sb="9" eb="10">
      <t>リョウ</t>
    </rPh>
    <rPh sb="11" eb="17">
      <t>ニサンカハイシュツリョウ</t>
    </rPh>
    <phoneticPr fontId="5"/>
  </si>
  <si>
    <t>工場現場系エネルギー量、CO₂排出量</t>
    <rPh sb="0" eb="2">
      <t>コウジョウ</t>
    </rPh>
    <rPh sb="2" eb="4">
      <t>ゲンバ</t>
    </rPh>
    <rPh sb="4" eb="5">
      <t>ケイ</t>
    </rPh>
    <rPh sb="10" eb="11">
      <t>リョウ</t>
    </rPh>
    <rPh sb="12" eb="18">
      <t>ニサンカハイシュツリョウ</t>
    </rPh>
    <phoneticPr fontId="5"/>
  </si>
  <si>
    <t>建物系エネルギー量、CO₂排出量</t>
    <rPh sb="0" eb="3">
      <t>タテモノケイ</t>
    </rPh>
    <rPh sb="8" eb="9">
      <t>リョウ</t>
    </rPh>
    <rPh sb="10" eb="16">
      <t>ニサンカハイシュツリョウ</t>
    </rPh>
    <phoneticPr fontId="5"/>
  </si>
  <si>
    <t>年度実績算出</t>
    <rPh sb="0" eb="2">
      <t>ネンド</t>
    </rPh>
    <rPh sb="2" eb="4">
      <t>ジッセキ</t>
    </rPh>
    <rPh sb="4" eb="6">
      <t>サンシュツ</t>
    </rPh>
    <phoneticPr fontId="6"/>
  </si>
  <si>
    <t>（エコアップ認証事業者用）</t>
    <rPh sb="6" eb="8">
      <t>ニンショウ</t>
    </rPh>
    <rPh sb="8" eb="11">
      <t>ジギョウシャ</t>
    </rPh>
    <rPh sb="11" eb="12">
      <t>ヨウ</t>
    </rPh>
    <phoneticPr fontId="6"/>
  </si>
  <si>
    <t>事業所名
（認証範囲）</t>
    <rPh sb="0" eb="4">
      <t>ジギョウショメイ</t>
    </rPh>
    <rPh sb="6" eb="10">
      <t>ニンショウハンイ</t>
    </rPh>
    <phoneticPr fontId="6"/>
  </si>
  <si>
    <t>■特殊条件の場合の設定</t>
    <rPh sb="1" eb="3">
      <t>トクシュ</t>
    </rPh>
    <rPh sb="3" eb="5">
      <t>ジョウケン</t>
    </rPh>
    <rPh sb="6" eb="8">
      <t>バアイ</t>
    </rPh>
    <rPh sb="9" eb="11">
      <t>セッテイ</t>
    </rPh>
    <phoneticPr fontId="6"/>
  </si>
  <si>
    <t>シ　ー　ト　名　　　</t>
    <rPh sb="6" eb="7">
      <t>メイ</t>
    </rPh>
    <phoneticPr fontId="5"/>
  </si>
  <si>
    <t>目 的 ・ 用 途</t>
    <rPh sb="0" eb="1">
      <t>メ</t>
    </rPh>
    <rPh sb="2" eb="3">
      <t>テキ</t>
    </rPh>
    <rPh sb="6" eb="7">
      <t>ヨウ</t>
    </rPh>
    <rPh sb="8" eb="9">
      <t>ト</t>
    </rPh>
    <phoneticPr fontId="5"/>
  </si>
  <si>
    <t>１．ガス単位換算_～R6建物系</t>
    <rPh sb="4" eb="8">
      <t>タンイカンサン</t>
    </rPh>
    <rPh sb="12" eb="15">
      <t>タテモノケイ</t>
    </rPh>
    <phoneticPr fontId="5"/>
  </si>
  <si>
    <t>２．～R6建物系</t>
    <rPh sb="5" eb="8">
      <t>タテモノケイ</t>
    </rPh>
    <phoneticPr fontId="5"/>
  </si>
  <si>
    <t>３．自動車_～R6</t>
    <rPh sb="2" eb="5">
      <t>ジドウシャ</t>
    </rPh>
    <phoneticPr fontId="5"/>
  </si>
  <si>
    <t>４．ガス単位換算_～R6工場現場</t>
    <rPh sb="4" eb="8">
      <t>タンイカンサン</t>
    </rPh>
    <rPh sb="12" eb="14">
      <t>コウジョウ</t>
    </rPh>
    <rPh sb="14" eb="16">
      <t>ゲンバ</t>
    </rPh>
    <phoneticPr fontId="5"/>
  </si>
  <si>
    <t>５．～R6工場現場</t>
    <rPh sb="5" eb="7">
      <t>コウジョウ</t>
    </rPh>
    <rPh sb="7" eb="9">
      <t>ゲンバ</t>
    </rPh>
    <phoneticPr fontId="5"/>
  </si>
  <si>
    <t>６．エコアップCO₂量一覧</t>
    <rPh sb="10" eb="11">
      <t>リョウ</t>
    </rPh>
    <rPh sb="11" eb="13">
      <t>イチラン</t>
    </rPh>
    <phoneticPr fontId="5"/>
  </si>
  <si>
    <t>エコアップCO₂実績報告の際の表作成に利用</t>
    <rPh sb="8" eb="10">
      <t>ジッセキ</t>
    </rPh>
    <rPh sb="10" eb="12">
      <t>ホウコク</t>
    </rPh>
    <rPh sb="13" eb="14">
      <t>サイ</t>
    </rPh>
    <rPh sb="15" eb="16">
      <t>ヒョウ</t>
    </rPh>
    <rPh sb="16" eb="18">
      <t>サクセイ</t>
    </rPh>
    <rPh sb="19" eb="21">
      <t>リヨウ</t>
    </rPh>
    <phoneticPr fontId="5"/>
  </si>
  <si>
    <t>８．エコアップCO₂削減目標表</t>
    <rPh sb="10" eb="12">
      <t>サクゲン</t>
    </rPh>
    <rPh sb="12" eb="15">
      <t>モクヒョウヒョウ</t>
    </rPh>
    <phoneticPr fontId="5"/>
  </si>
  <si>
    <t>９．建物系エネルギー・CO₂量</t>
    <rPh sb="2" eb="5">
      <t>タテモノケイ</t>
    </rPh>
    <rPh sb="14" eb="15">
      <t>リョウ</t>
    </rPh>
    <phoneticPr fontId="5"/>
  </si>
  <si>
    <t>建物系エネルギー・CO₂量算定結果表</t>
    <rPh sb="0" eb="3">
      <t>タテモノケイ</t>
    </rPh>
    <rPh sb="12" eb="13">
      <t>リョウ</t>
    </rPh>
    <rPh sb="13" eb="15">
      <t>サンテイ</t>
    </rPh>
    <rPh sb="15" eb="17">
      <t>ケッカ</t>
    </rPh>
    <rPh sb="17" eb="18">
      <t>ヒョウ</t>
    </rPh>
    <phoneticPr fontId="5"/>
  </si>
  <si>
    <t>10．工場現場_エネルギー・CO₂量</t>
    <rPh sb="3" eb="5">
      <t>コウジョウ</t>
    </rPh>
    <rPh sb="5" eb="7">
      <t>ゲンバ</t>
    </rPh>
    <rPh sb="17" eb="18">
      <t>リョウ</t>
    </rPh>
    <phoneticPr fontId="5"/>
  </si>
  <si>
    <t>工場現場エネルギー・CO₂量算定結果表</t>
    <rPh sb="0" eb="2">
      <t>コウジョウ</t>
    </rPh>
    <rPh sb="2" eb="4">
      <t>ゲンバ</t>
    </rPh>
    <rPh sb="10" eb="14">
      <t>ニサンカリョウ</t>
    </rPh>
    <rPh sb="14" eb="16">
      <t>サンテイ</t>
    </rPh>
    <rPh sb="16" eb="18">
      <t>ケッカ</t>
    </rPh>
    <rPh sb="18" eb="19">
      <t>ヒョウ</t>
    </rPh>
    <phoneticPr fontId="5"/>
  </si>
  <si>
    <t>11．自動車_エネルギー・CO₂量</t>
    <rPh sb="3" eb="6">
      <t>ジドウシャ</t>
    </rPh>
    <rPh sb="16" eb="17">
      <t>リョウ</t>
    </rPh>
    <phoneticPr fontId="5"/>
  </si>
  <si>
    <t>自動車エネルギー・CO₂量算定結果表</t>
    <rPh sb="0" eb="3">
      <t>ジドウシャ</t>
    </rPh>
    <rPh sb="9" eb="13">
      <t>ニサンカリョウ</t>
    </rPh>
    <rPh sb="13" eb="15">
      <t>サンテイ</t>
    </rPh>
    <rPh sb="15" eb="17">
      <t>ケッカ</t>
    </rPh>
    <rPh sb="17" eb="18">
      <t>ヒョウ</t>
    </rPh>
    <phoneticPr fontId="5"/>
  </si>
  <si>
    <t>12.  燃料</t>
    <rPh sb="5" eb="7">
      <t>ネンリョウ</t>
    </rPh>
    <phoneticPr fontId="5"/>
  </si>
  <si>
    <t>燃料（LPG含む）実績値記入用</t>
    <rPh sb="0" eb="2">
      <t>ネンリョウ</t>
    </rPh>
    <rPh sb="6" eb="7">
      <t>フク</t>
    </rPh>
    <rPh sb="9" eb="11">
      <t>ジッセキ</t>
    </rPh>
    <rPh sb="11" eb="12">
      <t>チ</t>
    </rPh>
    <rPh sb="12" eb="14">
      <t>キニュウ</t>
    </rPh>
    <rPh sb="14" eb="15">
      <t>ジョウヨウ</t>
    </rPh>
    <phoneticPr fontId="5"/>
  </si>
  <si>
    <t>13.  電気・熱_都市ガス</t>
    <rPh sb="5" eb="7">
      <t>デンキ</t>
    </rPh>
    <rPh sb="8" eb="9">
      <t>ネツ</t>
    </rPh>
    <rPh sb="10" eb="12">
      <t>トシ</t>
    </rPh>
    <phoneticPr fontId="5"/>
  </si>
  <si>
    <t>電気、都市ガス実績値記入用</t>
    <rPh sb="0" eb="2">
      <t>デンキ</t>
    </rPh>
    <rPh sb="3" eb="5">
      <t>トシ</t>
    </rPh>
    <rPh sb="7" eb="9">
      <t>ジッセキ</t>
    </rPh>
    <rPh sb="9" eb="10">
      <t>チ</t>
    </rPh>
    <rPh sb="10" eb="12">
      <t>キニュウ</t>
    </rPh>
    <rPh sb="12" eb="13">
      <t>ヨウ</t>
    </rPh>
    <phoneticPr fontId="5"/>
  </si>
  <si>
    <t>14   再エネ電気・熱</t>
    <rPh sb="5" eb="6">
      <t>サイ</t>
    </rPh>
    <rPh sb="8" eb="10">
      <t>デンキ</t>
    </rPh>
    <rPh sb="11" eb="12">
      <t>ネツ</t>
    </rPh>
    <phoneticPr fontId="5"/>
  </si>
  <si>
    <t>再エネ実績値記入用（自家消費電力含む）</t>
    <rPh sb="0" eb="1">
      <t>サイ</t>
    </rPh>
    <rPh sb="3" eb="5">
      <t>ジッセキ</t>
    </rPh>
    <rPh sb="5" eb="6">
      <t>チ</t>
    </rPh>
    <rPh sb="6" eb="9">
      <t>キニュウヨウ</t>
    </rPh>
    <rPh sb="10" eb="14">
      <t>ジカショウヒ</t>
    </rPh>
    <rPh sb="14" eb="16">
      <t>デンリョク</t>
    </rPh>
    <rPh sb="16" eb="17">
      <t>フク</t>
    </rPh>
    <phoneticPr fontId="5"/>
  </si>
  <si>
    <t>15   非化石燃料_建物系</t>
    <rPh sb="5" eb="8">
      <t>ヒカセキ</t>
    </rPh>
    <rPh sb="8" eb="10">
      <t>ネンリョウ</t>
    </rPh>
    <rPh sb="11" eb="14">
      <t>タテモノケイ</t>
    </rPh>
    <phoneticPr fontId="5"/>
  </si>
  <si>
    <t>非化石燃料使用時の実績値記入用</t>
    <rPh sb="0" eb="3">
      <t>ヒカセキ</t>
    </rPh>
    <rPh sb="3" eb="5">
      <t>ネンリョウ</t>
    </rPh>
    <rPh sb="5" eb="8">
      <t>シヨウジ</t>
    </rPh>
    <rPh sb="9" eb="11">
      <t>ジッセキ</t>
    </rPh>
    <rPh sb="11" eb="12">
      <t>チ</t>
    </rPh>
    <rPh sb="12" eb="14">
      <t>キニュウ</t>
    </rPh>
    <rPh sb="14" eb="15">
      <t>ヨウ</t>
    </rPh>
    <phoneticPr fontId="5"/>
  </si>
  <si>
    <t>16.  非化石燃料_工場現場</t>
    <rPh sb="5" eb="8">
      <t>ヒカセキ</t>
    </rPh>
    <rPh sb="8" eb="10">
      <t>ネンリョウ</t>
    </rPh>
    <rPh sb="11" eb="15">
      <t>コウジョウゲンバ</t>
    </rPh>
    <phoneticPr fontId="5"/>
  </si>
  <si>
    <t>グリーン証書等使用時の実績など記入用</t>
    <rPh sb="4" eb="6">
      <t>ショウショ</t>
    </rPh>
    <rPh sb="6" eb="7">
      <t>トウ</t>
    </rPh>
    <rPh sb="7" eb="10">
      <t>シヨウジ</t>
    </rPh>
    <rPh sb="11" eb="13">
      <t>ジッセキ</t>
    </rPh>
    <rPh sb="15" eb="18">
      <t>キニュウヨウ</t>
    </rPh>
    <phoneticPr fontId="5"/>
  </si>
  <si>
    <t>その他燃料ガス使用時の実績記入用</t>
    <rPh sb="2" eb="3">
      <t>タ</t>
    </rPh>
    <rPh sb="3" eb="5">
      <t>ネンリョウ</t>
    </rPh>
    <rPh sb="7" eb="10">
      <t>シヨウジ</t>
    </rPh>
    <rPh sb="11" eb="13">
      <t>ジッセキ</t>
    </rPh>
    <rPh sb="13" eb="15">
      <t>キニュウ</t>
    </rPh>
    <rPh sb="15" eb="16">
      <t>ヨウ</t>
    </rPh>
    <phoneticPr fontId="5"/>
  </si>
  <si>
    <t>改訂履歴</t>
    <rPh sb="0" eb="2">
      <t>カイテイ</t>
    </rPh>
    <rPh sb="2" eb="4">
      <t>リレキ</t>
    </rPh>
    <phoneticPr fontId="5"/>
  </si>
  <si>
    <t>28.6.20　１．燃料単位換算シート　　名前の定義：Ｈ２８換算前　の参照列Ｔ列⇒Ｕ列に訂正</t>
    <rPh sb="10" eb="12">
      <t>ネンリョウ</t>
    </rPh>
    <rPh sb="12" eb="14">
      <t>タンイ</t>
    </rPh>
    <rPh sb="14" eb="16">
      <t>カンサン</t>
    </rPh>
    <rPh sb="21" eb="23">
      <t>ナマエ</t>
    </rPh>
    <rPh sb="24" eb="26">
      <t>テイギ</t>
    </rPh>
    <rPh sb="30" eb="32">
      <t>カンサン</t>
    </rPh>
    <rPh sb="32" eb="33">
      <t>マエ</t>
    </rPh>
    <rPh sb="35" eb="37">
      <t>サンショウ</t>
    </rPh>
    <rPh sb="37" eb="38">
      <t>レツ</t>
    </rPh>
    <rPh sb="39" eb="40">
      <t>レツ</t>
    </rPh>
    <rPh sb="42" eb="43">
      <t>レツ</t>
    </rPh>
    <rPh sb="44" eb="46">
      <t>テイセイ</t>
    </rPh>
    <phoneticPr fontId="5"/>
  </si>
  <si>
    <t>１．燃料等使用量の単位換算(～R6建物系）</t>
    <rPh sb="2" eb="4">
      <t>ネンリョウ</t>
    </rPh>
    <rPh sb="4" eb="5">
      <t>トウ</t>
    </rPh>
    <rPh sb="5" eb="7">
      <t>シヨウ</t>
    </rPh>
    <rPh sb="7" eb="8">
      <t>リョウ</t>
    </rPh>
    <rPh sb="9" eb="11">
      <t>タンイ</t>
    </rPh>
    <rPh sb="11" eb="13">
      <t>カンサン</t>
    </rPh>
    <rPh sb="17" eb="19">
      <t>タテモノ</t>
    </rPh>
    <rPh sb="19" eb="20">
      <t>ケイ</t>
    </rPh>
    <phoneticPr fontId="6"/>
  </si>
  <si>
    <t>ア　都市ガスの圧力及び標準状態換算</t>
    <rPh sb="2" eb="4">
      <t>トシ</t>
    </rPh>
    <rPh sb="7" eb="9">
      <t>アツリョク</t>
    </rPh>
    <rPh sb="9" eb="10">
      <t>オヨ</t>
    </rPh>
    <rPh sb="11" eb="13">
      <t>ヒョウジュン</t>
    </rPh>
    <rPh sb="13" eb="15">
      <t>ジョウタイ</t>
    </rPh>
    <rPh sb="15" eb="17">
      <t>カンサン</t>
    </rPh>
    <phoneticPr fontId="6"/>
  </si>
  <si>
    <t>エコアップ認証換算用</t>
    <rPh sb="5" eb="7">
      <t>ニンショウ</t>
    </rPh>
    <rPh sb="7" eb="9">
      <t>カンサン</t>
    </rPh>
    <rPh sb="9" eb="10">
      <t>ヨウ</t>
    </rPh>
    <phoneticPr fontId="6"/>
  </si>
  <si>
    <t>使用量（換算前）</t>
    <rPh sb="0" eb="3">
      <t>シヨウリョウ</t>
    </rPh>
    <rPh sb="4" eb="6">
      <t>カンサン</t>
    </rPh>
    <rPh sb="6" eb="7">
      <t>マエ</t>
    </rPh>
    <phoneticPr fontId="6"/>
  </si>
  <si>
    <t>換算単位</t>
    <rPh sb="0" eb="2">
      <t>カンサン</t>
    </rPh>
    <rPh sb="2" eb="4">
      <t>タンイ</t>
    </rPh>
    <phoneticPr fontId="6"/>
  </si>
  <si>
    <t>使用量（換算後）</t>
    <rPh sb="0" eb="3">
      <t>シヨウリョウ</t>
    </rPh>
    <phoneticPr fontId="6"/>
  </si>
  <si>
    <t>単位</t>
    <phoneticPr fontId="6"/>
  </si>
  <si>
    <t>14年度(2002)</t>
    <phoneticPr fontId="6"/>
  </si>
  <si>
    <t>15年度(2003)</t>
    <phoneticPr fontId="6"/>
  </si>
  <si>
    <t>16年度(2004)</t>
    <phoneticPr fontId="6"/>
  </si>
  <si>
    <t>17年度(2005)</t>
    <phoneticPr fontId="6"/>
  </si>
  <si>
    <t>18年度(2006)</t>
    <phoneticPr fontId="6"/>
  </si>
  <si>
    <t>19年度(2007)</t>
    <phoneticPr fontId="6"/>
  </si>
  <si>
    <t>20年度(2008)</t>
    <phoneticPr fontId="6"/>
  </si>
  <si>
    <t>21年度(2009)</t>
    <phoneticPr fontId="6"/>
  </si>
  <si>
    <t>22年度(2010)</t>
    <phoneticPr fontId="6"/>
  </si>
  <si>
    <t>23年度(2011)</t>
    <phoneticPr fontId="6"/>
  </si>
  <si>
    <t>24年度(2012)</t>
    <phoneticPr fontId="6"/>
  </si>
  <si>
    <t>25年度(2013)</t>
    <phoneticPr fontId="6"/>
  </si>
  <si>
    <t>26年度(2014)</t>
    <phoneticPr fontId="6"/>
  </si>
  <si>
    <t>27年度(2015)</t>
    <phoneticPr fontId="6"/>
  </si>
  <si>
    <t>28年度(2016)</t>
    <phoneticPr fontId="6"/>
  </si>
  <si>
    <t>29年度(2017)</t>
    <phoneticPr fontId="6"/>
  </si>
  <si>
    <t>30年度(2018)</t>
    <phoneticPr fontId="6"/>
  </si>
  <si>
    <t>31/1年度(2019)</t>
    <phoneticPr fontId="6"/>
  </si>
  <si>
    <t>2年度(2020)</t>
    <phoneticPr fontId="6"/>
  </si>
  <si>
    <t>3年度(2021)</t>
    <phoneticPr fontId="6"/>
  </si>
  <si>
    <t>4年度(2022)</t>
    <phoneticPr fontId="6"/>
  </si>
  <si>
    <t>5年度(2023)</t>
    <phoneticPr fontId="6"/>
  </si>
  <si>
    <t>6年度(2024)</t>
    <phoneticPr fontId="6"/>
  </si>
  <si>
    <t>圧力補正</t>
    <rPh sb="0" eb="2">
      <t>アツリョク</t>
    </rPh>
    <rPh sb="2" eb="4">
      <t>ホセイ</t>
    </rPh>
    <phoneticPr fontId="6"/>
  </si>
  <si>
    <t>14年度(2002)</t>
    <rPh sb="2" eb="4">
      <t>ネンド</t>
    </rPh>
    <phoneticPr fontId="6"/>
  </si>
  <si>
    <t>15年度(2003)</t>
    <rPh sb="2" eb="4">
      <t>ネンド</t>
    </rPh>
    <phoneticPr fontId="6"/>
  </si>
  <si>
    <t>16年度(2004)</t>
    <rPh sb="2" eb="4">
      <t>ネンド</t>
    </rPh>
    <phoneticPr fontId="6"/>
  </si>
  <si>
    <t>17年度(2005)</t>
    <rPh sb="2" eb="4">
      <t>ネンド</t>
    </rPh>
    <phoneticPr fontId="6"/>
  </si>
  <si>
    <t>18年度(2006)</t>
    <rPh sb="2" eb="4">
      <t>ネンド</t>
    </rPh>
    <phoneticPr fontId="6"/>
  </si>
  <si>
    <t>19年度(2007)</t>
    <rPh sb="2" eb="4">
      <t>ネンド</t>
    </rPh>
    <phoneticPr fontId="6"/>
  </si>
  <si>
    <t>20年度(2008)</t>
    <rPh sb="2" eb="4">
      <t>ネンド</t>
    </rPh>
    <phoneticPr fontId="6"/>
  </si>
  <si>
    <t>21年度(2009)</t>
    <rPh sb="2" eb="4">
      <t>ネンド</t>
    </rPh>
    <phoneticPr fontId="6"/>
  </si>
  <si>
    <t>22年度(2010)</t>
    <rPh sb="2" eb="4">
      <t>ネンド</t>
    </rPh>
    <phoneticPr fontId="6"/>
  </si>
  <si>
    <t>23年度(2011)</t>
    <rPh sb="2" eb="4">
      <t>ネンド</t>
    </rPh>
    <phoneticPr fontId="6"/>
  </si>
  <si>
    <t>24年度(2012)</t>
    <rPh sb="2" eb="4">
      <t>ネンド</t>
    </rPh>
    <phoneticPr fontId="6"/>
  </si>
  <si>
    <t>25年度(2013)</t>
    <rPh sb="2" eb="4">
      <t>ネンド</t>
    </rPh>
    <phoneticPr fontId="6"/>
  </si>
  <si>
    <t>26年度(2014)</t>
    <rPh sb="2" eb="4">
      <t>ネンド</t>
    </rPh>
    <phoneticPr fontId="6"/>
  </si>
  <si>
    <t>27年度(2015)</t>
    <rPh sb="2" eb="4">
      <t>ネンド</t>
    </rPh>
    <phoneticPr fontId="6"/>
  </si>
  <si>
    <t>28年度(2016)</t>
    <rPh sb="2" eb="4">
      <t>ネンド</t>
    </rPh>
    <phoneticPr fontId="6"/>
  </si>
  <si>
    <t>29年度(2017)</t>
    <rPh sb="2" eb="4">
      <t>ネンド</t>
    </rPh>
    <phoneticPr fontId="6"/>
  </si>
  <si>
    <t>30年度(2018)</t>
    <rPh sb="2" eb="4">
      <t>ネンド</t>
    </rPh>
    <phoneticPr fontId="6"/>
  </si>
  <si>
    <t>1年度(2019)</t>
    <rPh sb="1" eb="2">
      <t>ネン</t>
    </rPh>
    <rPh sb="2" eb="3">
      <t>ド</t>
    </rPh>
    <phoneticPr fontId="6"/>
  </si>
  <si>
    <t>2年度(2020)</t>
    <rPh sb="1" eb="2">
      <t>ネン</t>
    </rPh>
    <rPh sb="2" eb="3">
      <t>ド</t>
    </rPh>
    <phoneticPr fontId="6"/>
  </si>
  <si>
    <t>3年度(2021)</t>
    <rPh sb="1" eb="2">
      <t>ネン</t>
    </rPh>
    <rPh sb="2" eb="3">
      <t>ド</t>
    </rPh>
    <phoneticPr fontId="6"/>
  </si>
  <si>
    <t>4年度(2022)</t>
    <rPh sb="1" eb="2">
      <t>ネン</t>
    </rPh>
    <rPh sb="2" eb="3">
      <t>ド</t>
    </rPh>
    <phoneticPr fontId="6"/>
  </si>
  <si>
    <t>5年度(2023)</t>
    <rPh sb="1" eb="2">
      <t>ネン</t>
    </rPh>
    <rPh sb="2" eb="3">
      <t>ド</t>
    </rPh>
    <phoneticPr fontId="6"/>
  </si>
  <si>
    <t>6年度(2024)</t>
    <rPh sb="1" eb="2">
      <t>ネン</t>
    </rPh>
    <rPh sb="2" eb="3">
      <t>ド</t>
    </rPh>
    <phoneticPr fontId="6"/>
  </si>
  <si>
    <t>有効数字</t>
    <rPh sb="0" eb="2">
      <t>ユウコウ</t>
    </rPh>
    <rPh sb="2" eb="4">
      <t>スウジ</t>
    </rPh>
    <phoneticPr fontId="6"/>
  </si>
  <si>
    <t>13A:45MJ/m3</t>
    <phoneticPr fontId="6"/>
  </si>
  <si>
    <t>低圧用</t>
    <rPh sb="0" eb="3">
      <t>テイアツヨウ</t>
    </rPh>
    <phoneticPr fontId="6"/>
  </si>
  <si>
    <t>m3</t>
    <phoneticPr fontId="6"/>
  </si>
  <si>
    <t>千Nm3</t>
    <phoneticPr fontId="6"/>
  </si>
  <si>
    <t>中間圧以上用</t>
    <rPh sb="0" eb="2">
      <t>チュウカン</t>
    </rPh>
    <rPh sb="2" eb="3">
      <t>アツ</t>
    </rPh>
    <rPh sb="3" eb="5">
      <t>イジョウ</t>
    </rPh>
    <rPh sb="5" eb="6">
      <t>ヨウ</t>
    </rPh>
    <phoneticPr fontId="6"/>
  </si>
  <si>
    <t>13A:43.12MJ/m3</t>
    <phoneticPr fontId="6"/>
  </si>
  <si>
    <t>Nm3</t>
    <phoneticPr fontId="6"/>
  </si>
  <si>
    <t>13A:46.04MJ/m3</t>
    <phoneticPr fontId="6"/>
  </si>
  <si>
    <t>12A:41.86MJ/m3</t>
    <phoneticPr fontId="6"/>
  </si>
  <si>
    <t>6A:29.30MJ/m3</t>
    <phoneticPr fontId="6"/>
  </si>
  <si>
    <t>イ　液化石油ガス（ＬＰＧ）</t>
    <phoneticPr fontId="6"/>
  </si>
  <si>
    <t>換算後</t>
    <rPh sb="0" eb="2">
      <t>カンサン</t>
    </rPh>
    <rPh sb="2" eb="3">
      <t>ゴ</t>
    </rPh>
    <phoneticPr fontId="6"/>
  </si>
  <si>
    <t>使用量（換算後）</t>
  </si>
  <si>
    <t>種別</t>
    <rPh sb="0" eb="2">
      <t>シュベツ</t>
    </rPh>
    <phoneticPr fontId="6"/>
  </si>
  <si>
    <r>
      <t>気化率
m</t>
    </r>
    <r>
      <rPr>
        <vertAlign val="superscript"/>
        <sz val="11"/>
        <color indexed="8"/>
        <rFont val="ＭＳ Ｐ明朝"/>
        <family val="1"/>
        <charset val="128"/>
      </rPr>
      <t>3</t>
    </r>
    <r>
      <rPr>
        <sz val="11"/>
        <color indexed="8"/>
        <rFont val="ＭＳ Ｐ明朝"/>
        <family val="1"/>
        <charset val="128"/>
      </rPr>
      <t>/kg</t>
    </r>
    <rPh sb="0" eb="1">
      <t>キ</t>
    </rPh>
    <rPh sb="1" eb="2">
      <t>カ</t>
    </rPh>
    <rPh sb="2" eb="3">
      <t>リツ</t>
    </rPh>
    <phoneticPr fontId="6"/>
  </si>
  <si>
    <t>31/1年度(2019)</t>
    <rPh sb="4" eb="5">
      <t>ネン</t>
    </rPh>
    <rPh sb="5" eb="6">
      <t>ド</t>
    </rPh>
    <phoneticPr fontId="6"/>
  </si>
  <si>
    <t>単位換算</t>
    <rPh sb="0" eb="2">
      <t>タンイ</t>
    </rPh>
    <rPh sb="2" eb="4">
      <t>カンサン</t>
    </rPh>
    <phoneticPr fontId="6"/>
  </si>
  <si>
    <t>桁補正</t>
    <rPh sb="0" eb="1">
      <t>ケタ</t>
    </rPh>
    <rPh sb="1" eb="3">
      <t>ホセイ</t>
    </rPh>
    <phoneticPr fontId="6"/>
  </si>
  <si>
    <t>プロパン・ブタン混合ガス
（LPガス）</t>
    <phoneticPr fontId="6"/>
  </si>
  <si>
    <t>プロパン</t>
    <phoneticPr fontId="6"/>
  </si>
  <si>
    <t>ブタン</t>
    <phoneticPr fontId="6"/>
  </si>
  <si>
    <t>その他</t>
    <phoneticPr fontId="6"/>
  </si>
  <si>
    <t>ウ　都市ガス・LPG以外の気体燃料</t>
    <rPh sb="2" eb="4">
      <t>トシ</t>
    </rPh>
    <rPh sb="10" eb="12">
      <t>イガイ</t>
    </rPh>
    <rPh sb="13" eb="15">
      <t>キタイ</t>
    </rPh>
    <rPh sb="15" eb="17">
      <t>ネンリョウ</t>
    </rPh>
    <phoneticPr fontId="6"/>
  </si>
  <si>
    <t>使用量（換算後）</t>
    <phoneticPr fontId="6"/>
  </si>
  <si>
    <t>その他可燃性
天然ガス</t>
    <rPh sb="2" eb="3">
      <t>タ</t>
    </rPh>
    <rPh sb="3" eb="6">
      <t>カネンセイ</t>
    </rPh>
    <rPh sb="7" eb="9">
      <t>テンネン</t>
    </rPh>
    <phoneticPr fontId="6"/>
  </si>
  <si>
    <t>気体燃料
圧力</t>
    <rPh sb="0" eb="2">
      <t>キタイ</t>
    </rPh>
    <rPh sb="2" eb="4">
      <t>ネンリョウ</t>
    </rPh>
    <rPh sb="5" eb="7">
      <t>アツリョク</t>
    </rPh>
    <phoneticPr fontId="6"/>
  </si>
  <si>
    <t>kPa</t>
    <phoneticPr fontId="6"/>
  </si>
  <si>
    <t>気体燃料
温度</t>
    <rPh sb="0" eb="2">
      <t>キタイ</t>
    </rPh>
    <rPh sb="2" eb="4">
      <t>ネンリョウ</t>
    </rPh>
    <rPh sb="5" eb="7">
      <t>オンド</t>
    </rPh>
    <phoneticPr fontId="6"/>
  </si>
  <si>
    <t>℃</t>
    <phoneticPr fontId="6"/>
  </si>
  <si>
    <t>エ　電気または熱の事業所外への供給</t>
    <rPh sb="2" eb="4">
      <t>デンキ</t>
    </rPh>
    <rPh sb="7" eb="8">
      <t>ネツ</t>
    </rPh>
    <rPh sb="9" eb="12">
      <t>ジギョウショ</t>
    </rPh>
    <rPh sb="12" eb="13">
      <t>ガイ</t>
    </rPh>
    <rPh sb="15" eb="17">
      <t>キョウキュウ</t>
    </rPh>
    <phoneticPr fontId="6"/>
  </si>
  <si>
    <t>事業所外供給</t>
    <rPh sb="0" eb="3">
      <t>ジギョウショ</t>
    </rPh>
    <rPh sb="3" eb="4">
      <t>ガイ</t>
    </rPh>
    <rPh sb="4" eb="6">
      <t>キョウキュウ</t>
    </rPh>
    <phoneticPr fontId="6"/>
  </si>
  <si>
    <t>電気</t>
    <rPh sb="0" eb="2">
      <t>デンキ</t>
    </rPh>
    <phoneticPr fontId="6"/>
  </si>
  <si>
    <t>電気供給量</t>
    <rPh sb="0" eb="2">
      <t>デンキ</t>
    </rPh>
    <rPh sb="2" eb="4">
      <t>キョウキュウ</t>
    </rPh>
    <rPh sb="4" eb="5">
      <t>リョウ</t>
    </rPh>
    <phoneticPr fontId="6"/>
  </si>
  <si>
    <t>kWh</t>
    <phoneticPr fontId="6"/>
  </si>
  <si>
    <t>千kWh</t>
    <phoneticPr fontId="6"/>
  </si>
  <si>
    <t>t-CO2/千kWh</t>
    <phoneticPr fontId="6"/>
  </si>
  <si>
    <t>供給量</t>
    <rPh sb="0" eb="3">
      <t>キョウキュウリョウ</t>
    </rPh>
    <phoneticPr fontId="6"/>
  </si>
  <si>
    <t>熱</t>
    <rPh sb="0" eb="1">
      <t>ネツ</t>
    </rPh>
    <phoneticPr fontId="6"/>
  </si>
  <si>
    <t>熱供給量</t>
    <rPh sb="0" eb="1">
      <t>ネツ</t>
    </rPh>
    <rPh sb="1" eb="3">
      <t>キョウキュウ</t>
    </rPh>
    <rPh sb="3" eb="4">
      <t>リョウ</t>
    </rPh>
    <phoneticPr fontId="6"/>
  </si>
  <si>
    <t>MJ</t>
    <phoneticPr fontId="6"/>
  </si>
  <si>
    <t>t-ＣＯ₂/GJ</t>
    <phoneticPr fontId="6"/>
  </si>
  <si>
    <t>kg</t>
    <phoneticPr fontId="6"/>
  </si>
  <si>
    <r>
      <t>m</t>
    </r>
    <r>
      <rPr>
        <vertAlign val="superscript"/>
        <sz val="11"/>
        <color indexed="8"/>
        <rFont val="ＭＳ Ｐ明朝"/>
        <family val="1"/>
        <charset val="128"/>
      </rPr>
      <t>3</t>
    </r>
    <phoneticPr fontId="6"/>
  </si>
  <si>
    <r>
      <t>千m</t>
    </r>
    <r>
      <rPr>
        <vertAlign val="superscript"/>
        <sz val="10"/>
        <rFont val="ＭＳ Ｐ明朝"/>
        <family val="1"/>
        <charset val="128"/>
      </rPr>
      <t>3</t>
    </r>
    <rPh sb="0" eb="1">
      <t>セン</t>
    </rPh>
    <phoneticPr fontId="62"/>
  </si>
  <si>
    <r>
      <t>Nm</t>
    </r>
    <r>
      <rPr>
        <sz val="11"/>
        <color indexed="8"/>
        <rFont val="ＭＳ Ｐ明朝"/>
        <family val="1"/>
        <charset val="128"/>
      </rPr>
      <t>3</t>
    </r>
    <phoneticPr fontId="6"/>
  </si>
  <si>
    <t>千Nm3</t>
    <phoneticPr fontId="62"/>
  </si>
  <si>
    <t>千kWh</t>
    <rPh sb="0" eb="1">
      <t>セン</t>
    </rPh>
    <phoneticPr fontId="62"/>
  </si>
  <si>
    <t>GJ</t>
    <phoneticPr fontId="62"/>
  </si>
  <si>
    <t>都市ガス圧力補正</t>
    <rPh sb="0" eb="2">
      <t>トシ</t>
    </rPh>
    <rPh sb="4" eb="6">
      <t>アツリョク</t>
    </rPh>
    <rPh sb="6" eb="8">
      <t>ホセイ</t>
    </rPh>
    <phoneticPr fontId="6"/>
  </si>
  <si>
    <t>気化率</t>
    <rPh sb="0" eb="1">
      <t>キ</t>
    </rPh>
    <rPh sb="1" eb="2">
      <t>カ</t>
    </rPh>
    <rPh sb="2" eb="3">
      <t>リツ</t>
    </rPh>
    <phoneticPr fontId="6"/>
  </si>
  <si>
    <t>プロパン・ブタン混合ガス（LPガス）</t>
    <phoneticPr fontId="6"/>
  </si>
  <si>
    <t>ＬＰガス</t>
    <phoneticPr fontId="6"/>
  </si>
  <si>
    <t>自動車用</t>
    <rPh sb="0" eb="3">
      <t>ジドウシャ</t>
    </rPh>
    <rPh sb="3" eb="4">
      <t>ヨウ</t>
    </rPh>
    <phoneticPr fontId="6"/>
  </si>
  <si>
    <t>その他</t>
    <rPh sb="2" eb="3">
      <t>タ</t>
    </rPh>
    <phoneticPr fontId="6"/>
  </si>
  <si>
    <t>２．算定報告様式（～R6建物系）</t>
    <rPh sb="2" eb="4">
      <t>サンテイ</t>
    </rPh>
    <rPh sb="4" eb="6">
      <t>ホウコク</t>
    </rPh>
    <rPh sb="6" eb="8">
      <t>ヨウシキ</t>
    </rPh>
    <rPh sb="12" eb="14">
      <t>タテモノ</t>
    </rPh>
    <rPh sb="14" eb="15">
      <t>ケイ</t>
    </rPh>
    <phoneticPr fontId="6"/>
  </si>
  <si>
    <t>排出活動</t>
    <phoneticPr fontId="6"/>
  </si>
  <si>
    <t>区分</t>
    <rPh sb="0" eb="2">
      <t>クブン</t>
    </rPh>
    <phoneticPr fontId="6"/>
  </si>
  <si>
    <t>単位</t>
    <rPh sb="0" eb="2">
      <t>タンイ</t>
    </rPh>
    <phoneticPr fontId="13"/>
  </si>
  <si>
    <t>使　　　　　　　　　　用　　　　　　　　　　量</t>
    <rPh sb="0" eb="1">
      <t>シ</t>
    </rPh>
    <rPh sb="11" eb="12">
      <t>ヨウ</t>
    </rPh>
    <rPh sb="22" eb="23">
      <t>リョウ</t>
    </rPh>
    <phoneticPr fontId="6"/>
  </si>
  <si>
    <t>単位当たり発熱量</t>
    <phoneticPr fontId="6"/>
  </si>
  <si>
    <t>排出係数</t>
    <phoneticPr fontId="6"/>
  </si>
  <si>
    <t>事業所内使用量</t>
    <rPh sb="0" eb="3">
      <t>ジギョウショ</t>
    </rPh>
    <rPh sb="3" eb="4">
      <t>ナイ</t>
    </rPh>
    <rPh sb="4" eb="6">
      <t>シヨウ</t>
    </rPh>
    <rPh sb="6" eb="7">
      <t>リョウ</t>
    </rPh>
    <phoneticPr fontId="6"/>
  </si>
  <si>
    <t>算定対象外使用量</t>
    <rPh sb="0" eb="2">
      <t>サンテイ</t>
    </rPh>
    <rPh sb="2" eb="4">
      <t>タイショウ</t>
    </rPh>
    <rPh sb="5" eb="8">
      <t>シヨウリョウ</t>
    </rPh>
    <rPh sb="7" eb="8">
      <t>リョウ</t>
    </rPh>
    <phoneticPr fontId="6"/>
  </si>
  <si>
    <t>控除後使用量</t>
    <rPh sb="0" eb="2">
      <t>コウジョ</t>
    </rPh>
    <rPh sb="2" eb="3">
      <t>ゴ</t>
    </rPh>
    <rPh sb="3" eb="6">
      <t>シヨウリョウ</t>
    </rPh>
    <phoneticPr fontId="6"/>
  </si>
  <si>
    <t>控除後使用量　単位補正後</t>
    <rPh sb="0" eb="2">
      <t>コウジョ</t>
    </rPh>
    <rPh sb="2" eb="3">
      <t>ゴ</t>
    </rPh>
    <rPh sb="3" eb="6">
      <t>シヨウリョウ</t>
    </rPh>
    <rPh sb="7" eb="9">
      <t>タンイ</t>
    </rPh>
    <rPh sb="9" eb="12">
      <t>ホセイゴ</t>
    </rPh>
    <phoneticPr fontId="6"/>
  </si>
  <si>
    <t>エネルギー発熱量（GJ)　</t>
    <rPh sb="5" eb="7">
      <t>ハツネツ</t>
    </rPh>
    <rPh sb="7" eb="8">
      <t>リョウ</t>
    </rPh>
    <phoneticPr fontId="6"/>
  </si>
  <si>
    <t>原油換算使用量（ｋL)　</t>
    <rPh sb="0" eb="2">
      <t>ゲンユ</t>
    </rPh>
    <rPh sb="2" eb="4">
      <t>カンサン</t>
    </rPh>
    <rPh sb="4" eb="7">
      <t>シヨウリョウ</t>
    </rPh>
    <phoneticPr fontId="6"/>
  </si>
  <si>
    <t>CO₂換算使用量　（t-CO₂）</t>
    <rPh sb="3" eb="5">
      <t>カンサン</t>
    </rPh>
    <rPh sb="5" eb="8">
      <t>シヨウリョウ</t>
    </rPh>
    <phoneticPr fontId="6"/>
  </si>
  <si>
    <t>燃料等
監視点</t>
    <rPh sb="0" eb="2">
      <t>ネンリョウ</t>
    </rPh>
    <rPh sb="2" eb="3">
      <t>トウ</t>
    </rPh>
    <rPh sb="4" eb="6">
      <t>カンシ</t>
    </rPh>
    <rPh sb="6" eb="7">
      <t>テン</t>
    </rPh>
    <phoneticPr fontId="13"/>
  </si>
  <si>
    <t>計量器の種類</t>
    <phoneticPr fontId="6"/>
  </si>
  <si>
    <t>検定等の有無</t>
    <rPh sb="0" eb="2">
      <t>ケンテイ</t>
    </rPh>
    <rPh sb="2" eb="3">
      <t>トウ</t>
    </rPh>
    <rPh sb="4" eb="5">
      <t>ユウ</t>
    </rPh>
    <rPh sb="5" eb="6">
      <t>ム</t>
    </rPh>
    <phoneticPr fontId="13"/>
  </si>
  <si>
    <t>入力方法</t>
    <rPh sb="0" eb="2">
      <t>ニュウリョク</t>
    </rPh>
    <rPh sb="2" eb="4">
      <t>ホウホウ</t>
    </rPh>
    <phoneticPr fontId="13"/>
  </si>
  <si>
    <t>31/1年度
(2019)</t>
    <rPh sb="4" eb="5">
      <t>ネン</t>
    </rPh>
    <rPh sb="5" eb="6">
      <t>ド</t>
    </rPh>
    <phoneticPr fontId="6"/>
  </si>
  <si>
    <t>2年度
(2020)</t>
    <rPh sb="1" eb="2">
      <t>ネン</t>
    </rPh>
    <rPh sb="2" eb="3">
      <t>ド</t>
    </rPh>
    <phoneticPr fontId="6"/>
  </si>
  <si>
    <t>3年度
(2021)</t>
    <rPh sb="1" eb="2">
      <t>ネン</t>
    </rPh>
    <rPh sb="2" eb="3">
      <t>ド</t>
    </rPh>
    <phoneticPr fontId="6"/>
  </si>
  <si>
    <t>4年度
(2022)</t>
    <rPh sb="1" eb="2">
      <t>ネン</t>
    </rPh>
    <rPh sb="2" eb="3">
      <t>ド</t>
    </rPh>
    <phoneticPr fontId="6"/>
  </si>
  <si>
    <t>5年度
(2023)</t>
    <rPh sb="1" eb="2">
      <t>ネン</t>
    </rPh>
    <rPh sb="2" eb="3">
      <t>ド</t>
    </rPh>
    <phoneticPr fontId="6"/>
  </si>
  <si>
    <t>6年度
(2024)</t>
    <rPh sb="1" eb="2">
      <t>ネン</t>
    </rPh>
    <rPh sb="2" eb="3">
      <t>ド</t>
    </rPh>
    <phoneticPr fontId="6"/>
  </si>
  <si>
    <t>L</t>
    <phoneticPr fontId="6"/>
  </si>
  <si>
    <t>ｋL</t>
    <phoneticPr fontId="6"/>
  </si>
  <si>
    <t>t-C/GJ</t>
  </si>
  <si>
    <r>
      <t>Nm</t>
    </r>
    <r>
      <rPr>
        <vertAlign val="superscript"/>
        <sz val="11"/>
        <color indexed="8"/>
        <rFont val="ＭＳ Ｐ明朝"/>
        <family val="1"/>
        <charset val="128"/>
      </rPr>
      <t>3</t>
    </r>
    <phoneticPr fontId="6"/>
  </si>
  <si>
    <r>
      <t>千Nｍ</t>
    </r>
    <r>
      <rPr>
        <vertAlign val="superscript"/>
        <sz val="11"/>
        <color indexed="8"/>
        <rFont val="ＭＳ Ｐ明朝"/>
        <family val="1"/>
        <charset val="128"/>
      </rPr>
      <t>3</t>
    </r>
    <phoneticPr fontId="62"/>
  </si>
  <si>
    <t>千N㎥</t>
    <rPh sb="0" eb="1">
      <t>セン</t>
    </rPh>
    <phoneticPr fontId="6"/>
  </si>
  <si>
    <t>GJ
/千Nｍ3</t>
    <phoneticPr fontId="6"/>
  </si>
  <si>
    <t>千kWh</t>
  </si>
  <si>
    <t>可燃性
天然ガス</t>
    <rPh sb="0" eb="3">
      <t>カネンセイ</t>
    </rPh>
    <rPh sb="4" eb="6">
      <t>テンネン</t>
    </rPh>
    <phoneticPr fontId="6"/>
  </si>
  <si>
    <t>ｋL/GJ</t>
    <phoneticPr fontId="6"/>
  </si>
  <si>
    <t>原料炭</t>
    <rPh sb="0" eb="2">
      <t>ゲンリョウ</t>
    </rPh>
    <rPh sb="2" eb="3">
      <t>タン</t>
    </rPh>
    <phoneticPr fontId="6"/>
  </si>
  <si>
    <t>一般炭</t>
    <rPh sb="0" eb="2">
      <t>イッパン</t>
    </rPh>
    <rPh sb="2" eb="3">
      <t>タン</t>
    </rPh>
    <phoneticPr fontId="6"/>
  </si>
  <si>
    <t>千Nｍ3</t>
    <phoneticPr fontId="6"/>
  </si>
  <si>
    <r>
      <t>都市ガス</t>
    </r>
    <r>
      <rPr>
        <vertAlign val="superscript"/>
        <sz val="9"/>
        <rFont val="ＭＳ Ｐ明朝"/>
        <family val="1"/>
        <charset val="128"/>
      </rPr>
      <t>（※）</t>
    </r>
    <rPh sb="0" eb="2">
      <t>トシ</t>
    </rPh>
    <phoneticPr fontId="6"/>
  </si>
  <si>
    <t>小　　計</t>
    <rPh sb="0" eb="1">
      <t>ショウ</t>
    </rPh>
    <rPh sb="3" eb="4">
      <t>ケイ</t>
    </rPh>
    <phoneticPr fontId="5"/>
  </si>
  <si>
    <t>GJ/GJ</t>
  </si>
  <si>
    <r>
      <t>t-CO</t>
    </r>
    <r>
      <rPr>
        <vertAlign val="subscript"/>
        <sz val="9"/>
        <rFont val="ＭＳ Ｐ明朝"/>
        <family val="1"/>
        <charset val="128"/>
      </rPr>
      <t>2</t>
    </r>
    <r>
      <rPr>
        <sz val="9"/>
        <rFont val="ＭＳ Ｐ明朝"/>
        <family val="1"/>
        <charset val="128"/>
      </rPr>
      <t xml:space="preserve">
/GJ</t>
    </r>
    <phoneticPr fontId="6"/>
  </si>
  <si>
    <t>再生可能エネルギーの環境価値を移転した熱</t>
    <rPh sb="0" eb="2">
      <t>サイセイ</t>
    </rPh>
    <rPh sb="2" eb="4">
      <t>カノウ</t>
    </rPh>
    <rPh sb="10" eb="12">
      <t>カンキョウ</t>
    </rPh>
    <rPh sb="12" eb="14">
      <t>カチ</t>
    </rPh>
    <rPh sb="15" eb="17">
      <t>イテン</t>
    </rPh>
    <rPh sb="19" eb="20">
      <t>ネツ</t>
    </rPh>
    <phoneticPr fontId="6"/>
  </si>
  <si>
    <t>一般電気
事業者</t>
    <rPh sb="0" eb="2">
      <t>イッパン</t>
    </rPh>
    <rPh sb="2" eb="4">
      <t>デンキ</t>
    </rPh>
    <rPh sb="5" eb="8">
      <t>ジギョウシャ</t>
    </rPh>
    <phoneticPr fontId="6"/>
  </si>
  <si>
    <t>昼間（8時～22時）</t>
    <rPh sb="0" eb="2">
      <t>ヒルマ</t>
    </rPh>
    <rPh sb="4" eb="5">
      <t>ジ</t>
    </rPh>
    <rPh sb="8" eb="9">
      <t>ジ</t>
    </rPh>
    <phoneticPr fontId="6"/>
  </si>
  <si>
    <t>GJ
/千kWh</t>
    <rPh sb="4" eb="5">
      <t>セン</t>
    </rPh>
    <phoneticPr fontId="6"/>
  </si>
  <si>
    <r>
      <t>t-CO</t>
    </r>
    <r>
      <rPr>
        <vertAlign val="subscript"/>
        <sz val="8"/>
        <rFont val="ＭＳ Ｐ明朝"/>
        <family val="1"/>
        <charset val="128"/>
      </rPr>
      <t xml:space="preserve">2
</t>
    </r>
    <r>
      <rPr>
        <sz val="8"/>
        <rFont val="ＭＳ Ｐ明朝"/>
        <family val="1"/>
        <charset val="128"/>
      </rPr>
      <t>/千kWh</t>
    </r>
    <rPh sb="7" eb="8">
      <t>セン</t>
    </rPh>
    <phoneticPr fontId="6"/>
  </si>
  <si>
    <t>夜間（22時～翌8時）</t>
    <rPh sb="0" eb="2">
      <t>ヤカン</t>
    </rPh>
    <rPh sb="5" eb="6">
      <t>ジ</t>
    </rPh>
    <rPh sb="7" eb="8">
      <t>ヨク</t>
    </rPh>
    <rPh sb="9" eb="10">
      <t>ジ</t>
    </rPh>
    <phoneticPr fontId="6"/>
  </si>
  <si>
    <t>その他の買電</t>
    <rPh sb="2" eb="3">
      <t>タ</t>
    </rPh>
    <phoneticPr fontId="6"/>
  </si>
  <si>
    <t>再生可能エネルギーの環境価値を移転した電気</t>
    <rPh sb="0" eb="2">
      <t>サイセイ</t>
    </rPh>
    <rPh sb="2" eb="4">
      <t>カノウ</t>
    </rPh>
    <rPh sb="10" eb="12">
      <t>カンキョウ</t>
    </rPh>
    <rPh sb="12" eb="14">
      <t>カチ</t>
    </rPh>
    <rPh sb="15" eb="17">
      <t>イテン</t>
    </rPh>
    <rPh sb="19" eb="21">
      <t>デンキ</t>
    </rPh>
    <phoneticPr fontId="6"/>
  </si>
  <si>
    <t>再生可能エネルギーを自家消費した
電気</t>
    <rPh sb="0" eb="2">
      <t>サイセイ</t>
    </rPh>
    <rPh sb="2" eb="4">
      <t>カノウ</t>
    </rPh>
    <rPh sb="10" eb="12">
      <t>ジカ</t>
    </rPh>
    <rPh sb="12" eb="14">
      <t>ショウヒ</t>
    </rPh>
    <rPh sb="17" eb="19">
      <t>デンキ</t>
    </rPh>
    <phoneticPr fontId="6"/>
  </si>
  <si>
    <t>コージェネレーションＣＯ₂削減量</t>
    <rPh sb="13" eb="15">
      <t>サクゲン</t>
    </rPh>
    <rPh sb="15" eb="16">
      <t>リョウ</t>
    </rPh>
    <phoneticPr fontId="6"/>
  </si>
  <si>
    <t>t-CO2</t>
    <phoneticPr fontId="6"/>
  </si>
  <si>
    <t>t-CO2</t>
  </si>
  <si>
    <t>低炭素電力ＣＯ₂削減量</t>
    <rPh sb="0" eb="3">
      <t>テイタンソ</t>
    </rPh>
    <rPh sb="3" eb="5">
      <t>デンリョク</t>
    </rPh>
    <rPh sb="8" eb="10">
      <t>サクゲン</t>
    </rPh>
    <rPh sb="10" eb="11">
      <t>リョウ</t>
    </rPh>
    <phoneticPr fontId="6"/>
  </si>
  <si>
    <t>合　　計</t>
    <rPh sb="0" eb="1">
      <t>ア</t>
    </rPh>
    <rPh sb="3" eb="4">
      <t>ケイ</t>
    </rPh>
    <phoneticPr fontId="6"/>
  </si>
  <si>
    <r>
      <t>３．自動車燃料に関するCO</t>
    </r>
    <r>
      <rPr>
        <b/>
        <sz val="12"/>
        <color indexed="8"/>
        <rFont val="ＭＳ ゴシック"/>
        <family val="3"/>
        <charset val="128"/>
      </rPr>
      <t>2</t>
    </r>
    <r>
      <rPr>
        <b/>
        <sz val="18"/>
        <color indexed="8"/>
        <rFont val="ＭＳ ゴシック"/>
        <family val="3"/>
        <charset val="128"/>
      </rPr>
      <t>排出量（～R6自動車燃料チェックシート）</t>
    </r>
    <rPh sb="2" eb="5">
      <t>ジドウシャ</t>
    </rPh>
    <rPh sb="5" eb="7">
      <t>ネンリョウ</t>
    </rPh>
    <rPh sb="8" eb="9">
      <t>カン</t>
    </rPh>
    <rPh sb="14" eb="17">
      <t>ハイシュツリョウ</t>
    </rPh>
    <rPh sb="21" eb="24">
      <t>ジドウシャ</t>
    </rPh>
    <rPh sb="24" eb="26">
      <t>ネンリョウ</t>
    </rPh>
    <phoneticPr fontId="6"/>
  </si>
  <si>
    <t>（エコアップ認証自動車履歴ＣＯ₂排出量計算用）</t>
    <rPh sb="6" eb="8">
      <t>ニンショウ</t>
    </rPh>
    <rPh sb="8" eb="11">
      <t>ジドウシャ</t>
    </rPh>
    <rPh sb="11" eb="13">
      <t>リレキ</t>
    </rPh>
    <rPh sb="16" eb="18">
      <t>ハイシュツ</t>
    </rPh>
    <rPh sb="18" eb="19">
      <t>リョウ</t>
    </rPh>
    <rPh sb="19" eb="22">
      <t>ケイサンヨウ</t>
    </rPh>
    <phoneticPr fontId="6"/>
  </si>
  <si>
    <t>事業所名</t>
    <rPh sb="0" eb="3">
      <t>ジギョウショ</t>
    </rPh>
    <rPh sb="3" eb="4">
      <t>メイ</t>
    </rPh>
    <phoneticPr fontId="6"/>
  </si>
  <si>
    <t>　■　燃料実績</t>
    <rPh sb="3" eb="5">
      <t>ネンリョウ</t>
    </rPh>
    <rPh sb="5" eb="7">
      <t>ジッセキ</t>
    </rPh>
    <phoneticPr fontId="6"/>
  </si>
  <si>
    <t>（２）燃料実績</t>
    <rPh sb="3" eb="5">
      <t>ネンリョウ</t>
    </rPh>
    <rPh sb="5" eb="7">
      <t>ジッセキ</t>
    </rPh>
    <phoneticPr fontId="6"/>
  </si>
  <si>
    <t>（３）燃料実績</t>
    <rPh sb="3" eb="5">
      <t>ネンリョウ</t>
    </rPh>
    <rPh sb="5" eb="7">
      <t>ジッセキ</t>
    </rPh>
    <phoneticPr fontId="6"/>
  </si>
  <si>
    <t>燃料使用量</t>
    <rPh sb="0" eb="2">
      <t>ネンリョウ</t>
    </rPh>
    <rPh sb="2" eb="5">
      <t>シヨウリョウ</t>
    </rPh>
    <phoneticPr fontId="6"/>
  </si>
  <si>
    <t>単位当たり発熱量</t>
    <rPh sb="0" eb="2">
      <t>タンイ</t>
    </rPh>
    <rPh sb="2" eb="3">
      <t>ア</t>
    </rPh>
    <rPh sb="5" eb="8">
      <t>ハツネツリョウ</t>
    </rPh>
    <phoneticPr fontId="6"/>
  </si>
  <si>
    <t>熱量</t>
    <phoneticPr fontId="6"/>
  </si>
  <si>
    <t>原油換算</t>
    <rPh sb="0" eb="2">
      <t>ゲンユ</t>
    </rPh>
    <rPh sb="2" eb="4">
      <t>カンサン</t>
    </rPh>
    <phoneticPr fontId="6"/>
  </si>
  <si>
    <t>原油換算係数</t>
    <rPh sb="0" eb="2">
      <t>ゲンユ</t>
    </rPh>
    <rPh sb="2" eb="4">
      <t>カンサン</t>
    </rPh>
    <rPh sb="4" eb="6">
      <t>ケイスウ</t>
    </rPh>
    <phoneticPr fontId="6"/>
  </si>
  <si>
    <t>原油換算使用量</t>
    <rPh sb="0" eb="2">
      <t>ゲンユ</t>
    </rPh>
    <rPh sb="2" eb="4">
      <t>カンサン</t>
    </rPh>
    <rPh sb="4" eb="7">
      <t>シヨウリョウ</t>
    </rPh>
    <phoneticPr fontId="6"/>
  </si>
  <si>
    <t>二酸化炭素換算係数</t>
    <rPh sb="0" eb="3">
      <t>ニサンカ</t>
    </rPh>
    <rPh sb="3" eb="5">
      <t>タンソ</t>
    </rPh>
    <rPh sb="5" eb="7">
      <t>カンサン</t>
    </rPh>
    <rPh sb="7" eb="9">
      <t>ケイスウ</t>
    </rPh>
    <phoneticPr fontId="6"/>
  </si>
  <si>
    <t>二酸化炭素排出量
(t-CO2)</t>
    <phoneticPr fontId="6"/>
  </si>
  <si>
    <t>引用する排出係数等</t>
    <rPh sb="0" eb="2">
      <t>インヨウ</t>
    </rPh>
    <rPh sb="4" eb="6">
      <t>ハイシュツ</t>
    </rPh>
    <rPh sb="6" eb="8">
      <t>ケイスウ</t>
    </rPh>
    <rPh sb="8" eb="9">
      <t>トウ</t>
    </rPh>
    <phoneticPr fontId="6"/>
  </si>
  <si>
    <t>④</t>
    <phoneticPr fontId="6"/>
  </si>
  <si>
    <t>⑤=①×②×④</t>
    <phoneticPr fontId="6"/>
  </si>
  <si>
    <t>⑥</t>
    <phoneticPr fontId="6"/>
  </si>
  <si>
    <t>⑦</t>
    <phoneticPr fontId="6"/>
  </si>
  <si>
    <t>⑦=①×②×⑥
×44/12</t>
    <phoneticPr fontId="6"/>
  </si>
  <si>
    <t>H20</t>
  </si>
  <si>
    <t>H21</t>
  </si>
  <si>
    <t>H22</t>
  </si>
  <si>
    <t>H23</t>
  </si>
  <si>
    <t>H24</t>
  </si>
  <si>
    <t>H25</t>
  </si>
  <si>
    <t>H26</t>
  </si>
  <si>
    <t>H27</t>
  </si>
  <si>
    <t>H28</t>
  </si>
  <si>
    <t>H29</t>
  </si>
  <si>
    <t>H30</t>
  </si>
  <si>
    <t>H31/R1</t>
    <phoneticPr fontId="6"/>
  </si>
  <si>
    <t>R2</t>
    <phoneticPr fontId="6"/>
  </si>
  <si>
    <t>R3</t>
  </si>
  <si>
    <t>R4</t>
  </si>
  <si>
    <t>R5</t>
  </si>
  <si>
    <t>R6</t>
  </si>
  <si>
    <t>kL/GJ</t>
    <phoneticPr fontId="6"/>
  </si>
  <si>
    <r>
      <t>t-CO</t>
    </r>
    <r>
      <rPr>
        <vertAlign val="subscript"/>
        <sz val="12"/>
        <rFont val="ＭＳ ゴシック"/>
        <family val="3"/>
        <charset val="128"/>
      </rPr>
      <t>2</t>
    </r>
    <r>
      <rPr>
        <sz val="12"/>
        <rFont val="ＭＳ ゴシック"/>
        <family val="3"/>
        <charset val="128"/>
      </rPr>
      <t>/使用量</t>
    </r>
    <rPh sb="6" eb="9">
      <t>シヨウリョウ</t>
    </rPh>
    <phoneticPr fontId="6"/>
  </si>
  <si>
    <t>換算
係数</t>
    <rPh sb="0" eb="2">
      <t>カンサン</t>
    </rPh>
    <rPh sb="3" eb="5">
      <t>ケイスウ</t>
    </rPh>
    <phoneticPr fontId="6"/>
  </si>
  <si>
    <t>GJ/kL</t>
    <phoneticPr fontId="6"/>
  </si>
  <si>
    <t>44/12</t>
    <phoneticPr fontId="6"/>
  </si>
  <si>
    <t>ガソリン</t>
    <phoneticPr fontId="6"/>
  </si>
  <si>
    <t>軽油(建機等）*</t>
    <rPh sb="0" eb="2">
      <t>ケイユ</t>
    </rPh>
    <rPh sb="3" eb="5">
      <t>ケンキ</t>
    </rPh>
    <rPh sb="5" eb="6">
      <t>トウ</t>
    </rPh>
    <phoneticPr fontId="6"/>
  </si>
  <si>
    <t>GJ/t</t>
    <phoneticPr fontId="6"/>
  </si>
  <si>
    <t>液化石油ガス
（ＬＰＧ）</t>
    <phoneticPr fontId="6"/>
  </si>
  <si>
    <r>
      <t>千ｍ</t>
    </r>
    <r>
      <rPr>
        <vertAlign val="superscript"/>
        <sz val="12"/>
        <rFont val="ＭＳ ゴシック"/>
        <family val="3"/>
        <charset val="128"/>
      </rPr>
      <t>3</t>
    </r>
    <rPh sb="0" eb="1">
      <t>セン</t>
    </rPh>
    <phoneticPr fontId="6"/>
  </si>
  <si>
    <r>
      <t>千Nｍ</t>
    </r>
    <r>
      <rPr>
        <vertAlign val="superscript"/>
        <sz val="12"/>
        <rFont val="ＭＳ ゴシック"/>
        <family val="3"/>
        <charset val="128"/>
      </rPr>
      <t>3</t>
    </r>
    <rPh sb="0" eb="1">
      <t>セン</t>
    </rPh>
    <phoneticPr fontId="6"/>
  </si>
  <si>
    <r>
      <t>GJ/千Nｍ</t>
    </r>
    <r>
      <rPr>
        <vertAlign val="superscript"/>
        <sz val="12"/>
        <rFont val="ＭＳ 明朝"/>
        <family val="1"/>
        <charset val="128"/>
      </rPr>
      <t>3</t>
    </r>
    <phoneticPr fontId="6"/>
  </si>
  <si>
    <t>天然ガス</t>
    <rPh sb="0" eb="2">
      <t>テンネン</t>
    </rPh>
    <phoneticPr fontId="6"/>
  </si>
  <si>
    <r>
      <t>13A:43.12MJ/m</t>
    </r>
    <r>
      <rPr>
        <vertAlign val="superscript"/>
        <sz val="12"/>
        <rFont val="ＭＳ ゴシック"/>
        <family val="3"/>
        <charset val="128"/>
      </rPr>
      <t>3</t>
    </r>
    <phoneticPr fontId="6"/>
  </si>
  <si>
    <r>
      <t>13A:46.04MJ/m</t>
    </r>
    <r>
      <rPr>
        <vertAlign val="superscript"/>
        <sz val="12"/>
        <rFont val="ＭＳ ゴシック"/>
        <family val="3"/>
        <charset val="128"/>
      </rPr>
      <t>3</t>
    </r>
    <phoneticPr fontId="6"/>
  </si>
  <si>
    <r>
      <t>12A:41.86MJ/m</t>
    </r>
    <r>
      <rPr>
        <vertAlign val="superscript"/>
        <sz val="12"/>
        <rFont val="ＭＳ ゴシック"/>
        <family val="3"/>
        <charset val="128"/>
      </rPr>
      <t>3</t>
    </r>
    <phoneticPr fontId="6"/>
  </si>
  <si>
    <r>
      <t>6A:29.30MJ/m</t>
    </r>
    <r>
      <rPr>
        <vertAlign val="superscript"/>
        <sz val="12"/>
        <rFont val="ＭＳ ゴシック"/>
        <family val="3"/>
        <charset val="128"/>
      </rPr>
      <t>3</t>
    </r>
    <phoneticPr fontId="6"/>
  </si>
  <si>
    <t>GJ/GJ</t>
    <phoneticPr fontId="6"/>
  </si>
  <si>
    <r>
      <t>t-CO</t>
    </r>
    <r>
      <rPr>
        <vertAlign val="subscript"/>
        <sz val="12"/>
        <rFont val="ＭＳ 明朝"/>
        <family val="1"/>
        <charset val="128"/>
      </rPr>
      <t>2</t>
    </r>
    <r>
      <rPr>
        <sz val="12"/>
        <rFont val="ＭＳ 明朝"/>
        <family val="1"/>
        <charset val="128"/>
      </rPr>
      <t>/GJ</t>
    </r>
    <phoneticPr fontId="6"/>
  </si>
  <si>
    <t>―</t>
  </si>
  <si>
    <t>④</t>
  </si>
  <si>
    <t>⑥</t>
  </si>
  <si>
    <t>⑦</t>
  </si>
  <si>
    <t>一般電気事業者</t>
    <rPh sb="0" eb="2">
      <t>イッパン</t>
    </rPh>
    <rPh sb="2" eb="4">
      <t>デンキ</t>
    </rPh>
    <rPh sb="4" eb="7">
      <t>ジギョウシャ</t>
    </rPh>
    <phoneticPr fontId="6"/>
  </si>
  <si>
    <t>GJ/千kWh</t>
    <rPh sb="3" eb="4">
      <t>セン</t>
    </rPh>
    <phoneticPr fontId="6"/>
  </si>
  <si>
    <r>
      <t>t-CO</t>
    </r>
    <r>
      <rPr>
        <vertAlign val="subscript"/>
        <sz val="12"/>
        <rFont val="ＭＳ 明朝"/>
        <family val="1"/>
        <charset val="128"/>
      </rPr>
      <t>2</t>
    </r>
    <r>
      <rPr>
        <sz val="12"/>
        <rFont val="ＭＳ 明朝"/>
        <family val="1"/>
        <charset val="128"/>
      </rPr>
      <t>/千kWh</t>
    </r>
    <rPh sb="6" eb="7">
      <t>セン</t>
    </rPh>
    <phoneticPr fontId="6"/>
  </si>
  <si>
    <t>―</t>
    <phoneticPr fontId="6"/>
  </si>
  <si>
    <t>t-CO2
/GJ</t>
  </si>
  <si>
    <t>t-CO2
/千kWh</t>
  </si>
  <si>
    <t>*軽油を種類別で計算したい場合に使用ください。</t>
    <phoneticPr fontId="6"/>
  </si>
  <si>
    <t>日本工業規格Ａ列４番</t>
    <phoneticPr fontId="6"/>
  </si>
  <si>
    <t>（２）車両台数内訳・・・・上記の発生源となる車両台数を記入する。</t>
    <rPh sb="3" eb="5">
      <t>シャリョウ</t>
    </rPh>
    <rPh sb="5" eb="7">
      <t>ダイスウ</t>
    </rPh>
    <rPh sb="7" eb="9">
      <t>ウチワケ</t>
    </rPh>
    <rPh sb="13" eb="15">
      <t>ジョウキ</t>
    </rPh>
    <rPh sb="16" eb="19">
      <t>ハッセイゲン</t>
    </rPh>
    <rPh sb="22" eb="24">
      <t>シャリョウ</t>
    </rPh>
    <rPh sb="24" eb="26">
      <t>ダイスウ</t>
    </rPh>
    <rPh sb="27" eb="29">
      <t>キニュウ</t>
    </rPh>
    <phoneticPr fontId="6"/>
  </si>
  <si>
    <t>普通</t>
    <rPh sb="0" eb="2">
      <t>フツウ</t>
    </rPh>
    <phoneticPr fontId="6"/>
  </si>
  <si>
    <t>軽</t>
    <rPh sb="0" eb="1">
      <t>ケイ</t>
    </rPh>
    <phoneticPr fontId="6"/>
  </si>
  <si>
    <t>エコ</t>
    <phoneticPr fontId="6"/>
  </si>
  <si>
    <t>４．燃料等使用量の単位換算（～R6工場・現場）</t>
    <rPh sb="2" eb="4">
      <t>ネンリョウ</t>
    </rPh>
    <rPh sb="4" eb="5">
      <t>トウ</t>
    </rPh>
    <rPh sb="5" eb="7">
      <t>シヨウ</t>
    </rPh>
    <rPh sb="7" eb="8">
      <t>リョウ</t>
    </rPh>
    <rPh sb="9" eb="11">
      <t>タンイ</t>
    </rPh>
    <rPh sb="11" eb="13">
      <t>カンサン</t>
    </rPh>
    <rPh sb="17" eb="19">
      <t>コウジョウ</t>
    </rPh>
    <rPh sb="20" eb="22">
      <t>ゲンバ</t>
    </rPh>
    <phoneticPr fontId="6"/>
  </si>
  <si>
    <t>t-CO2/千kWh</t>
    <phoneticPr fontId="5"/>
  </si>
  <si>
    <t>t-ＣＯ₂/GJ</t>
    <phoneticPr fontId="5"/>
  </si>
  <si>
    <t>５．算定報告様式（～R6工場・現場）</t>
    <rPh sb="2" eb="4">
      <t>サンテイ</t>
    </rPh>
    <rPh sb="4" eb="6">
      <t>ホウコク</t>
    </rPh>
    <rPh sb="6" eb="8">
      <t>ヨウシキ</t>
    </rPh>
    <rPh sb="12" eb="14">
      <t>コウジョウ</t>
    </rPh>
    <rPh sb="15" eb="17">
      <t>ゲンバ</t>
    </rPh>
    <phoneticPr fontId="6"/>
  </si>
  <si>
    <t>Nm3</t>
    <phoneticPr fontId="5"/>
  </si>
  <si>
    <t>６．エコアップ認証CO₂排出量計算結果</t>
    <rPh sb="7" eb="9">
      <t>ニンショウ</t>
    </rPh>
    <rPh sb="12" eb="14">
      <t>ハイシュツ</t>
    </rPh>
    <rPh sb="14" eb="15">
      <t>リョウ</t>
    </rPh>
    <rPh sb="15" eb="17">
      <t>ケイサン</t>
    </rPh>
    <rPh sb="17" eb="19">
      <t>ケッカ</t>
    </rPh>
    <phoneticPr fontId="6"/>
  </si>
  <si>
    <t>（１）ＣＯ₂排出量</t>
    <rPh sb="6" eb="9">
      <t>ハイシュツリョウ</t>
    </rPh>
    <phoneticPr fontId="6"/>
  </si>
  <si>
    <t>CO₂排出量がゼロです。直近4年間以上の実績値の記入をしてください！</t>
    <rPh sb="3" eb="6">
      <t>ハイシュツリョウ</t>
    </rPh>
    <rPh sb="12" eb="14">
      <t>チョッキン</t>
    </rPh>
    <rPh sb="15" eb="17">
      <t>ネンカン</t>
    </rPh>
    <rPh sb="17" eb="19">
      <t>イジョウ</t>
    </rPh>
    <rPh sb="20" eb="22">
      <t>ジッセキ</t>
    </rPh>
    <rPh sb="22" eb="23">
      <t>チ</t>
    </rPh>
    <rPh sb="24" eb="26">
      <t>キニュウ</t>
    </rPh>
    <phoneticPr fontId="6"/>
  </si>
  <si>
    <r>
      <t>CO</t>
    </r>
    <r>
      <rPr>
        <vertAlign val="subscript"/>
        <sz val="11"/>
        <color indexed="8"/>
        <rFont val="ＭＳ Ｐ明朝"/>
        <family val="1"/>
        <charset val="128"/>
      </rPr>
      <t>2</t>
    </r>
    <r>
      <rPr>
        <sz val="11"/>
        <color indexed="8"/>
        <rFont val="ＭＳ Ｐ明朝"/>
        <family val="1"/>
        <charset val="128"/>
      </rPr>
      <t>換算（ｔ-CO</t>
    </r>
    <r>
      <rPr>
        <vertAlign val="subscript"/>
        <sz val="11"/>
        <color indexed="8"/>
        <rFont val="ＭＳ Ｐ明朝"/>
        <family val="1"/>
        <charset val="128"/>
      </rPr>
      <t>2</t>
    </r>
    <r>
      <rPr>
        <sz val="11"/>
        <color indexed="8"/>
        <rFont val="ＭＳ Ｐ明朝"/>
        <family val="1"/>
        <charset val="128"/>
      </rPr>
      <t>）</t>
    </r>
    <phoneticPr fontId="6"/>
  </si>
  <si>
    <t>20年度
(2008)</t>
  </si>
  <si>
    <t>21年度
(2009)</t>
  </si>
  <si>
    <t>22年度
(2010)</t>
  </si>
  <si>
    <t>23年度
(2011)</t>
  </si>
  <si>
    <t>24年度
(2012)</t>
  </si>
  <si>
    <t>25年度
(2013)</t>
  </si>
  <si>
    <t>26年度
(2014)</t>
  </si>
  <si>
    <t>27年度
(2015)</t>
    <phoneticPr fontId="6"/>
  </si>
  <si>
    <t>28年度
(2016)</t>
    <phoneticPr fontId="6"/>
  </si>
  <si>
    <t>29年度
(2017)</t>
    <phoneticPr fontId="6"/>
  </si>
  <si>
    <t>30年度
(2018)</t>
    <phoneticPr fontId="6"/>
  </si>
  <si>
    <t>31/1年度
(2019)</t>
    <phoneticPr fontId="6"/>
  </si>
  <si>
    <t>2年度
(2020)</t>
    <phoneticPr fontId="6"/>
  </si>
  <si>
    <t>3年度
(2021)</t>
    <phoneticPr fontId="6"/>
  </si>
  <si>
    <t>4年度
(2022)</t>
    <phoneticPr fontId="6"/>
  </si>
  <si>
    <t>5年度
(2023)</t>
    <phoneticPr fontId="6"/>
  </si>
  <si>
    <t>6年度
(2024)</t>
    <phoneticPr fontId="6"/>
  </si>
  <si>
    <t>7年度
(2025)</t>
    <phoneticPr fontId="6"/>
  </si>
  <si>
    <t>8年度
(2026)</t>
    <phoneticPr fontId="6"/>
  </si>
  <si>
    <t>9年度
(2027)</t>
    <phoneticPr fontId="6"/>
  </si>
  <si>
    <t>10年度
(2028)</t>
    <phoneticPr fontId="6"/>
  </si>
  <si>
    <t>11年度
(2029)</t>
    <phoneticPr fontId="6"/>
  </si>
  <si>
    <t>12年度
(2030)</t>
    <phoneticPr fontId="6"/>
  </si>
  <si>
    <t>13年度
(2031)</t>
    <phoneticPr fontId="6"/>
  </si>
  <si>
    <t>14年度
(2032)</t>
    <phoneticPr fontId="6"/>
  </si>
  <si>
    <t>15年度
(2033)</t>
    <phoneticPr fontId="6"/>
  </si>
  <si>
    <t>16年度
(2034)</t>
    <phoneticPr fontId="6"/>
  </si>
  <si>
    <t>エコアップ基準年度</t>
    <rPh sb="5" eb="6">
      <t>モト</t>
    </rPh>
    <rPh sb="6" eb="7">
      <t>ジュン</t>
    </rPh>
    <rPh sb="7" eb="8">
      <t>ネン</t>
    </rPh>
    <rPh sb="8" eb="9">
      <t>ド</t>
    </rPh>
    <phoneticPr fontId="6"/>
  </si>
  <si>
    <r>
      <t>ｱ)建物系エネルギーCO</t>
    </r>
    <r>
      <rPr>
        <vertAlign val="subscript"/>
        <sz val="11"/>
        <color indexed="8"/>
        <rFont val="ＭＳ Ｐ明朝"/>
        <family val="1"/>
        <charset val="128"/>
      </rPr>
      <t>2</t>
    </r>
    <rPh sb="2" eb="4">
      <t>タテモノ</t>
    </rPh>
    <rPh sb="4" eb="5">
      <t>ケイ</t>
    </rPh>
    <phoneticPr fontId="6"/>
  </si>
  <si>
    <t>t-CO₂</t>
  </si>
  <si>
    <r>
      <t>ｲ)工場・現場系エネルギーCO</t>
    </r>
    <r>
      <rPr>
        <vertAlign val="subscript"/>
        <sz val="11"/>
        <color indexed="8"/>
        <rFont val="ＭＳ Ｐ明朝"/>
        <family val="1"/>
        <charset val="128"/>
      </rPr>
      <t>2</t>
    </r>
    <rPh sb="2" eb="4">
      <t>コウジョウ</t>
    </rPh>
    <rPh sb="5" eb="7">
      <t>ゲンバ</t>
    </rPh>
    <rPh sb="7" eb="8">
      <t>ケイ</t>
    </rPh>
    <phoneticPr fontId="6"/>
  </si>
  <si>
    <t>ｳ ) 自 動 車 燃 料 系 ＣＯ₂　　　　　　　　　</t>
    <rPh sb="4" eb="5">
      <t>ジ</t>
    </rPh>
    <rPh sb="6" eb="7">
      <t>ドウ</t>
    </rPh>
    <rPh sb="8" eb="9">
      <t>クルマ</t>
    </rPh>
    <rPh sb="10" eb="11">
      <t>ネン</t>
    </rPh>
    <rPh sb="12" eb="13">
      <t>リョウ</t>
    </rPh>
    <rPh sb="14" eb="15">
      <t>ケイ</t>
    </rPh>
    <phoneticPr fontId="6"/>
  </si>
  <si>
    <t>　ｱ*)  再生可能エネルギー（太陽光）
　　　　　自家消費分電力量（建物系）</t>
    <rPh sb="6" eb="8">
      <t>サイセイ</t>
    </rPh>
    <rPh sb="8" eb="10">
      <t>カノウ</t>
    </rPh>
    <rPh sb="16" eb="19">
      <t>タイヨウコウ</t>
    </rPh>
    <rPh sb="26" eb="30">
      <t>ジカショウヒ</t>
    </rPh>
    <rPh sb="30" eb="31">
      <t>ブン</t>
    </rPh>
    <rPh sb="31" eb="33">
      <t>デンリョク</t>
    </rPh>
    <rPh sb="33" eb="34">
      <t>リョウ</t>
    </rPh>
    <rPh sb="34" eb="35">
      <t>デンリョウ</t>
    </rPh>
    <rPh sb="35" eb="38">
      <t>タテモノケイ</t>
    </rPh>
    <phoneticPr fontId="6"/>
  </si>
  <si>
    <t>　ｲ*）  再生可能エネルギー（太陽光）
　　　　  自家消費分電力量（工場現場系）</t>
    <rPh sb="6" eb="8">
      <t>サイセイ</t>
    </rPh>
    <rPh sb="8" eb="10">
      <t>カノウ</t>
    </rPh>
    <rPh sb="16" eb="19">
      <t>タイヨウコウ</t>
    </rPh>
    <rPh sb="27" eb="31">
      <t>ジカショウヒ</t>
    </rPh>
    <rPh sb="31" eb="32">
      <t>ブン</t>
    </rPh>
    <rPh sb="32" eb="34">
      <t>デンリョク</t>
    </rPh>
    <rPh sb="34" eb="35">
      <t>リョウ</t>
    </rPh>
    <rPh sb="36" eb="38">
      <t>コウジョウ</t>
    </rPh>
    <rPh sb="38" eb="40">
      <t>ゲンバ</t>
    </rPh>
    <rPh sb="40" eb="41">
      <t>ケイ</t>
    </rPh>
    <phoneticPr fontId="6"/>
  </si>
  <si>
    <t>再生可能エネルギー（太陽光）自家消費
ボーナスCO₂（建物系）</t>
    <rPh sb="0" eb="2">
      <t>サイセイ</t>
    </rPh>
    <rPh sb="2" eb="4">
      <t>カノウ</t>
    </rPh>
    <rPh sb="10" eb="13">
      <t>タイヨウコウ</t>
    </rPh>
    <rPh sb="14" eb="18">
      <t>ジカショウヒ</t>
    </rPh>
    <rPh sb="27" eb="30">
      <t>タテモノケイ</t>
    </rPh>
    <phoneticPr fontId="6"/>
  </si>
  <si>
    <t>t-CO₂</t>
    <phoneticPr fontId="6"/>
  </si>
  <si>
    <t>再生可能エネルギー（太陽光）自家消費
ボーナスCO₂（工場現場系）</t>
    <rPh sb="0" eb="2">
      <t>サイセイ</t>
    </rPh>
    <rPh sb="2" eb="4">
      <t>カノウ</t>
    </rPh>
    <rPh sb="10" eb="13">
      <t>タイヨウコウ</t>
    </rPh>
    <rPh sb="14" eb="18">
      <t>ジカショウヒ</t>
    </rPh>
    <rPh sb="27" eb="29">
      <t>コウジョウ</t>
    </rPh>
    <rPh sb="29" eb="31">
      <t>ゲンバ</t>
    </rPh>
    <rPh sb="31" eb="32">
      <t>ケイ</t>
    </rPh>
    <phoneticPr fontId="6"/>
  </si>
  <si>
    <t>ｱ*)再生可能エネルギー（太陽光）自家消費
ボーナス加算CO₂（建物系）</t>
    <rPh sb="3" eb="5">
      <t>サイセイ</t>
    </rPh>
    <rPh sb="5" eb="7">
      <t>カノウ</t>
    </rPh>
    <rPh sb="13" eb="16">
      <t>タイヨウコウ</t>
    </rPh>
    <rPh sb="17" eb="21">
      <t>ジカショウヒ</t>
    </rPh>
    <rPh sb="26" eb="28">
      <t>カサン</t>
    </rPh>
    <rPh sb="32" eb="35">
      <t>タテモノケイ</t>
    </rPh>
    <phoneticPr fontId="6"/>
  </si>
  <si>
    <t>ｲ*)再生可能エネルギー（太陽光）自家消費
ボーナス加算CO₂（工場現場系）</t>
    <rPh sb="3" eb="5">
      <t>サイセイ</t>
    </rPh>
    <rPh sb="5" eb="7">
      <t>カノウ</t>
    </rPh>
    <rPh sb="13" eb="16">
      <t>タイヨウコウ</t>
    </rPh>
    <rPh sb="17" eb="21">
      <t>ジカショウヒ</t>
    </rPh>
    <rPh sb="26" eb="28">
      <t>カサン</t>
    </rPh>
    <rPh sb="32" eb="34">
      <t>コウジョウ</t>
    </rPh>
    <rPh sb="34" eb="36">
      <t>ゲンバ</t>
    </rPh>
    <rPh sb="36" eb="37">
      <t>ケイ</t>
    </rPh>
    <phoneticPr fontId="6"/>
  </si>
  <si>
    <t>ｴ）ＣＯ₂ 排 出 量 合 計 (ｱ+ｲ+ｳ)</t>
    <rPh sb="6" eb="7">
      <t>ハイ</t>
    </rPh>
    <rPh sb="8" eb="9">
      <t>デ</t>
    </rPh>
    <rPh sb="10" eb="11">
      <t>リョウ</t>
    </rPh>
    <rPh sb="12" eb="13">
      <t>ゴウ</t>
    </rPh>
    <rPh sb="14" eb="15">
      <t>ケイ</t>
    </rPh>
    <phoneticPr fontId="6"/>
  </si>
  <si>
    <t>ａ．（令和8年度以降認証）ＣＯ₂基準排出量</t>
    <rPh sb="3" eb="5">
      <t>レイワ</t>
    </rPh>
    <rPh sb="6" eb="7">
      <t>ネン</t>
    </rPh>
    <rPh sb="7" eb="8">
      <t>ド</t>
    </rPh>
    <rPh sb="8" eb="10">
      <t>イコウ</t>
    </rPh>
    <rPh sb="10" eb="12">
      <t>ニンショウ</t>
    </rPh>
    <rPh sb="16" eb="18">
      <t>キジュン</t>
    </rPh>
    <rPh sb="18" eb="20">
      <t>ハイシュツ</t>
    </rPh>
    <rPh sb="20" eb="21">
      <t>リョウ</t>
    </rPh>
    <phoneticPr fontId="6"/>
  </si>
  <si>
    <t>ｂ.（旧来の）エコアップ認証ＣＯ₂基準排出量</t>
    <rPh sb="3" eb="5">
      <t>キュウライ</t>
    </rPh>
    <rPh sb="12" eb="14">
      <t>ニンショウ</t>
    </rPh>
    <rPh sb="17" eb="19">
      <t>キジュン</t>
    </rPh>
    <rPh sb="19" eb="21">
      <t>ハイシュツ</t>
    </rPh>
    <rPh sb="21" eb="22">
      <t>リョウ</t>
    </rPh>
    <phoneticPr fontId="6"/>
  </si>
  <si>
    <t>（参考値）</t>
    <rPh sb="1" eb="4">
      <t>サンコウチ</t>
    </rPh>
    <phoneticPr fontId="6"/>
  </si>
  <si>
    <t>（２）ＣＯ₂排出量原単位</t>
    <rPh sb="9" eb="12">
      <t>ゲンタンイ</t>
    </rPh>
    <phoneticPr fontId="6"/>
  </si>
  <si>
    <r>
      <t>CO</t>
    </r>
    <r>
      <rPr>
        <vertAlign val="subscript"/>
        <sz val="11"/>
        <color indexed="8"/>
        <rFont val="ＭＳ Ｐ明朝"/>
        <family val="1"/>
        <charset val="128"/>
      </rPr>
      <t>2</t>
    </r>
    <r>
      <rPr>
        <sz val="11"/>
        <color indexed="8"/>
        <rFont val="ＭＳ Ｐ明朝"/>
        <family val="1"/>
        <charset val="128"/>
      </rPr>
      <t>換算（ｔ-CO</t>
    </r>
    <r>
      <rPr>
        <vertAlign val="subscript"/>
        <sz val="11"/>
        <color indexed="8"/>
        <rFont val="ＭＳ Ｐ明朝"/>
        <family val="1"/>
        <charset val="128"/>
      </rPr>
      <t>2</t>
    </r>
    <r>
      <rPr>
        <sz val="11"/>
        <color indexed="8"/>
        <rFont val="ＭＳ Ｐ明朝"/>
        <family val="1"/>
        <charset val="128"/>
      </rPr>
      <t>／指標）</t>
    </r>
    <rPh sb="12" eb="14">
      <t>シヒョウ</t>
    </rPh>
    <phoneticPr fontId="6"/>
  </si>
  <si>
    <r>
      <t>（令和8年度以降認証の）CO</t>
    </r>
    <r>
      <rPr>
        <vertAlign val="subscript"/>
        <sz val="10"/>
        <color indexed="8"/>
        <rFont val="ＭＳ Ｐ明朝"/>
        <family val="1"/>
        <charset val="128"/>
      </rPr>
      <t>2</t>
    </r>
    <r>
      <rPr>
        <sz val="10"/>
        <color indexed="8"/>
        <rFont val="ＭＳ Ｐ明朝"/>
        <family val="1"/>
        <charset val="128"/>
      </rPr>
      <t>排出量原単位</t>
    </r>
    <rPh sb="1" eb="3">
      <t>レイワ</t>
    </rPh>
    <rPh sb="4" eb="5">
      <t>ネン</t>
    </rPh>
    <rPh sb="5" eb="6">
      <t>ド</t>
    </rPh>
    <rPh sb="6" eb="8">
      <t>イコウ</t>
    </rPh>
    <rPh sb="8" eb="10">
      <t>ニンショウ</t>
    </rPh>
    <rPh sb="15" eb="17">
      <t>ハイシュツ</t>
    </rPh>
    <rPh sb="17" eb="18">
      <t>リョウ</t>
    </rPh>
    <rPh sb="18" eb="21">
      <t>ゲンタンイ</t>
    </rPh>
    <phoneticPr fontId="6"/>
  </si>
  <si>
    <t>活動規模の指標</t>
    <rPh sb="0" eb="2">
      <t>カツドウ</t>
    </rPh>
    <rPh sb="2" eb="4">
      <t>キボ</t>
    </rPh>
    <rPh sb="5" eb="7">
      <t>シヒョウ</t>
    </rPh>
    <phoneticPr fontId="6"/>
  </si>
  <si>
    <t>生産量
（単位）</t>
    <rPh sb="0" eb="3">
      <t>セイサンリョウ</t>
    </rPh>
    <rPh sb="5" eb="7">
      <t>タンイ</t>
    </rPh>
    <phoneticPr fontId="6"/>
  </si>
  <si>
    <t>売上額
（単位）</t>
    <rPh sb="0" eb="2">
      <t>ウリアゲ</t>
    </rPh>
    <rPh sb="2" eb="3">
      <t>ガク</t>
    </rPh>
    <rPh sb="5" eb="7">
      <t>タンイ</t>
    </rPh>
    <phoneticPr fontId="6"/>
  </si>
  <si>
    <t>億円</t>
    <rPh sb="0" eb="2">
      <t>オクエン</t>
    </rPh>
    <phoneticPr fontId="6"/>
  </si>
  <si>
    <t>従業員数
（単位）</t>
    <rPh sb="0" eb="3">
      <t>ジュウギョウイン</t>
    </rPh>
    <rPh sb="3" eb="4">
      <t>スウ</t>
    </rPh>
    <rPh sb="6" eb="8">
      <t>タンイ</t>
    </rPh>
    <phoneticPr fontId="6"/>
  </si>
  <si>
    <t>人</t>
    <rPh sb="0" eb="1">
      <t>ニン</t>
    </rPh>
    <phoneticPr fontId="6"/>
  </si>
  <si>
    <t>床面積
（単位）</t>
    <rPh sb="0" eb="3">
      <t>ユカメンセキ</t>
    </rPh>
    <rPh sb="5" eb="7">
      <t>タンイ</t>
    </rPh>
    <phoneticPr fontId="6"/>
  </si>
  <si>
    <t>㎡</t>
    <phoneticPr fontId="6"/>
  </si>
  <si>
    <t>台数
（単位）</t>
    <rPh sb="0" eb="2">
      <t>ダイスウ</t>
    </rPh>
    <rPh sb="4" eb="6">
      <t>タンイ</t>
    </rPh>
    <phoneticPr fontId="6"/>
  </si>
  <si>
    <t>台</t>
    <rPh sb="0" eb="1">
      <t>ダイ</t>
    </rPh>
    <phoneticPr fontId="6"/>
  </si>
  <si>
    <t>時間
（単位）</t>
    <rPh sb="0" eb="2">
      <t>ジカン</t>
    </rPh>
    <rPh sb="4" eb="6">
      <t>タンイ</t>
    </rPh>
    <phoneticPr fontId="6"/>
  </si>
  <si>
    <t>Ｈ</t>
    <phoneticPr fontId="6"/>
  </si>
  <si>
    <t>ｃ．（令和8年度以降認証）ＣＯ₂基準原単位</t>
    <rPh sb="3" eb="5">
      <t>レイワ</t>
    </rPh>
    <rPh sb="6" eb="7">
      <t>ネン</t>
    </rPh>
    <rPh sb="7" eb="8">
      <t>ド</t>
    </rPh>
    <rPh sb="8" eb="10">
      <t>イコウ</t>
    </rPh>
    <rPh sb="10" eb="12">
      <t>ニンショウ</t>
    </rPh>
    <rPh sb="16" eb="18">
      <t>キジュン</t>
    </rPh>
    <rPh sb="18" eb="21">
      <t>ゲンタンイ</t>
    </rPh>
    <phoneticPr fontId="6"/>
  </si>
  <si>
    <t>ｄ．（旧来の）ＣＯ₂基準原単位</t>
    <rPh sb="3" eb="5">
      <t>キュウライ</t>
    </rPh>
    <rPh sb="10" eb="12">
      <t>キジュン</t>
    </rPh>
    <rPh sb="12" eb="15">
      <t>ゲンタンイ</t>
    </rPh>
    <phoneticPr fontId="6"/>
  </si>
  <si>
    <t>基準原単位補正率（ｃ÷ｄ）</t>
    <rPh sb="0" eb="2">
      <t>キジュン</t>
    </rPh>
    <rPh sb="2" eb="5">
      <t>ゲンタンイ</t>
    </rPh>
    <rPh sb="5" eb="7">
      <t>ホセイ</t>
    </rPh>
    <rPh sb="7" eb="8">
      <t>リツ</t>
    </rPh>
    <phoneticPr fontId="6"/>
  </si>
  <si>
    <t>CO₂/千kWh</t>
    <rPh sb="4" eb="5">
      <t>セン</t>
    </rPh>
    <phoneticPr fontId="6"/>
  </si>
  <si>
    <t>ａ．（令和8年度以降認証）ＣＯ₂基準排出量</t>
    <phoneticPr fontId="6"/>
  </si>
  <si>
    <t>a.（令和8年度以降認証）基準原単位試算対象</t>
    <rPh sb="0" eb="22">
      <t>キジュンゲンタンイシサンタイショウ</t>
    </rPh>
    <phoneticPr fontId="6"/>
  </si>
  <si>
    <t>７．エコアップ報告・申請用ＣＯ₂排出量実績表</t>
    <rPh sb="7" eb="9">
      <t>ホウコク</t>
    </rPh>
    <rPh sb="10" eb="13">
      <t>シンセイヨウ</t>
    </rPh>
    <rPh sb="16" eb="18">
      <t>ハイシュツ</t>
    </rPh>
    <rPh sb="18" eb="19">
      <t>リョウ</t>
    </rPh>
    <rPh sb="19" eb="21">
      <t>ジッセキ</t>
    </rPh>
    <rPh sb="21" eb="22">
      <t>ヒョウ</t>
    </rPh>
    <phoneticPr fontId="5"/>
  </si>
  <si>
    <t>（直近4年間の実績）</t>
    <rPh sb="1" eb="3">
      <t>チョッキン</t>
    </rPh>
    <rPh sb="4" eb="6">
      <t>ネンカン</t>
    </rPh>
    <rPh sb="7" eb="9">
      <t>ジッセキ</t>
    </rPh>
    <phoneticPr fontId="5"/>
  </si>
  <si>
    <t>認証済事業者</t>
    <rPh sb="0" eb="2">
      <t>ニンショウ</t>
    </rPh>
    <rPh sb="2" eb="3">
      <t>スミ</t>
    </rPh>
    <rPh sb="3" eb="6">
      <t>ジギョウシャ</t>
    </rPh>
    <phoneticPr fontId="5"/>
  </si>
  <si>
    <t>年度</t>
    <rPh sb="0" eb="1">
      <t>ネン</t>
    </rPh>
    <rPh sb="1" eb="2">
      <t>ド</t>
    </rPh>
    <phoneticPr fontId="5"/>
  </si>
  <si>
    <t>ＣＯ₂排出量太陽光自家消費加算結果</t>
    <rPh sb="3" eb="5">
      <t>ハイシュツ</t>
    </rPh>
    <rPh sb="5" eb="6">
      <t>リョウ</t>
    </rPh>
    <rPh sb="6" eb="9">
      <t>タイヨウコウ</t>
    </rPh>
    <rPh sb="9" eb="11">
      <t>ジカ</t>
    </rPh>
    <rPh sb="11" eb="13">
      <t>ショウヒ</t>
    </rPh>
    <rPh sb="13" eb="15">
      <t>カサン</t>
    </rPh>
    <rPh sb="15" eb="17">
      <t>ケッカ</t>
    </rPh>
    <phoneticPr fontId="5"/>
  </si>
  <si>
    <t>自家消費有り事業者用</t>
    <rPh sb="0" eb="5">
      <t>ジカショウヒア</t>
    </rPh>
    <rPh sb="6" eb="10">
      <t>ジギョウシャヨウ</t>
    </rPh>
    <phoneticPr fontId="5"/>
  </si>
  <si>
    <t>ア）建物系ＣＯ₂排出量実績</t>
    <rPh sb="2" eb="4">
      <t>タテモノ</t>
    </rPh>
    <rPh sb="4" eb="5">
      <t>ケイ</t>
    </rPh>
    <rPh sb="8" eb="10">
      <t>ハイシュツ</t>
    </rPh>
    <rPh sb="10" eb="11">
      <t>リョウ</t>
    </rPh>
    <rPh sb="11" eb="13">
      <t>ジッセキ</t>
    </rPh>
    <phoneticPr fontId="5"/>
  </si>
  <si>
    <t>31/1</t>
    <phoneticPr fontId="5"/>
  </si>
  <si>
    <t>項　　　目</t>
    <rPh sb="0" eb="1">
      <t>コウ</t>
    </rPh>
    <rPh sb="4" eb="5">
      <t>メ</t>
    </rPh>
    <phoneticPr fontId="5"/>
  </si>
  <si>
    <t>単位指標等</t>
    <rPh sb="0" eb="2">
      <t>タンイ</t>
    </rPh>
    <rPh sb="2" eb="4">
      <t>シヒョウ</t>
    </rPh>
    <rPh sb="4" eb="5">
      <t>トウ</t>
    </rPh>
    <phoneticPr fontId="5"/>
  </si>
  <si>
    <t>ＣＯ₂排出量</t>
    <rPh sb="3" eb="5">
      <t>ハイシュツ</t>
    </rPh>
    <rPh sb="5" eb="6">
      <t>リョウ</t>
    </rPh>
    <phoneticPr fontId="6"/>
  </si>
  <si>
    <t>ｔ-ＣＯ₂／年</t>
    <rPh sb="6" eb="7">
      <t>ネン</t>
    </rPh>
    <phoneticPr fontId="6"/>
  </si>
  <si>
    <t>原単位当たり</t>
    <rPh sb="0" eb="3">
      <t>ゲンタンイ</t>
    </rPh>
    <rPh sb="3" eb="4">
      <t>ア</t>
    </rPh>
    <phoneticPr fontId="5"/>
  </si>
  <si>
    <t>ｔ-ＣＯ₂／</t>
    <phoneticPr fontId="6"/>
  </si>
  <si>
    <t>原単位の指標</t>
    <rPh sb="0" eb="3">
      <t>ゲンタンイ</t>
    </rPh>
    <rPh sb="4" eb="6">
      <t>シヒョウ</t>
    </rPh>
    <phoneticPr fontId="5"/>
  </si>
  <si>
    <t>●原単位指標表</t>
    <rPh sb="1" eb="4">
      <t>ゲンタンイ</t>
    </rPh>
    <rPh sb="4" eb="6">
      <t>シヒョウ</t>
    </rPh>
    <rPh sb="6" eb="7">
      <t>ヒョウ</t>
    </rPh>
    <phoneticPr fontId="5"/>
  </si>
  <si>
    <t>＃６シートＣＯ₂排出量結果</t>
    <rPh sb="8" eb="10">
      <t>ハイシュツ</t>
    </rPh>
    <rPh sb="10" eb="11">
      <t>リョウ</t>
    </rPh>
    <rPh sb="11" eb="13">
      <t>ケッカ</t>
    </rPh>
    <phoneticPr fontId="5"/>
  </si>
  <si>
    <t>当たり</t>
    <rPh sb="0" eb="1">
      <t>ア</t>
    </rPh>
    <phoneticPr fontId="5"/>
  </si>
  <si>
    <t>イ）工場・現場系ＣＯ₂排出量実績</t>
    <rPh sb="2" eb="4">
      <t>コウジョウ</t>
    </rPh>
    <rPh sb="5" eb="7">
      <t>ゲンバ</t>
    </rPh>
    <rPh sb="7" eb="8">
      <t>ケイ</t>
    </rPh>
    <rPh sb="14" eb="16">
      <t>ジッセキ</t>
    </rPh>
    <phoneticPr fontId="6"/>
  </si>
  <si>
    <t>（床面積）</t>
    <rPh sb="1" eb="4">
      <t>ユカメンセキ</t>
    </rPh>
    <phoneticPr fontId="43"/>
  </si>
  <si>
    <t>㎡</t>
  </si>
  <si>
    <t>（敷地面積）</t>
    <rPh sb="1" eb="3">
      <t>シキチ</t>
    </rPh>
    <rPh sb="3" eb="5">
      <t>メンセキ</t>
    </rPh>
    <phoneticPr fontId="43"/>
  </si>
  <si>
    <t>（売上額）</t>
    <rPh sb="1" eb="3">
      <t>ウリアゲ</t>
    </rPh>
    <rPh sb="3" eb="4">
      <t>ガク</t>
    </rPh>
    <phoneticPr fontId="43"/>
  </si>
  <si>
    <t>億円</t>
    <rPh sb="0" eb="2">
      <t>オクエン</t>
    </rPh>
    <phoneticPr fontId="43"/>
  </si>
  <si>
    <t>（受注額）</t>
    <rPh sb="1" eb="3">
      <t>ジュチュウ</t>
    </rPh>
    <rPh sb="3" eb="4">
      <t>ガク</t>
    </rPh>
    <phoneticPr fontId="43"/>
  </si>
  <si>
    <t>（従業員数）</t>
    <rPh sb="1" eb="4">
      <t>ジュウギョウイン</t>
    </rPh>
    <rPh sb="4" eb="5">
      <t>スウ</t>
    </rPh>
    <phoneticPr fontId="43"/>
  </si>
  <si>
    <t>人</t>
    <rPh sb="0" eb="1">
      <t>ニン</t>
    </rPh>
    <phoneticPr fontId="43"/>
  </si>
  <si>
    <t>太陽光自家消費分</t>
    <rPh sb="0" eb="3">
      <t>タイヨウコウ</t>
    </rPh>
    <rPh sb="3" eb="7">
      <t>ジカショウヒ</t>
    </rPh>
    <rPh sb="7" eb="8">
      <t>ブン</t>
    </rPh>
    <phoneticPr fontId="5"/>
  </si>
  <si>
    <t>（台数）</t>
    <rPh sb="1" eb="3">
      <t>ダイスウ</t>
    </rPh>
    <phoneticPr fontId="43"/>
  </si>
  <si>
    <t>台</t>
    <rPh sb="0" eb="1">
      <t>ダイ</t>
    </rPh>
    <phoneticPr fontId="43"/>
  </si>
  <si>
    <t>（走行距離）</t>
    <rPh sb="1" eb="3">
      <t>ソウコウ</t>
    </rPh>
    <rPh sb="3" eb="5">
      <t>キョリ</t>
    </rPh>
    <phoneticPr fontId="43"/>
  </si>
  <si>
    <t>km</t>
  </si>
  <si>
    <t>ウ）自動車系ＣＯ₂排出量実績</t>
    <rPh sb="2" eb="5">
      <t>ジドウシャ</t>
    </rPh>
    <rPh sb="5" eb="6">
      <t>ケイ</t>
    </rPh>
    <rPh sb="12" eb="14">
      <t>ジッセキ</t>
    </rPh>
    <phoneticPr fontId="6"/>
  </si>
  <si>
    <t>（生産量）</t>
    <rPh sb="1" eb="3">
      <t>セイサン</t>
    </rPh>
    <rPh sb="3" eb="4">
      <t>リョウ</t>
    </rPh>
    <phoneticPr fontId="43"/>
  </si>
  <si>
    <t>ﾄﾝ</t>
  </si>
  <si>
    <t>エ）（ア＋イ＋ウ）合計</t>
    <rPh sb="9" eb="11">
      <t>ゴウケイ</t>
    </rPh>
    <phoneticPr fontId="5"/>
  </si>
  <si>
    <t>年　　度</t>
    <rPh sb="0" eb="1">
      <t>ネン</t>
    </rPh>
    <rPh sb="3" eb="4">
      <t>ド</t>
    </rPh>
    <phoneticPr fontId="5"/>
  </si>
  <si>
    <t>ＣＯ₂排出量</t>
    <rPh sb="3" eb="5">
      <t>ハイシュツ</t>
    </rPh>
    <rPh sb="5" eb="6">
      <t>リョウ</t>
    </rPh>
    <phoneticPr fontId="5"/>
  </si>
  <si>
    <t>削減量</t>
    <rPh sb="0" eb="2">
      <t>サクゲン</t>
    </rPh>
    <rPh sb="2" eb="3">
      <t>リョウ</t>
    </rPh>
    <phoneticPr fontId="5"/>
  </si>
  <si>
    <t>削減率</t>
    <rPh sb="0" eb="2">
      <t>サクゲン</t>
    </rPh>
    <rPh sb="2" eb="3">
      <t>リツ</t>
    </rPh>
    <phoneticPr fontId="5"/>
  </si>
  <si>
    <t>ＣＯ₂原単位</t>
    <rPh sb="3" eb="6">
      <t>ゲンタンイ</t>
    </rPh>
    <phoneticPr fontId="5"/>
  </si>
  <si>
    <t>（ｔ-ＣＯ₂）</t>
    <phoneticPr fontId="5"/>
  </si>
  <si>
    <t>（％）</t>
    <phoneticPr fontId="5"/>
  </si>
  <si>
    <t>基準値</t>
    <rPh sb="0" eb="3">
      <t>キジュンチ</t>
    </rPh>
    <phoneticPr fontId="5"/>
  </si>
  <si>
    <t>平均削減率</t>
    <rPh sb="0" eb="2">
      <t>ヘイキン</t>
    </rPh>
    <rPh sb="2" eb="4">
      <t>サクゲン</t>
    </rPh>
    <rPh sb="4" eb="5">
      <t>リツ</t>
    </rPh>
    <phoneticPr fontId="5"/>
  </si>
  <si>
    <t>★新規希望申出、新規認証申請の場合はこちらを利用</t>
    <rPh sb="1" eb="3">
      <t>シンキ</t>
    </rPh>
    <rPh sb="3" eb="5">
      <t>キボウ</t>
    </rPh>
    <rPh sb="5" eb="7">
      <t>モウシデ</t>
    </rPh>
    <rPh sb="8" eb="10">
      <t>シンキ</t>
    </rPh>
    <rPh sb="10" eb="12">
      <t>ニンショウ</t>
    </rPh>
    <rPh sb="12" eb="14">
      <t>シンセイ</t>
    </rPh>
    <rPh sb="15" eb="17">
      <t>バアイ</t>
    </rPh>
    <rPh sb="22" eb="24">
      <t>リヨウ</t>
    </rPh>
    <phoneticPr fontId="5"/>
  </si>
  <si>
    <t>B.ＣＯ₂削減実績表</t>
    <rPh sb="5" eb="7">
      <t>サクゲン</t>
    </rPh>
    <rPh sb="7" eb="9">
      <t>ジッセキ</t>
    </rPh>
    <rPh sb="9" eb="10">
      <t>ヒョウ</t>
    </rPh>
    <phoneticPr fontId="5"/>
  </si>
  <si>
    <t>８．エコアップＣＯ₂排出量目標表　（新規・更新）</t>
    <rPh sb="10" eb="12">
      <t>ハイシュツ</t>
    </rPh>
    <rPh sb="12" eb="13">
      <t>リョウ</t>
    </rPh>
    <rPh sb="13" eb="15">
      <t>モクヒョウ</t>
    </rPh>
    <rPh sb="15" eb="16">
      <t>ヒョウ</t>
    </rPh>
    <rPh sb="18" eb="20">
      <t>シンキ</t>
    </rPh>
    <rPh sb="21" eb="23">
      <t>コウシン</t>
    </rPh>
    <phoneticPr fontId="5"/>
  </si>
  <si>
    <t>★認証時での目標表を補正する際に利用する。</t>
    <rPh sb="1" eb="3">
      <t>ニンショウ</t>
    </rPh>
    <rPh sb="3" eb="4">
      <t>ジ</t>
    </rPh>
    <rPh sb="6" eb="8">
      <t>モクヒョウ</t>
    </rPh>
    <rPh sb="8" eb="9">
      <t>ヒョウ</t>
    </rPh>
    <rPh sb="10" eb="12">
      <t>ホセイ</t>
    </rPh>
    <rPh sb="14" eb="15">
      <t>サイ</t>
    </rPh>
    <rPh sb="16" eb="18">
      <t>リヨウ</t>
    </rPh>
    <phoneticPr fontId="5"/>
  </si>
  <si>
    <t>Ｃ.ＣＯ₂削減目標計画表</t>
    <rPh sb="5" eb="7">
      <t>サクゲン</t>
    </rPh>
    <rPh sb="7" eb="9">
      <t>モクヒョウ</t>
    </rPh>
    <rPh sb="9" eb="11">
      <t>ケイカク</t>
    </rPh>
    <rPh sb="11" eb="12">
      <t>ヒョウ</t>
    </rPh>
    <phoneticPr fontId="5"/>
  </si>
  <si>
    <t>目標排出量</t>
    <rPh sb="0" eb="2">
      <t>モクヒョウ</t>
    </rPh>
    <rPh sb="2" eb="4">
      <t>ハイシュツ</t>
    </rPh>
    <rPh sb="4" eb="5">
      <t>リョウ</t>
    </rPh>
    <phoneticPr fontId="5"/>
  </si>
  <si>
    <t>目標原単位</t>
    <rPh sb="0" eb="2">
      <t>モクヒョウ</t>
    </rPh>
    <rPh sb="2" eb="5">
      <t>ゲンタンイ</t>
    </rPh>
    <phoneticPr fontId="5"/>
  </si>
  <si>
    <t>★新規の目標表を作成、あるいはこれまでの目標値を変更する場合に利用する。</t>
    <rPh sb="1" eb="3">
      <t>シンキ</t>
    </rPh>
    <rPh sb="4" eb="6">
      <t>モクヒョウ</t>
    </rPh>
    <rPh sb="6" eb="7">
      <t>ヒョウ</t>
    </rPh>
    <rPh sb="8" eb="10">
      <t>サクセイ</t>
    </rPh>
    <rPh sb="20" eb="22">
      <t>モクヒョウ</t>
    </rPh>
    <rPh sb="22" eb="23">
      <t>チ</t>
    </rPh>
    <rPh sb="24" eb="26">
      <t>ヘンコウ</t>
    </rPh>
    <rPh sb="28" eb="30">
      <t>バアイ</t>
    </rPh>
    <rPh sb="31" eb="33">
      <t>リヨウ</t>
    </rPh>
    <phoneticPr fontId="5"/>
  </si>
  <si>
    <t>Ｄ.新たなＣＯ₂削減目標計画表</t>
    <rPh sb="2" eb="3">
      <t>アラ</t>
    </rPh>
    <rPh sb="8" eb="10">
      <t>サクゲン</t>
    </rPh>
    <rPh sb="10" eb="12">
      <t>モクヒョウ</t>
    </rPh>
    <rPh sb="12" eb="14">
      <t>ケイカク</t>
    </rPh>
    <rPh sb="14" eb="15">
      <t>ヒョウ</t>
    </rPh>
    <phoneticPr fontId="5"/>
  </si>
  <si>
    <t>当たり
t-CO₂/</t>
    <rPh sb="0" eb="1">
      <t>ア</t>
    </rPh>
    <phoneticPr fontId="5"/>
  </si>
  <si>
    <t xml:space="preserve">エコアップ報告用CO₂実績一覧
</t>
    <rPh sb="5" eb="8">
      <t>ホウコクヨウ</t>
    </rPh>
    <rPh sb="11" eb="13">
      <t>ジッセキ</t>
    </rPh>
    <rPh sb="13" eb="15">
      <t>イチラン</t>
    </rPh>
    <phoneticPr fontId="5"/>
  </si>
  <si>
    <t>エコアップ認証申請時の削減目標表作成に利用</t>
    <rPh sb="5" eb="7">
      <t>ニンショウ</t>
    </rPh>
    <rPh sb="7" eb="10">
      <t>シンセイジ</t>
    </rPh>
    <rPh sb="11" eb="13">
      <t>サクゲン</t>
    </rPh>
    <rPh sb="13" eb="16">
      <t>モクヒョウヒョウ</t>
    </rPh>
    <rPh sb="16" eb="18">
      <t>サクセイ</t>
    </rPh>
    <rPh sb="19" eb="21">
      <t>リヨウ</t>
    </rPh>
    <phoneticPr fontId="5"/>
  </si>
  <si>
    <t>8</t>
    <phoneticPr fontId="5"/>
  </si>
  <si>
    <t>９</t>
  </si>
  <si>
    <t>１０</t>
  </si>
  <si>
    <t>１１</t>
  </si>
  <si>
    <t>１２</t>
  </si>
  <si>
    <t>１３</t>
  </si>
  <si>
    <t>１４</t>
  </si>
  <si>
    <t>１５</t>
  </si>
  <si>
    <t>１６</t>
  </si>
  <si>
    <t>②　算定対象外（①のうち算定対象から除く燃料使用量）</t>
    <rPh sb="2" eb="7">
      <t>サンテイタイショウガイ</t>
    </rPh>
    <phoneticPr fontId="5"/>
  </si>
  <si>
    <t>②  算定対象外（①のうち算定対象から除く電気・熱・都市ガスの使用量）</t>
    <rPh sb="3" eb="8">
      <t>サンテイタイショウガイ</t>
    </rPh>
    <rPh sb="21" eb="23">
      <t>デンキ</t>
    </rPh>
    <rPh sb="24" eb="25">
      <t>ネツ</t>
    </rPh>
    <rPh sb="26" eb="28">
      <t>トシ</t>
    </rPh>
    <rPh sb="31" eb="34">
      <t>シヨウリョウ</t>
    </rPh>
    <phoneticPr fontId="5"/>
  </si>
  <si>
    <t>　⇒各用途区分で記入したエネルギーのCO₂量への換算結果が表示される。</t>
    <rPh sb="2" eb="7">
      <t>カクヨウトクブン</t>
    </rPh>
    <rPh sb="8" eb="10">
      <t>キニュウ</t>
    </rPh>
    <rPh sb="18" eb="22">
      <t>ニサンカリョウ</t>
    </rPh>
    <rPh sb="24" eb="26">
      <t>カンサン</t>
    </rPh>
    <rPh sb="26" eb="28">
      <t>ケッカ</t>
    </rPh>
    <rPh sb="29" eb="31">
      <t>ヒョウジ</t>
    </rPh>
    <phoneticPr fontId="5"/>
  </si>
  <si>
    <r>
      <t>排出係数
[t-CO</t>
    </r>
    <r>
      <rPr>
        <b/>
        <vertAlign val="subscript"/>
        <sz val="10"/>
        <color theme="1"/>
        <rFont val="游明朝"/>
        <family val="1"/>
        <charset val="128"/>
      </rPr>
      <t>2</t>
    </r>
    <r>
      <rPr>
        <b/>
        <sz val="10"/>
        <color theme="1"/>
        <rFont val="游明朝"/>
        <family val="1"/>
        <charset val="128"/>
      </rPr>
      <t>/固有単位]</t>
    </r>
    <rPh sb="0" eb="2">
      <t>ハイシュツ</t>
    </rPh>
    <rPh sb="2" eb="4">
      <t>ケイスウ</t>
    </rPh>
    <rPh sb="12" eb="16">
      <t>コユウタンイ</t>
    </rPh>
    <phoneticPr fontId="5"/>
  </si>
  <si>
    <r>
      <t>単位発熱量
[MJ/Nm</t>
    </r>
    <r>
      <rPr>
        <b/>
        <vertAlign val="superscript"/>
        <sz val="9"/>
        <color theme="1"/>
        <rFont val="游明朝"/>
        <family val="1"/>
        <charset val="128"/>
      </rPr>
      <t>3</t>
    </r>
    <r>
      <rPr>
        <b/>
        <sz val="9"/>
        <color theme="1"/>
        <rFont val="游明朝"/>
        <family val="1"/>
        <charset val="128"/>
      </rPr>
      <t>]</t>
    </r>
    <rPh sb="0" eb="2">
      <t>タンイ</t>
    </rPh>
    <rPh sb="2" eb="5">
      <t>ハツネツリョウ</t>
    </rPh>
    <phoneticPr fontId="5"/>
  </si>
  <si>
    <r>
      <t>単位発熱量
[MJ/m</t>
    </r>
    <r>
      <rPr>
        <b/>
        <vertAlign val="superscript"/>
        <sz val="9"/>
        <color theme="1"/>
        <rFont val="游明朝"/>
        <family val="1"/>
        <charset val="128"/>
      </rPr>
      <t xml:space="preserve">3
</t>
    </r>
    <r>
      <rPr>
        <b/>
        <sz val="9"/>
        <color theme="1"/>
        <rFont val="游明朝"/>
        <family val="1"/>
        <charset val="128"/>
      </rPr>
      <t>(SATP)]</t>
    </r>
    <rPh sb="0" eb="2">
      <t>タンイ</t>
    </rPh>
    <rPh sb="2" eb="5">
      <t>ハツネツリョウ</t>
    </rPh>
    <phoneticPr fontId="5"/>
  </si>
  <si>
    <t>R7年以降の太陽光自家消費分ボーナス効果計算用のCO₂排出係数</t>
    <rPh sb="2" eb="5">
      <t>ネンイコウ</t>
    </rPh>
    <rPh sb="6" eb="9">
      <t>タイヨウコウ</t>
    </rPh>
    <rPh sb="9" eb="14">
      <t>ジカショウヒブン</t>
    </rPh>
    <rPh sb="18" eb="20">
      <t>コウカ</t>
    </rPh>
    <rPh sb="20" eb="22">
      <t>ケイサン</t>
    </rPh>
    <rPh sb="22" eb="23">
      <t>ヨウ</t>
    </rPh>
    <rPh sb="27" eb="29">
      <t>ハイシュツ</t>
    </rPh>
    <rPh sb="29" eb="31">
      <t>ケイスウ</t>
    </rPh>
    <phoneticPr fontId="6"/>
  </si>
  <si>
    <t>建物系</t>
    <rPh sb="0" eb="3">
      <t>タテモノケイ</t>
    </rPh>
    <phoneticPr fontId="5"/>
  </si>
  <si>
    <t>工場現場</t>
    <rPh sb="0" eb="2">
      <t>コウジョウ</t>
    </rPh>
    <rPh sb="2" eb="4">
      <t>ゲンバ</t>
    </rPh>
    <phoneticPr fontId="5"/>
  </si>
  <si>
    <t>自動車</t>
    <rPh sb="0" eb="3">
      <t>ジドウシャ</t>
    </rPh>
    <phoneticPr fontId="5"/>
  </si>
  <si>
    <t xml:space="preserve">千Nｍ3 </t>
  </si>
  <si>
    <t>18.  証書_森林吸収量</t>
    <rPh sb="5" eb="7">
      <t>ショウショ</t>
    </rPh>
    <rPh sb="8" eb="10">
      <t>シンリン</t>
    </rPh>
    <rPh sb="10" eb="13">
      <t>キュウシュウリョウ</t>
    </rPh>
    <phoneticPr fontId="5"/>
  </si>
  <si>
    <t>19.  その他ガス</t>
    <rPh sb="7" eb="8">
      <t>タ</t>
    </rPh>
    <phoneticPr fontId="5"/>
  </si>
  <si>
    <t>17.   非化石燃料_自動車</t>
    <rPh sb="12" eb="15">
      <t>ジドウシャ</t>
    </rPh>
    <phoneticPr fontId="5"/>
  </si>
  <si>
    <t>←燃料(LPGやその他ガス及び、ガソリン、灯油などの液体燃料、石炭などの固形燃料）使用量の記入はこちらから</t>
    <rPh sb="1" eb="3">
      <t>ネンリョウ</t>
    </rPh>
    <rPh sb="10" eb="11">
      <t>タ</t>
    </rPh>
    <rPh sb="13" eb="14">
      <t>オヨ</t>
    </rPh>
    <rPh sb="21" eb="23">
      <t>トウユ</t>
    </rPh>
    <rPh sb="26" eb="30">
      <t>エキタイネンリョウ</t>
    </rPh>
    <rPh sb="31" eb="33">
      <t>セキタン</t>
    </rPh>
    <rPh sb="36" eb="40">
      <t>コケイネンリョウ</t>
    </rPh>
    <rPh sb="41" eb="44">
      <t>シヨウリョウ</t>
    </rPh>
    <rPh sb="43" eb="44">
      <t>リョウ</t>
    </rPh>
    <rPh sb="45" eb="47">
      <t>キニュウ</t>
    </rPh>
    <phoneticPr fontId="5"/>
  </si>
  <si>
    <t>←太陽光発電などの再生エネルギー自家消費量はこちらから</t>
    <rPh sb="1" eb="4">
      <t>タイヨウコウ</t>
    </rPh>
    <rPh sb="4" eb="6">
      <t>ハツデン</t>
    </rPh>
    <rPh sb="9" eb="11">
      <t>サイセイ</t>
    </rPh>
    <rPh sb="16" eb="20">
      <t>ジカショウヒ</t>
    </rPh>
    <rPh sb="20" eb="21">
      <t>リョウ</t>
    </rPh>
    <phoneticPr fontId="5"/>
  </si>
  <si>
    <t>←電力や都市ガス、熱利用の使用量の記入はこちらから</t>
    <rPh sb="1" eb="3">
      <t>デンリョク</t>
    </rPh>
    <rPh sb="4" eb="6">
      <t>トシ</t>
    </rPh>
    <rPh sb="9" eb="12">
      <t>ネツリヨウ</t>
    </rPh>
    <rPh sb="13" eb="15">
      <t>シヨウ</t>
    </rPh>
    <rPh sb="17" eb="19">
      <t>キニュウ</t>
    </rPh>
    <phoneticPr fontId="5"/>
  </si>
  <si>
    <t xml:space="preserve">令和6年度までのCO₂量実績算定シート
（令和8年度実績報告提出時に使用し記入する）
</t>
    <rPh sb="0" eb="2">
      <t>レイワ</t>
    </rPh>
    <rPh sb="3" eb="5">
      <t>ネンド</t>
    </rPh>
    <rPh sb="8" eb="12">
      <t>ニサンカリョウ</t>
    </rPh>
    <rPh sb="12" eb="14">
      <t>ジッセキ</t>
    </rPh>
    <rPh sb="14" eb="16">
      <t>サンテイ</t>
    </rPh>
    <rPh sb="21" eb="23">
      <t>レイワ</t>
    </rPh>
    <rPh sb="24" eb="26">
      <t>ネンド</t>
    </rPh>
    <rPh sb="26" eb="28">
      <t>ジッセキ</t>
    </rPh>
    <rPh sb="28" eb="30">
      <t>ホウコク</t>
    </rPh>
    <rPh sb="30" eb="32">
      <t>テイシュツ</t>
    </rPh>
    <rPh sb="32" eb="33">
      <t>ジ</t>
    </rPh>
    <rPh sb="34" eb="36">
      <t>シヨウ</t>
    </rPh>
    <rPh sb="37" eb="39">
      <t>キニュウ</t>
    </rPh>
    <phoneticPr fontId="5"/>
  </si>
  <si>
    <t>←別途、専用アプリ（転記ツール）の利用で、旧ファイルより一括コピーできる。</t>
    <rPh sb="10" eb="12">
      <t>テンキ</t>
    </rPh>
    <phoneticPr fontId="5"/>
  </si>
  <si>
    <t>エコアップ認証事業所CO₂量算定資料</t>
    <rPh sb="5" eb="6">
      <t>ニン</t>
    </rPh>
    <rPh sb="6" eb="9">
      <t>ジギョウショ</t>
    </rPh>
    <rPh sb="10" eb="14">
      <t>ニサンカリョウ</t>
    </rPh>
    <rPh sb="14" eb="16">
      <t>サンテイ</t>
    </rPh>
    <rPh sb="16" eb="18">
      <t>シリョウ</t>
    </rPh>
    <phoneticPr fontId="6"/>
  </si>
  <si>
    <t>←報告書提出年度が令和8年度の場合、”７”年度実績算出となります。</t>
    <rPh sb="1" eb="4">
      <t>ホウコクショ</t>
    </rPh>
    <rPh sb="4" eb="9">
      <t>テイシュツ</t>
    </rPh>
    <rPh sb="9" eb="11">
      <t>レイワ</t>
    </rPh>
    <rPh sb="12" eb="14">
      <t>ネンド</t>
    </rPh>
    <rPh sb="15" eb="17">
      <t>バアイ</t>
    </rPh>
    <rPh sb="21" eb="23">
      <t>ネンド</t>
    </rPh>
    <rPh sb="23" eb="25">
      <t>ジッセキ</t>
    </rPh>
    <rPh sb="25" eb="27">
      <t>サンシュツ</t>
    </rPh>
    <phoneticPr fontId="5"/>
  </si>
  <si>
    <t>←エコアップ申請・報告書様式へのア）イ）ウ）表作成記入用</t>
    <rPh sb="6" eb="8">
      <t>シンセイ</t>
    </rPh>
    <rPh sb="9" eb="12">
      <t>ホウコクショ</t>
    </rPh>
    <rPh sb="12" eb="14">
      <t>ヨウシキ</t>
    </rPh>
    <rPh sb="22" eb="23">
      <t>ヒョウ</t>
    </rPh>
    <rPh sb="23" eb="25">
      <t>サクセイ</t>
    </rPh>
    <phoneticPr fontId="5"/>
  </si>
  <si>
    <t>←令和７年分からのCO₂量実績記入用。＃９～１１シートからの算出結果を記入する</t>
    <rPh sb="30" eb="32">
      <t>サンシュツ</t>
    </rPh>
    <rPh sb="32" eb="34">
      <t>ケッカ</t>
    </rPh>
    <rPh sb="35" eb="37">
      <t>キニュウ</t>
    </rPh>
    <phoneticPr fontId="5"/>
  </si>
  <si>
    <t>　←廃棄物源燃料、バイオ燃料、水素などを利用している場合、使用量を記入する。</t>
    <rPh sb="2" eb="5">
      <t>ハイキブツ</t>
    </rPh>
    <rPh sb="5" eb="6">
      <t>ゲン</t>
    </rPh>
    <rPh sb="6" eb="8">
      <t>ネンリョウ</t>
    </rPh>
    <rPh sb="12" eb="14">
      <t>ネンリョウ</t>
    </rPh>
    <rPh sb="15" eb="17">
      <t>スイソ</t>
    </rPh>
    <rPh sb="20" eb="22">
      <t>リヨウ</t>
    </rPh>
    <rPh sb="26" eb="28">
      <t>バアイ</t>
    </rPh>
    <rPh sb="29" eb="32">
      <t>シヨウリョウ</t>
    </rPh>
    <rPh sb="33" eb="35">
      <t>キニュウ</t>
    </rPh>
    <phoneticPr fontId="5"/>
  </si>
  <si>
    <r>
      <t>A.ＣＯ₂削減実績表</t>
    </r>
    <r>
      <rPr>
        <sz val="11"/>
        <color theme="1"/>
        <rFont val="游ゴシック"/>
        <family val="3"/>
        <charset val="128"/>
        <scheme val="minor"/>
      </rPr>
      <t>（新規認証取得の場合は記載不要）</t>
    </r>
    <rPh sb="5" eb="7">
      <t>サクゲン</t>
    </rPh>
    <rPh sb="7" eb="9">
      <t>ジッセキ</t>
    </rPh>
    <rPh sb="9" eb="10">
      <t>ヒョウ</t>
    </rPh>
    <rPh sb="11" eb="15">
      <t>シンキニンショウ</t>
    </rPh>
    <rPh sb="15" eb="17">
      <t>シュトク</t>
    </rPh>
    <rPh sb="18" eb="20">
      <t>バアイ</t>
    </rPh>
    <rPh sb="21" eb="23">
      <t>キサイ</t>
    </rPh>
    <rPh sb="23" eb="25">
      <t>フヨウ</t>
    </rPh>
    <phoneticPr fontId="5"/>
  </si>
  <si>
    <t>ア）建物系</t>
    <rPh sb="2" eb="4">
      <t>タテモノ</t>
    </rPh>
    <rPh sb="4" eb="5">
      <t>ケイ</t>
    </rPh>
    <phoneticPr fontId="5"/>
  </si>
  <si>
    <t>イ）工場・現場系</t>
    <rPh sb="2" eb="4">
      <t>コウジョウ</t>
    </rPh>
    <rPh sb="5" eb="7">
      <t>ゲンバ</t>
    </rPh>
    <rPh sb="7" eb="8">
      <t>ケイ</t>
    </rPh>
    <phoneticPr fontId="5"/>
  </si>
  <si>
    <t>ウ）自動車系</t>
    <rPh sb="2" eb="5">
      <t>ジドウシャ</t>
    </rPh>
    <rPh sb="5" eb="6">
      <t>ケイ</t>
    </rPh>
    <phoneticPr fontId="5"/>
  </si>
  <si>
    <t>ｵ) 太陽光自家消費有りのＣＯ₂排出量合計
（ｱ*＋ｲ*）のボーナス分加算含まず</t>
    <rPh sb="3" eb="6">
      <t>タイヨウコウ</t>
    </rPh>
    <rPh sb="6" eb="10">
      <t>ジカショウヒ</t>
    </rPh>
    <rPh sb="10" eb="11">
      <t>ア</t>
    </rPh>
    <rPh sb="16" eb="18">
      <t>ハイシュツ</t>
    </rPh>
    <rPh sb="18" eb="19">
      <t>リョウ</t>
    </rPh>
    <rPh sb="19" eb="21">
      <t>ゴウケイ</t>
    </rPh>
    <rPh sb="34" eb="35">
      <t>ブン</t>
    </rPh>
    <rPh sb="35" eb="37">
      <t>カサン</t>
    </rPh>
    <rPh sb="37" eb="38">
      <t>フク</t>
    </rPh>
    <phoneticPr fontId="6"/>
  </si>
  <si>
    <t>←太陽光自家消費有りの事業者（令和9年度までの暫定用）　
　 ボーナス効果加算CO₂排出量実績値として参考表示</t>
    <rPh sb="1" eb="4">
      <t>タイヨウコウ</t>
    </rPh>
    <rPh sb="4" eb="6">
      <t>ジカ</t>
    </rPh>
    <rPh sb="6" eb="8">
      <t>ショウヒ</t>
    </rPh>
    <rPh sb="8" eb="9">
      <t>ア</t>
    </rPh>
    <rPh sb="11" eb="14">
      <t>ジギョウシャ</t>
    </rPh>
    <rPh sb="23" eb="26">
      <t>ザンテイヨウ</t>
    </rPh>
    <rPh sb="42" eb="44">
      <t>ハイシュツ</t>
    </rPh>
    <rPh sb="44" eb="45">
      <t>リョウ</t>
    </rPh>
    <rPh sb="45" eb="48">
      <t>ジッセキチ</t>
    </rPh>
    <rPh sb="51" eb="53">
      <t>サンコウ</t>
    </rPh>
    <rPh sb="53" eb="55">
      <t>ヒョウジ</t>
    </rPh>
    <phoneticPr fontId="6"/>
  </si>
  <si>
    <t>ｷ)太陽光自家消費ボーナス
　を含まないCO₂排出量原単位</t>
    <rPh sb="2" eb="5">
      <t>タイヨウコウ</t>
    </rPh>
    <rPh sb="5" eb="7">
      <t>ジカ</t>
    </rPh>
    <rPh sb="7" eb="9">
      <t>ショウヒ</t>
    </rPh>
    <rPh sb="16" eb="17">
      <t>フク</t>
    </rPh>
    <rPh sb="23" eb="26">
      <t>ハイシュツリョウ</t>
    </rPh>
    <rPh sb="26" eb="29">
      <t>ゲンタンイ</t>
    </rPh>
    <phoneticPr fontId="6"/>
  </si>
  <si>
    <t xml:space="preserve">★R6年まで太陽光の自家消費分の計上 の有無  ⇒ </t>
    <rPh sb="3" eb="4">
      <t>ネン</t>
    </rPh>
    <rPh sb="6" eb="9">
      <t>タイヨウコウ</t>
    </rPh>
    <rPh sb="10" eb="15">
      <t>ジカショウヒブン</t>
    </rPh>
    <rPh sb="16" eb="18">
      <t>ケイジョウ</t>
    </rPh>
    <rPh sb="20" eb="22">
      <t>ウム</t>
    </rPh>
    <phoneticPr fontId="5"/>
  </si>
  <si>
    <t>認証申請用</t>
    <rPh sb="0" eb="2">
      <t>ニンショウ</t>
    </rPh>
    <rPh sb="2" eb="5">
      <t>シンセイヨウ</t>
    </rPh>
    <phoneticPr fontId="5"/>
  </si>
  <si>
    <t>直近のエコアップ認証年度（4月～3月） 令和</t>
    <rPh sb="0" eb="2">
      <t>チョッキン</t>
    </rPh>
    <rPh sb="8" eb="10">
      <t>ニンショウ</t>
    </rPh>
    <rPh sb="10" eb="12">
      <t>ネンド</t>
    </rPh>
    <rPh sb="14" eb="15">
      <t>ガツ</t>
    </rPh>
    <rPh sb="17" eb="18">
      <t>ガツ</t>
    </rPh>
    <rPh sb="20" eb="22">
      <t>レイワ</t>
    </rPh>
    <phoneticPr fontId="5"/>
  </si>
  <si>
    <t>エコアップ事業所算定資料</t>
    <phoneticPr fontId="6"/>
  </si>
  <si>
    <t>燃料等使用量及び目標設定ガス排出量</t>
    <phoneticPr fontId="5"/>
  </si>
  <si>
    <t>エコアップ事業所算定資料</t>
    <rPh sb="5" eb="8">
      <t>ジギョウショ</t>
    </rPh>
    <rPh sb="8" eb="10">
      <t>サンテイ</t>
    </rPh>
    <rPh sb="10" eb="12">
      <t>シリョウ</t>
    </rPh>
    <phoneticPr fontId="6"/>
  </si>
  <si>
    <t>再生可能エネルギー以外の電気・熱の使用量及び都市ガスの使用量</t>
    <phoneticPr fontId="6"/>
  </si>
  <si>
    <t>再生可能エネルギー由来の電気・熱の使用量</t>
    <rPh sb="9" eb="11">
      <t>ユライ</t>
    </rPh>
    <phoneticPr fontId="6"/>
  </si>
  <si>
    <t>非化石燃料使用量_工場現場</t>
    <rPh sb="9" eb="11">
      <t>コウジョウ</t>
    </rPh>
    <rPh sb="11" eb="13">
      <t>ゲンバ</t>
    </rPh>
    <phoneticPr fontId="6"/>
  </si>
  <si>
    <t>非化石燃料使用量_建物系</t>
    <rPh sb="9" eb="11">
      <t>タテモノ</t>
    </rPh>
    <rPh sb="11" eb="12">
      <t>ケイ</t>
    </rPh>
    <phoneticPr fontId="6"/>
  </si>
  <si>
    <t>非化石燃料使用量_自動車</t>
    <rPh sb="9" eb="12">
      <t>ジドウシャ</t>
    </rPh>
    <phoneticPr fontId="6"/>
  </si>
  <si>
    <t>再生可能エネルギー等由来の証書等の利用</t>
    <rPh sb="0" eb="2">
      <t>サイセイ</t>
    </rPh>
    <rPh sb="2" eb="4">
      <t>カノウ</t>
    </rPh>
    <rPh sb="9" eb="10">
      <t>トウ</t>
    </rPh>
    <rPh sb="10" eb="12">
      <t>ユライ</t>
    </rPh>
    <rPh sb="13" eb="15">
      <t>ショウショ</t>
    </rPh>
    <rPh sb="15" eb="16">
      <t>トウ</t>
    </rPh>
    <rPh sb="17" eb="19">
      <t>リヨウ</t>
    </rPh>
    <phoneticPr fontId="5"/>
  </si>
  <si>
    <t>その他の温室効果ガス排出量</t>
    <rPh sb="2" eb="3">
      <t>ホカ</t>
    </rPh>
    <rPh sb="4" eb="8">
      <t>オンシツコウカ</t>
    </rPh>
    <rPh sb="10" eb="13">
      <t>ハイシュツリョウ</t>
    </rPh>
    <phoneticPr fontId="5"/>
  </si>
  <si>
    <t>０．事業所概要</t>
    <rPh sb="2" eb="7">
      <t>ジギョウショガイヨウ</t>
    </rPh>
    <phoneticPr fontId="5"/>
  </si>
  <si>
    <t>（本ページ）シート全体構成を表示</t>
    <rPh sb="1" eb="2">
      <t>ホン</t>
    </rPh>
    <rPh sb="9" eb="13">
      <t>ゼンタイコウセイ</t>
    </rPh>
    <rPh sb="14" eb="16">
      <t>ヒョウジ</t>
    </rPh>
    <phoneticPr fontId="5"/>
  </si>
  <si>
    <t>←事業所名、住所、報告年度、特殊条件を記載。</t>
    <rPh sb="1" eb="5">
      <t>ジギョウショメイ</t>
    </rPh>
    <rPh sb="6" eb="8">
      <t>ジュウショ</t>
    </rPh>
    <rPh sb="9" eb="13">
      <t>ホウコクネンド</t>
    </rPh>
    <rPh sb="14" eb="16">
      <t>トクシュ</t>
    </rPh>
    <rPh sb="16" eb="18">
      <t>ジョウケン</t>
    </rPh>
    <rPh sb="19" eb="21">
      <t>キサイ</t>
    </rPh>
    <phoneticPr fontId="5"/>
  </si>
  <si>
    <t>事業所情報の記載。全体の表紙</t>
    <rPh sb="0" eb="5">
      <t>ジギョウショジョウホウ</t>
    </rPh>
    <rPh sb="6" eb="8">
      <t>キサイ</t>
    </rPh>
    <rPh sb="9" eb="11">
      <t>ゼンタイ</t>
    </rPh>
    <rPh sb="12" eb="14">
      <t>ヒョウシ</t>
    </rPh>
    <phoneticPr fontId="5"/>
  </si>
  <si>
    <t>　　シート一覧</t>
    <rPh sb="5" eb="7">
      <t>イチラン</t>
    </rPh>
    <phoneticPr fontId="5"/>
  </si>
  <si>
    <t>廃油（植物性のもの及び動物性のものを除く。）</t>
    <rPh sb="0" eb="2">
      <t>ハイユ</t>
    </rPh>
    <rPh sb="3" eb="6">
      <t>ショクブツセイ</t>
    </rPh>
    <rPh sb="9" eb="10">
      <t>オヨ</t>
    </rPh>
    <rPh sb="11" eb="14">
      <t>ドウブツセイ</t>
    </rPh>
    <rPh sb="18" eb="19">
      <t>ノゾ</t>
    </rPh>
    <phoneticPr fontId="12"/>
  </si>
  <si>
    <t>県庁産業㈱　　本社、浦和支店</t>
    <rPh sb="0" eb="2">
      <t>ケンチョウ</t>
    </rPh>
    <rPh sb="2" eb="4">
      <t>サンギョウ</t>
    </rPh>
    <rPh sb="7" eb="9">
      <t>ホンシャ</t>
    </rPh>
    <rPh sb="10" eb="14">
      <t>ウラワシテン</t>
    </rPh>
    <phoneticPr fontId="5"/>
  </si>
  <si>
    <t>○○○市△△町1丁目2番3号</t>
    <rPh sb="3" eb="4">
      <t>シ</t>
    </rPh>
    <rPh sb="6" eb="7">
      <t>マチ</t>
    </rPh>
    <rPh sb="8" eb="10">
      <t>チョウメ</t>
    </rPh>
    <rPh sb="11" eb="12">
      <t>バン</t>
    </rPh>
    <rPh sb="13" eb="14">
      <t>ゴウ</t>
    </rPh>
    <phoneticPr fontId="5"/>
  </si>
  <si>
    <t>令和8年度以降の認証時の基準値に適用　</t>
    <rPh sb="0" eb="2">
      <t>レイワ</t>
    </rPh>
    <rPh sb="3" eb="5">
      <t>ネンド</t>
    </rPh>
    <rPh sb="5" eb="7">
      <t>イコウ</t>
    </rPh>
    <rPh sb="8" eb="11">
      <t>ニンショウジ</t>
    </rPh>
    <rPh sb="12" eb="15">
      <t>キジュンチ</t>
    </rPh>
    <rPh sb="16" eb="18">
      <t>テキヨウ</t>
    </rPh>
    <phoneticPr fontId="6"/>
  </si>
  <si>
    <t>報告原単位</t>
    <rPh sb="0" eb="5">
      <t>ホウコクゲンタンイ</t>
    </rPh>
    <phoneticPr fontId="5"/>
  </si>
  <si>
    <t>太陽光自家消費分算定</t>
    <rPh sb="0" eb="7">
      <t>タイヨウコウジカショウヒ</t>
    </rPh>
    <rPh sb="7" eb="8">
      <t>ブン</t>
    </rPh>
    <rPh sb="8" eb="10">
      <t>サンテイ</t>
    </rPh>
    <phoneticPr fontId="5"/>
  </si>
  <si>
    <t>CO₂量算定シート</t>
    <rPh sb="3" eb="4">
      <t>リョウ</t>
    </rPh>
    <rPh sb="4" eb="6">
      <t>サンテイ</t>
    </rPh>
    <phoneticPr fontId="6"/>
  </si>
  <si>
    <t>←事業所名、認証範囲、その住所を記入する。
　改行は”Alt＋Enter”</t>
    <rPh sb="1" eb="4">
      <t>ジギョウショ</t>
    </rPh>
    <rPh sb="4" eb="5">
      <t>メイ</t>
    </rPh>
    <rPh sb="6" eb="10">
      <t>ニンショウハンイ</t>
    </rPh>
    <rPh sb="13" eb="15">
      <t>ジュウショ</t>
    </rPh>
    <rPh sb="16" eb="18">
      <t>キニュウ</t>
    </rPh>
    <rPh sb="23" eb="25">
      <t>カイギョウ</t>
    </rPh>
    <phoneticPr fontId="5"/>
  </si>
  <si>
    <t>←燃料の種類に適切な名前を記入してください。</t>
    <rPh sb="1" eb="3">
      <t>ネンリョウ</t>
    </rPh>
    <rPh sb="4" eb="6">
      <t>シュルイ</t>
    </rPh>
    <rPh sb="7" eb="9">
      <t>テキセツ</t>
    </rPh>
    <rPh sb="10" eb="12">
      <t>ナマエ</t>
    </rPh>
    <rPh sb="13" eb="15">
      <t>キニュウ</t>
    </rPh>
    <phoneticPr fontId="5"/>
  </si>
  <si>
    <t>７'．エコアップCO₂量実績表</t>
    <rPh sb="11" eb="12">
      <t>リョウ</t>
    </rPh>
    <rPh sb="12" eb="15">
      <t>ジッセキヒョウ</t>
    </rPh>
    <phoneticPr fontId="5"/>
  </si>
  <si>
    <t>電力計</t>
    <rPh sb="0" eb="3">
      <t>デンリョクケイ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</si>
</sst>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176" formatCode="000000"/>
    <numFmt numFmtId="177" formatCode="#"/>
    <numFmt numFmtId="178" formatCode="#,##0_ "/>
    <numFmt numFmtId="179" formatCode="#,##0;\-#,##0;#"/>
    <numFmt numFmtId="180" formatCode="#,##0.000_);[Red]\(#,##0.000\)"/>
    <numFmt numFmtId="181" formatCode="#,##0.00;\-#,##0.00;#.00"/>
    <numFmt numFmtId="182" formatCode="#,##0.000_ "/>
    <numFmt numFmtId="183" formatCode="#,##0.000;\-#,##0.000;#.000"/>
    <numFmt numFmtId="184" formatCode="#,##0.000;[Red]\-#,##0.000"/>
    <numFmt numFmtId="185" formatCode="#,##0.000;\-#,##0.000"/>
    <numFmt numFmtId="186" formatCode="[DBNum3]0"/>
    <numFmt numFmtId="187" formatCode="[$-411]ggge&quot;年&quot;m&quot;月&quot;d&quot;日&quot;;@"/>
    <numFmt numFmtId="188" formatCode="#,##0_ ;[Red]\-#,##0\ "/>
    <numFmt numFmtId="189" formatCode="0.000_ "/>
    <numFmt numFmtId="190" formatCode="0.0_ "/>
    <numFmt numFmtId="191" formatCode="0.000000_ "/>
    <numFmt numFmtId="192" formatCode="0.00_ "/>
    <numFmt numFmtId="193" formatCode="0.00_);[Red]\(0.00\)"/>
    <numFmt numFmtId="194" formatCode="0.0000_ "/>
    <numFmt numFmtId="195" formatCode="#,##0.0_);[Red]\(#,##0.0\)"/>
    <numFmt numFmtId="196" formatCode="#,##0.0_ "/>
    <numFmt numFmtId="197" formatCode="#,##0.0000;[Red]\-#,##0.0000"/>
    <numFmt numFmtId="198" formatCode="#,##0.0000_ "/>
    <numFmt numFmtId="199" formatCode="#,##0_);[Red]\(#,##0\)"/>
    <numFmt numFmtId="200" formatCode="0.000_);[Red]\(0.000\)"/>
    <numFmt numFmtId="201" formatCode="#,##0.0_ ;[Red]\-#,##0.0\ "/>
    <numFmt numFmtId="202" formatCode="0.0#\ "/>
    <numFmt numFmtId="203" formatCode="0_ "/>
    <numFmt numFmtId="204" formatCode="#,##0.000000;[Red]\-#,##0.000000"/>
    <numFmt numFmtId="205" formatCode="#,##0.000_ ;[Red]\-#,##0.000\ "/>
    <numFmt numFmtId="206" formatCode="#,##0.0;[Red]\-#,##0.0"/>
    <numFmt numFmtId="207" formatCode="0.00000_ "/>
    <numFmt numFmtId="208" formatCode="#,##0.0000"/>
    <numFmt numFmtId="209" formatCode="0.0"/>
    <numFmt numFmtId="210" formatCode="#,##0.0000_);[Red]\(#,##0.0000\)"/>
    <numFmt numFmtId="211" formatCode="#,##0.00_);[Red]\(#,##0.00\)"/>
    <numFmt numFmtId="212" formatCode="0.0000_);[Red]\(0.0000\)"/>
    <numFmt numFmtId="213" formatCode="General&quot;年度&quot;"/>
    <numFmt numFmtId="214" formatCode="&quot;(&quot;0.0&quot;)&quot;"/>
    <numFmt numFmtId="215" formatCode="0.0;&quot;△ &quot;0.0"/>
    <numFmt numFmtId="216" formatCode="0.0&quot;％&quot;;&quot;△ &quot;0.0&quot;％&quot;"/>
    <numFmt numFmtId="217" formatCode="0.0000;&quot;△ &quot;0.0000"/>
    <numFmt numFmtId="218" formatCode="0.0000"/>
  </numFmts>
  <fonts count="13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游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1"/>
      <color indexed="8"/>
      <name val="ＭＳ Ｐゴシック"/>
      <family val="3"/>
      <charset val="128"/>
    </font>
    <font>
      <sz val="9"/>
      <color rgb="FFFF0000"/>
      <name val="ＭＳ 明朝"/>
      <family val="1"/>
      <charset val="128"/>
    </font>
    <font>
      <sz val="18"/>
      <color theme="3"/>
      <name val="游ゴシック Light"/>
      <family val="2"/>
      <charset val="128"/>
      <scheme val="major"/>
    </font>
    <font>
      <b/>
      <sz val="13"/>
      <color theme="3"/>
      <name val="游ゴシック"/>
      <family val="2"/>
      <charset val="128"/>
      <scheme val="minor"/>
    </font>
    <font>
      <sz val="6"/>
      <color indexed="8"/>
      <name val="ＭＳ 明朝"/>
      <family val="1"/>
      <charset val="128"/>
    </font>
    <font>
      <sz val="11"/>
      <color theme="1"/>
      <name val="游明朝"/>
      <family val="1"/>
      <charset val="128"/>
    </font>
    <font>
      <vertAlign val="subscript"/>
      <sz val="11"/>
      <color theme="1"/>
      <name val="游明朝"/>
      <family val="1"/>
      <charset val="128"/>
    </font>
    <font>
      <sz val="14"/>
      <color theme="1"/>
      <name val="游明朝"/>
      <family val="1"/>
      <charset val="128"/>
    </font>
    <font>
      <sz val="9"/>
      <color theme="1"/>
      <name val="游明朝"/>
      <family val="1"/>
      <charset val="128"/>
    </font>
    <font>
      <vertAlign val="superscript"/>
      <sz val="11"/>
      <color theme="1"/>
      <name val="游明朝"/>
      <family val="1"/>
      <charset val="128"/>
    </font>
    <font>
      <sz val="8"/>
      <color theme="1"/>
      <name val="游明朝"/>
      <family val="1"/>
      <charset val="128"/>
    </font>
    <font>
      <sz val="16"/>
      <color theme="1"/>
      <name val="游明朝"/>
      <family val="1"/>
      <charset val="128"/>
    </font>
    <font>
      <sz val="11"/>
      <color indexed="8"/>
      <name val="游明朝"/>
      <family val="1"/>
      <charset val="128"/>
    </font>
    <font>
      <sz val="11"/>
      <name val="游明朝"/>
      <family val="1"/>
      <charset val="128"/>
    </font>
    <font>
      <b/>
      <sz val="11"/>
      <color rgb="FFFF0000"/>
      <name val="游明朝"/>
      <family val="1"/>
      <charset val="128"/>
    </font>
    <font>
      <sz val="10"/>
      <color theme="1"/>
      <name val="游明朝"/>
      <family val="1"/>
      <charset val="128"/>
    </font>
    <font>
      <b/>
      <sz val="9"/>
      <color indexed="81"/>
      <name val="ＭＳ Ｐ明朝"/>
      <family val="1"/>
      <charset val="128"/>
    </font>
    <font>
      <b/>
      <sz val="9"/>
      <color indexed="81"/>
      <name val="MS P ゴシック"/>
      <family val="3"/>
      <charset val="128"/>
    </font>
    <font>
      <sz val="6"/>
      <name val="ＭＳ Ｐゴシック"/>
      <family val="2"/>
      <charset val="128"/>
    </font>
    <font>
      <sz val="11"/>
      <color rgb="FF9C0006"/>
      <name val="ＭＳ Ｐゴシック"/>
      <family val="2"/>
      <charset val="128"/>
    </font>
    <font>
      <b/>
      <sz val="14"/>
      <name val="游明朝"/>
      <family val="1"/>
      <charset val="128"/>
    </font>
    <font>
      <sz val="16"/>
      <name val="游明朝"/>
      <family val="1"/>
      <charset val="128"/>
    </font>
    <font>
      <b/>
      <sz val="16"/>
      <name val="游明朝"/>
      <family val="1"/>
      <charset val="128"/>
    </font>
    <font>
      <b/>
      <sz val="14"/>
      <color theme="1"/>
      <name val="游明朝"/>
      <family val="1"/>
      <charset val="128"/>
    </font>
    <font>
      <sz val="20"/>
      <color theme="1"/>
      <name val="游明朝"/>
      <family val="1"/>
      <charset val="128"/>
    </font>
    <font>
      <vertAlign val="subscript"/>
      <sz val="11"/>
      <color indexed="8"/>
      <name val="游明朝"/>
      <family val="1"/>
      <charset val="128"/>
    </font>
    <font>
      <sz val="11"/>
      <color theme="0" tint="-0.14999847407452621"/>
      <name val="游明朝"/>
      <family val="1"/>
      <charset val="128"/>
    </font>
    <font>
      <sz val="10"/>
      <name val="游明朝"/>
      <family val="1"/>
      <charset val="128"/>
    </font>
    <font>
      <sz val="10"/>
      <color theme="0" tint="-0.14999847407452621"/>
      <name val="游明朝"/>
      <family val="1"/>
      <charset val="128"/>
    </font>
    <font>
      <sz val="8"/>
      <name val="游明朝"/>
      <family val="1"/>
      <charset val="128"/>
    </font>
    <font>
      <sz val="14"/>
      <color indexed="8"/>
      <name val="游明朝"/>
      <family val="1"/>
      <charset val="128"/>
    </font>
    <font>
      <vertAlign val="superscript"/>
      <sz val="11"/>
      <color theme="1"/>
      <name val="游ゴシック"/>
      <family val="3"/>
      <charset val="128"/>
      <scheme val="minor"/>
    </font>
    <font>
      <b/>
      <sz val="11"/>
      <color rgb="FF3F3F3F"/>
      <name val="ＭＳ Ｐゴシック"/>
      <family val="2"/>
      <charset val="128"/>
    </font>
    <font>
      <vertAlign val="subscript"/>
      <sz val="11"/>
      <color theme="1"/>
      <name val="游ゴシック"/>
      <family val="3"/>
      <charset val="128"/>
      <scheme val="minor"/>
    </font>
    <font>
      <sz val="6"/>
      <name val="游ゴシック"/>
      <family val="2"/>
      <charset val="128"/>
      <scheme val="minor"/>
    </font>
    <font>
      <sz val="1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vertAlign val="subscript"/>
      <sz val="10"/>
      <color theme="1"/>
      <name val="游明朝"/>
      <family val="1"/>
      <charset val="128"/>
    </font>
    <font>
      <vertAlign val="subscript"/>
      <sz val="14"/>
      <color theme="1"/>
      <name val="游明朝"/>
      <family val="1"/>
      <charset val="128"/>
    </font>
    <font>
      <b/>
      <sz val="11"/>
      <color theme="1"/>
      <name val="游明朝"/>
      <family val="1"/>
      <charset val="128"/>
    </font>
    <font>
      <b/>
      <sz val="14"/>
      <color rgb="FFFF0000"/>
      <name val="游明朝"/>
      <family val="1"/>
      <charset val="128"/>
    </font>
    <font>
      <b/>
      <sz val="11"/>
      <color theme="0"/>
      <name val="游ゴシック"/>
      <family val="3"/>
      <charset val="128"/>
      <scheme val="minor"/>
    </font>
    <font>
      <b/>
      <sz val="14"/>
      <color theme="1"/>
      <name val="ＭＳ Ｐゴシック"/>
      <family val="3"/>
      <charset val="128"/>
    </font>
    <font>
      <sz val="11"/>
      <color theme="1"/>
      <name val="ＭＳ Ｐ明朝"/>
      <family val="1"/>
      <charset val="128"/>
    </font>
    <font>
      <sz val="9"/>
      <color indexed="8"/>
      <name val="ＭＳ Ｐ明朝"/>
      <family val="1"/>
      <charset val="128"/>
    </font>
    <font>
      <sz val="9"/>
      <name val="ＭＳ Ｐ明朝"/>
      <family val="1"/>
      <charset val="128"/>
    </font>
    <font>
      <sz val="10"/>
      <color indexed="8"/>
      <name val="ＭＳ Ｐ明朝"/>
      <family val="1"/>
      <charset val="128"/>
    </font>
    <font>
      <sz val="11"/>
      <color indexed="8"/>
      <name val="ＭＳ Ｐ明朝"/>
      <family val="1"/>
      <charset val="128"/>
    </font>
    <font>
      <vertAlign val="superscript"/>
      <sz val="11"/>
      <color indexed="8"/>
      <name val="ＭＳ Ｐ明朝"/>
      <family val="1"/>
      <charset val="128"/>
    </font>
    <font>
      <sz val="8"/>
      <color indexed="8"/>
      <name val="ＭＳ Ｐ明朝"/>
      <family val="1"/>
      <charset val="128"/>
    </font>
    <font>
      <vertAlign val="superscript"/>
      <sz val="10"/>
      <name val="ＭＳ Ｐ明朝"/>
      <family val="1"/>
      <charset val="128"/>
    </font>
    <font>
      <vertAlign val="subscript"/>
      <sz val="9"/>
      <color indexed="8"/>
      <name val="ＭＳ 明朝"/>
      <family val="1"/>
      <charset val="128"/>
    </font>
    <font>
      <sz val="14"/>
      <color theme="1"/>
      <name val="ＭＳ Ｐゴシック"/>
      <family val="3"/>
      <charset val="128"/>
    </font>
    <font>
      <sz val="11"/>
      <name val="ＭＳ Ｐ明朝"/>
      <family val="1"/>
      <charset val="128"/>
    </font>
    <font>
      <sz val="10"/>
      <color theme="1"/>
      <name val="ＭＳ Ｐ明朝"/>
      <family val="1"/>
      <charset val="128"/>
    </font>
    <font>
      <sz val="9"/>
      <color rgb="FFFF0000"/>
      <name val="ＭＳ Ｐ明朝"/>
      <family val="1"/>
      <charset val="128"/>
    </font>
    <font>
      <vertAlign val="superscript"/>
      <sz val="9"/>
      <name val="ＭＳ Ｐ明朝"/>
      <family val="1"/>
      <charset val="128"/>
    </font>
    <font>
      <vertAlign val="subscript"/>
      <sz val="9"/>
      <name val="ＭＳ Ｐ明朝"/>
      <family val="1"/>
      <charset val="128"/>
    </font>
    <font>
      <vertAlign val="subscript"/>
      <sz val="8"/>
      <name val="ＭＳ Ｐ明朝"/>
      <family val="1"/>
      <charset val="128"/>
    </font>
    <font>
      <sz val="8"/>
      <name val="ＭＳ Ｐ明朝"/>
      <family val="1"/>
      <charset val="128"/>
    </font>
    <font>
      <sz val="9"/>
      <color theme="1"/>
      <name val="ＭＳ Ｐ明朝"/>
      <family val="1"/>
      <charset val="128"/>
    </font>
    <font>
      <b/>
      <sz val="18"/>
      <color indexed="8"/>
      <name val="ＭＳ ゴシック"/>
      <family val="3"/>
      <charset val="128"/>
    </font>
    <font>
      <b/>
      <sz val="12"/>
      <color indexed="8"/>
      <name val="ＭＳ ゴシック"/>
      <family val="3"/>
      <charset val="128"/>
    </font>
    <font>
      <sz val="11"/>
      <color indexed="8"/>
      <name val="ＭＳ 明朝"/>
      <family val="1"/>
      <charset val="128"/>
    </font>
    <font>
      <sz val="8"/>
      <color indexed="8"/>
      <name val="ＭＳ 明朝"/>
      <family val="1"/>
      <charset val="128"/>
    </font>
    <font>
      <sz val="14"/>
      <color indexed="8"/>
      <name val="ＭＳ ゴシック"/>
      <family val="3"/>
      <charset val="128"/>
    </font>
    <font>
      <sz val="12"/>
      <name val="ＭＳ ゴシック"/>
      <family val="3"/>
      <charset val="128"/>
    </font>
    <font>
      <sz val="12"/>
      <color theme="1"/>
      <name val="ＭＳ ゴシック"/>
      <family val="3"/>
      <charset val="128"/>
    </font>
    <font>
      <vertAlign val="subscript"/>
      <sz val="12"/>
      <name val="ＭＳ ゴシック"/>
      <family val="3"/>
      <charset val="128"/>
    </font>
    <font>
      <sz val="12"/>
      <name val="ＭＳ 明朝"/>
      <family val="1"/>
      <charset val="128"/>
    </font>
    <font>
      <sz val="12"/>
      <color theme="1"/>
      <name val="游ゴシック"/>
      <family val="3"/>
      <charset val="128"/>
      <scheme val="minor"/>
    </font>
    <font>
      <sz val="12"/>
      <color indexed="8"/>
      <name val="ＭＳ 明朝"/>
      <family val="1"/>
      <charset val="128"/>
    </font>
    <font>
      <vertAlign val="superscript"/>
      <sz val="12"/>
      <name val="ＭＳ ゴシック"/>
      <family val="3"/>
      <charset val="128"/>
    </font>
    <font>
      <vertAlign val="superscript"/>
      <sz val="12"/>
      <name val="ＭＳ 明朝"/>
      <family val="1"/>
      <charset val="128"/>
    </font>
    <font>
      <sz val="12"/>
      <color indexed="8"/>
      <name val="ＭＳ ゴシック"/>
      <family val="3"/>
      <charset val="128"/>
    </font>
    <font>
      <vertAlign val="subscript"/>
      <sz val="12"/>
      <name val="ＭＳ 明朝"/>
      <family val="1"/>
      <charset val="128"/>
    </font>
    <font>
      <sz val="12"/>
      <color rgb="FFFF0000"/>
      <name val="ＭＳ 明朝"/>
      <family val="1"/>
      <charset val="128"/>
    </font>
    <font>
      <b/>
      <sz val="12"/>
      <name val="ＭＳ ゴシック"/>
      <family val="3"/>
      <charset val="128"/>
    </font>
    <font>
      <sz val="14"/>
      <color theme="1"/>
      <name val="游ゴシック"/>
      <family val="3"/>
      <charset val="128"/>
      <scheme val="minor"/>
    </font>
    <font>
      <sz val="9"/>
      <color rgb="FF000000"/>
      <name val="Meiryo UI"/>
      <family val="3"/>
      <charset val="128"/>
    </font>
    <font>
      <b/>
      <sz val="16"/>
      <color indexed="8"/>
      <name val="ＭＳ Ｐゴシック"/>
      <family val="3"/>
      <charset val="128"/>
    </font>
    <font>
      <sz val="12"/>
      <color rgb="FFFF0000"/>
      <name val="ＭＳ Ｐ明朝"/>
      <family val="1"/>
      <charset val="128"/>
    </font>
    <font>
      <b/>
      <sz val="16"/>
      <color theme="1"/>
      <name val="游ゴシック"/>
      <family val="3"/>
      <charset val="128"/>
      <scheme val="minor"/>
    </font>
    <font>
      <b/>
      <sz val="16"/>
      <color rgb="FFFF0000"/>
      <name val="ＭＳ Ｐ明朝"/>
      <family val="1"/>
      <charset val="128"/>
    </font>
    <font>
      <b/>
      <sz val="14"/>
      <color indexed="8"/>
      <name val="ＭＳ Ｐ明朝"/>
      <family val="1"/>
      <charset val="128"/>
    </font>
    <font>
      <b/>
      <sz val="16"/>
      <color theme="0"/>
      <name val="ＭＳ Ｐ明朝"/>
      <family val="1"/>
      <charset val="128"/>
    </font>
    <font>
      <vertAlign val="subscript"/>
      <sz val="11"/>
      <color indexed="8"/>
      <name val="ＭＳ Ｐ明朝"/>
      <family val="1"/>
      <charset val="128"/>
    </font>
    <font>
      <sz val="14"/>
      <color theme="0"/>
      <name val="ＭＳ Ｐ明朝"/>
      <family val="1"/>
      <charset val="128"/>
    </font>
    <font>
      <b/>
      <sz val="11"/>
      <color indexed="8"/>
      <name val="ＭＳ Ｐ明朝"/>
      <family val="1"/>
      <charset val="128"/>
    </font>
    <font>
      <b/>
      <sz val="12"/>
      <color indexed="8"/>
      <name val="ＭＳ Ｐ明朝"/>
      <family val="1"/>
      <charset val="128"/>
    </font>
    <font>
      <sz val="12"/>
      <color indexed="8"/>
      <name val="ＭＳ Ｐ明朝"/>
      <family val="1"/>
      <charset val="128"/>
    </font>
    <font>
      <b/>
      <sz val="14"/>
      <name val="ＭＳ Ｐ明朝"/>
      <family val="1"/>
      <charset val="128"/>
    </font>
    <font>
      <b/>
      <sz val="11"/>
      <color theme="1"/>
      <name val="ＭＳ Ｐ明朝"/>
      <family val="1"/>
      <charset val="128"/>
    </font>
    <font>
      <sz val="14"/>
      <color indexed="8"/>
      <name val="ＭＳ Ｐ明朝"/>
      <family val="1"/>
      <charset val="128"/>
    </font>
    <font>
      <vertAlign val="subscript"/>
      <sz val="10"/>
      <color indexed="8"/>
      <name val="ＭＳ Ｐ明朝"/>
      <family val="1"/>
      <charset val="128"/>
    </font>
    <font>
      <sz val="14"/>
      <color theme="1"/>
      <name val="ＭＳ Ｐ明朝"/>
      <family val="1"/>
      <charset val="128"/>
    </font>
    <font>
      <sz val="8"/>
      <color theme="1"/>
      <name val="ＭＳ Ｐ明朝"/>
      <family val="1"/>
      <charset val="128"/>
    </font>
    <font>
      <b/>
      <sz val="9"/>
      <color indexed="81"/>
      <name val="ＭＳ Ｐゴシック"/>
      <family val="3"/>
      <charset val="128"/>
    </font>
    <font>
      <sz val="9"/>
      <color indexed="81"/>
      <name val="ＭＳ Ｐゴシック"/>
      <family val="3"/>
      <charset val="128"/>
    </font>
    <font>
      <b/>
      <sz val="12"/>
      <color theme="1"/>
      <name val="游ゴシック"/>
      <family val="3"/>
      <charset val="128"/>
      <scheme val="minor"/>
    </font>
    <font>
      <sz val="9"/>
      <color theme="1"/>
      <name val="游ゴシック"/>
      <family val="3"/>
      <charset val="128"/>
      <scheme val="minor"/>
    </font>
    <font>
      <b/>
      <sz val="10"/>
      <color rgb="FFFF0000"/>
      <name val="游ゴシック"/>
      <family val="3"/>
      <charset val="128"/>
      <scheme val="minor"/>
    </font>
    <font>
      <sz val="16"/>
      <color theme="1"/>
      <name val="游ゴシック"/>
      <family val="3"/>
      <charset val="128"/>
      <scheme val="minor"/>
    </font>
    <font>
      <sz val="12"/>
      <color theme="1"/>
      <name val="游ゴシック"/>
      <family val="2"/>
      <charset val="128"/>
      <scheme val="minor"/>
    </font>
    <font>
      <sz val="9"/>
      <color indexed="81"/>
      <name val="MS P ゴシック"/>
      <family val="3"/>
      <charset val="128"/>
    </font>
    <font>
      <sz val="10"/>
      <color theme="1"/>
      <name val="游ゴシック"/>
      <family val="3"/>
      <charset val="128"/>
      <scheme val="minor"/>
    </font>
    <font>
      <sz val="11"/>
      <color rgb="FFFF0000"/>
      <name val="游明朝"/>
      <family val="1"/>
      <charset val="128"/>
    </font>
    <font>
      <b/>
      <sz val="12"/>
      <color theme="1"/>
      <name val="游明朝"/>
      <family val="1"/>
      <charset val="128"/>
    </font>
    <font>
      <b/>
      <sz val="10"/>
      <color theme="1"/>
      <name val="游明朝"/>
      <family val="1"/>
      <charset val="128"/>
    </font>
    <font>
      <b/>
      <vertAlign val="subscript"/>
      <sz val="10"/>
      <color theme="1"/>
      <name val="游明朝"/>
      <family val="1"/>
      <charset val="128"/>
    </font>
    <font>
      <b/>
      <sz val="9"/>
      <color theme="1"/>
      <name val="游明朝"/>
      <family val="1"/>
      <charset val="128"/>
    </font>
    <font>
      <b/>
      <vertAlign val="superscript"/>
      <sz val="9"/>
      <color theme="1"/>
      <name val="游明朝"/>
      <family val="1"/>
      <charset val="128"/>
    </font>
    <font>
      <b/>
      <sz val="11"/>
      <color rgb="FFFF0000"/>
      <name val="ＭＳ Ｐ明朝"/>
      <family val="1"/>
      <charset val="128"/>
    </font>
    <font>
      <sz val="11"/>
      <color rgb="FFFF0000"/>
      <name val="ＭＳ Ｐ明朝"/>
      <family val="1"/>
      <charset val="128"/>
    </font>
    <font>
      <sz val="14"/>
      <color rgb="FFFF0000"/>
      <name val="游明朝"/>
      <family val="1"/>
      <charset val="128"/>
    </font>
    <font>
      <b/>
      <sz val="12"/>
      <color rgb="FFFF0000"/>
      <name val="ＭＳ Ｐ明朝"/>
      <family val="1"/>
      <charset val="128"/>
    </font>
    <font>
      <b/>
      <sz val="10"/>
      <color theme="1"/>
      <name val="ＭＳ Ｐ明朝"/>
      <family val="1"/>
      <charset val="128"/>
    </font>
    <font>
      <sz val="11"/>
      <color theme="1"/>
      <name val="ＭＳ Ｐゴシック"/>
      <family val="3"/>
      <charset val="128"/>
    </font>
    <font>
      <b/>
      <sz val="11"/>
      <color theme="1"/>
      <name val="ＭＳ Ｐゴシック"/>
      <family val="3"/>
      <charset val="128"/>
    </font>
    <font>
      <b/>
      <sz val="11"/>
      <color theme="0"/>
      <name val="ＭＳ Ｐゴシック"/>
      <family val="3"/>
      <charset val="128"/>
    </font>
    <font>
      <b/>
      <sz val="14"/>
      <color theme="1"/>
      <name val="游ゴシック"/>
      <family val="3"/>
      <charset val="128"/>
      <scheme val="minor"/>
    </font>
  </fonts>
  <fills count="3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0" tint="-0.499984740745262"/>
        <bgColor indexed="64"/>
      </patternFill>
    </fill>
    <fill>
      <patternFill patternType="solid">
        <fgColor rgb="FFD9D9D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59996337778862885"/>
        <bgColor indexed="64"/>
      </patternFill>
    </fill>
    <fill>
      <patternFill patternType="solid">
        <fgColor theme="0" tint="-0.34998626667073579"/>
        <bgColor indexed="64"/>
      </patternFill>
    </fill>
    <fill>
      <patternFill patternType="solid">
        <fgColor theme="5" tint="0.39994506668294322"/>
        <bgColor indexed="64"/>
      </patternFill>
    </fill>
    <fill>
      <patternFill patternType="solid">
        <fgColor rgb="FFFFFFCC"/>
        <bgColor indexed="64"/>
      </patternFill>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theme="5" tint="0.79998168889431442"/>
        <bgColor indexed="64"/>
      </patternFill>
    </fill>
    <fill>
      <patternFill patternType="solid">
        <fgColor indexed="13"/>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59996337778862885"/>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3" tint="0.79998168889431442"/>
        <bgColor indexed="64"/>
      </patternFill>
    </fill>
  </fills>
  <borders count="2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double">
        <color indexed="64"/>
      </top>
      <bottom style="thin">
        <color indexed="64"/>
      </bottom>
      <diagonal/>
    </border>
    <border diagonalUp="1">
      <left style="medium">
        <color indexed="64"/>
      </left>
      <right/>
      <top style="double">
        <color indexed="64"/>
      </top>
      <bottom style="thin">
        <color indexed="64"/>
      </bottom>
      <diagonal style="thin">
        <color indexed="64"/>
      </diagonal>
    </border>
    <border>
      <left style="medium">
        <color indexed="64"/>
      </left>
      <right/>
      <top style="double">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bottom/>
      <diagonal/>
    </border>
    <border>
      <left style="medium">
        <color indexed="64"/>
      </left>
      <right style="thin">
        <color indexed="64"/>
      </right>
      <top/>
      <bottom style="double">
        <color indexed="64"/>
      </bottom>
      <diagonal/>
    </border>
    <border>
      <left/>
      <right/>
      <top style="double">
        <color indexed="64"/>
      </top>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diagonalUp="1">
      <left style="medium">
        <color indexed="64"/>
      </left>
      <right/>
      <top style="double">
        <color indexed="64"/>
      </top>
      <bottom style="medium">
        <color indexed="64"/>
      </bottom>
      <diagonal style="thin">
        <color indexed="64"/>
      </diagonal>
    </border>
    <border>
      <left style="thin">
        <color indexed="64"/>
      </left>
      <right style="medium">
        <color indexed="64"/>
      </right>
      <top style="double">
        <color indexed="64"/>
      </top>
      <bottom style="double">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bottom style="double">
        <color indexed="64"/>
      </bottom>
      <diagonal/>
    </border>
    <border diagonalUp="1">
      <left style="thin">
        <color indexed="64"/>
      </left>
      <right style="medium">
        <color indexed="64"/>
      </right>
      <top style="double">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uble">
        <color indexed="64"/>
      </top>
      <bottom/>
      <diagonal/>
    </border>
    <border diagonalUp="1">
      <left/>
      <right style="thin">
        <color indexed="64"/>
      </right>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medium">
        <color indexed="64"/>
      </left>
      <right/>
      <top style="medium">
        <color indexed="64"/>
      </top>
      <bottom style="hair">
        <color indexed="64"/>
      </bottom>
      <diagonal/>
    </border>
    <border diagonalUp="1">
      <left style="medium">
        <color indexed="64"/>
      </left>
      <right/>
      <top style="thin">
        <color indexed="64"/>
      </top>
      <bottom style="double">
        <color indexed="64"/>
      </bottom>
      <diagonal style="thin">
        <color indexed="64"/>
      </diagonal>
    </border>
    <border diagonalUp="1">
      <left style="medium">
        <color indexed="64"/>
      </left>
      <right/>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uble">
        <color indexed="64"/>
      </bottom>
      <diagonal/>
    </border>
    <border>
      <left style="medium">
        <color auto="1"/>
      </left>
      <right/>
      <top style="medium">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diagonal style="thin">
        <color indexed="64"/>
      </diagonal>
    </border>
    <border>
      <left style="double">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left/>
      <right/>
      <top/>
      <bottom style="hair">
        <color auto="1"/>
      </bottom>
      <diagonal/>
    </border>
    <border>
      <left/>
      <right style="thin">
        <color auto="1"/>
      </right>
      <top/>
      <bottom style="hair">
        <color auto="1"/>
      </bottom>
      <diagonal/>
    </border>
    <border>
      <left/>
      <right style="thin">
        <color indexed="64"/>
      </right>
      <top style="medium">
        <color indexed="64"/>
      </top>
      <bottom style="medium">
        <color indexed="64"/>
      </bottom>
      <diagonal/>
    </border>
    <border diagonalDown="1">
      <left style="thin">
        <color indexed="64"/>
      </left>
      <right style="thin">
        <color indexed="64"/>
      </right>
      <top/>
      <bottom style="thin">
        <color indexed="64"/>
      </bottom>
      <diagonal style="thin">
        <color indexed="64"/>
      </diagonal>
    </border>
  </borders>
  <cellStyleXfs count="16">
    <xf numFmtId="0" fontId="0" fillId="0" borderId="0">
      <alignment vertical="center"/>
    </xf>
    <xf numFmtId="0" fontId="3" fillId="0" borderId="0">
      <alignment vertical="center"/>
    </xf>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7" fillId="0" borderId="0">
      <alignment vertical="center"/>
    </xf>
    <xf numFmtId="0" fontId="7" fillId="0" borderId="0"/>
  </cellStyleXfs>
  <cellXfs count="2045">
    <xf numFmtId="0" fontId="0" fillId="0" borderId="0" xfId="0">
      <alignment vertical="center"/>
    </xf>
    <xf numFmtId="188" fontId="16" fillId="0" borderId="112" xfId="0" applyNumberFormat="1" applyFont="1" applyBorder="1" applyAlignment="1" applyProtection="1">
      <alignment horizontal="right" vertical="center" shrinkToFit="1"/>
      <protection hidden="1"/>
    </xf>
    <xf numFmtId="0" fontId="4" fillId="0" borderId="0" xfId="0" applyFont="1" applyProtection="1">
      <alignment vertical="center"/>
      <protection hidden="1"/>
    </xf>
    <xf numFmtId="0" fontId="14" fillId="0" borderId="0" xfId="0" applyFont="1" applyProtection="1">
      <alignment vertical="center"/>
      <protection hidden="1"/>
    </xf>
    <xf numFmtId="0" fontId="14" fillId="0" borderId="0" xfId="1" applyFont="1" applyProtection="1">
      <alignment vertical="center"/>
      <protection hidden="1"/>
    </xf>
    <xf numFmtId="14" fontId="14" fillId="0" borderId="0" xfId="1" applyNumberFormat="1" applyFont="1" applyProtection="1">
      <alignment vertical="center"/>
      <protection hidden="1"/>
    </xf>
    <xf numFmtId="0" fontId="14" fillId="0" borderId="5" xfId="1" applyFont="1" applyBorder="1" applyAlignment="1" applyProtection="1">
      <alignment horizontal="center" vertical="center"/>
      <protection hidden="1"/>
    </xf>
    <xf numFmtId="0" fontId="14" fillId="0" borderId="6" xfId="1" applyFont="1" applyBorder="1" applyProtection="1">
      <alignment vertical="center"/>
      <protection hidden="1"/>
    </xf>
    <xf numFmtId="0" fontId="14" fillId="0" borderId="10" xfId="0" applyFont="1" applyBorder="1" applyAlignment="1" applyProtection="1">
      <alignment horizontal="center" vertical="center"/>
      <protection hidden="1"/>
    </xf>
    <xf numFmtId="0" fontId="14" fillId="0" borderId="17" xfId="0" applyFont="1" applyBorder="1" applyAlignment="1" applyProtection="1">
      <alignment horizontal="centerContinuous" vertical="center"/>
      <protection hidden="1"/>
    </xf>
    <xf numFmtId="0" fontId="14" fillId="0" borderId="18" xfId="1" applyFont="1" applyBorder="1" applyProtection="1">
      <alignment vertical="center"/>
      <protection hidden="1"/>
    </xf>
    <xf numFmtId="0" fontId="14" fillId="0" borderId="21"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57" xfId="1" applyFont="1" applyBorder="1" applyAlignment="1" applyProtection="1">
      <alignment horizontal="distributed" vertical="center" wrapText="1" indent="1"/>
      <protection hidden="1"/>
    </xf>
    <xf numFmtId="0" fontId="14" fillId="0" borderId="90" xfId="1" applyFont="1" applyBorder="1" applyAlignment="1" applyProtection="1">
      <alignment horizontal="center" vertical="center" textRotation="255"/>
      <protection hidden="1"/>
    </xf>
    <xf numFmtId="0" fontId="14" fillId="0" borderId="90" xfId="0" applyFont="1" applyBorder="1" applyAlignment="1" applyProtection="1">
      <alignment horizontal="center" vertical="center" textRotation="255"/>
      <protection hidden="1"/>
    </xf>
    <xf numFmtId="0" fontId="14" fillId="0" borderId="90" xfId="1" applyFont="1" applyBorder="1" applyAlignment="1" applyProtection="1">
      <alignment horizontal="distributed" vertical="center" indent="1"/>
      <protection hidden="1"/>
    </xf>
    <xf numFmtId="180" fontId="14" fillId="0" borderId="90" xfId="2" applyNumberFormat="1" applyFont="1" applyFill="1" applyBorder="1" applyAlignment="1" applyProtection="1">
      <alignment horizontal="center" vertical="center" shrinkToFit="1"/>
      <protection hidden="1"/>
    </xf>
    <xf numFmtId="0" fontId="16" fillId="0" borderId="90" xfId="0" quotePrefix="1" applyFont="1" applyBorder="1" applyAlignment="1" applyProtection="1">
      <alignment horizontal="center" vertical="center" shrinkToFit="1"/>
      <protection hidden="1"/>
    </xf>
    <xf numFmtId="178" fontId="16" fillId="0" borderId="90" xfId="1" quotePrefix="1" applyNumberFormat="1"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textRotation="255"/>
      <protection hidden="1"/>
    </xf>
    <xf numFmtId="0" fontId="14" fillId="0" borderId="5" xfId="1" applyFont="1" applyBorder="1" applyAlignment="1" applyProtection="1">
      <alignment horizontal="distributed" vertical="center" indent="1"/>
      <protection hidden="1"/>
    </xf>
    <xf numFmtId="180" fontId="14" fillId="0" borderId="5" xfId="2" applyNumberFormat="1" applyFont="1" applyFill="1" applyBorder="1" applyAlignment="1" applyProtection="1">
      <alignment horizontal="center" vertical="center" shrinkToFit="1"/>
      <protection hidden="1"/>
    </xf>
    <xf numFmtId="178" fontId="16" fillId="0" borderId="5" xfId="0" quotePrefix="1" applyNumberFormat="1" applyFont="1" applyBorder="1" applyAlignment="1" applyProtection="1">
      <alignment horizontal="center" vertical="center" shrinkToFit="1"/>
      <protection hidden="1"/>
    </xf>
    <xf numFmtId="0" fontId="16" fillId="0" borderId="5" xfId="0" quotePrefix="1" applyFont="1" applyBorder="1" applyAlignment="1" applyProtection="1">
      <alignment horizontal="center" vertical="center" shrinkToFit="1"/>
      <protection hidden="1"/>
    </xf>
    <xf numFmtId="178" fontId="16" fillId="0" borderId="5" xfId="1" quotePrefix="1" applyNumberFormat="1" applyFont="1" applyBorder="1" applyAlignment="1" applyProtection="1">
      <alignment horizontal="center" vertical="center" shrinkToFit="1"/>
      <protection hidden="1"/>
    </xf>
    <xf numFmtId="0" fontId="14" fillId="0" borderId="87" xfId="0" applyFont="1" applyBorder="1" applyAlignment="1" applyProtection="1">
      <alignment horizontal="center" vertical="center"/>
      <protection hidden="1"/>
    </xf>
    <xf numFmtId="0" fontId="14" fillId="0" borderId="86" xfId="0" applyFont="1" applyBorder="1" applyAlignment="1" applyProtection="1">
      <alignment horizontal="center" vertical="center"/>
      <protection hidden="1"/>
    </xf>
    <xf numFmtId="0" fontId="14" fillId="0" borderId="62" xfId="0" applyFont="1" applyBorder="1" applyAlignment="1" applyProtection="1">
      <alignment horizontal="center" vertical="center" wrapText="1"/>
      <protection hidden="1"/>
    </xf>
    <xf numFmtId="0" fontId="14" fillId="0" borderId="68" xfId="0" applyFont="1" applyBorder="1" applyAlignment="1" applyProtection="1">
      <alignment horizontal="center" vertical="center" wrapText="1"/>
      <protection hidden="1"/>
    </xf>
    <xf numFmtId="0" fontId="14" fillId="0" borderId="64" xfId="0" applyFont="1" applyBorder="1" applyAlignment="1" applyProtection="1">
      <alignment horizontal="center" vertical="center"/>
      <protection hidden="1"/>
    </xf>
    <xf numFmtId="0" fontId="14" fillId="0" borderId="99" xfId="0" applyFont="1" applyBorder="1" applyAlignment="1" applyProtection="1">
      <alignment horizontal="centerContinuous" vertical="center" wrapText="1"/>
      <protection hidden="1"/>
    </xf>
    <xf numFmtId="0" fontId="14" fillId="0" borderId="23"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protection hidden="1"/>
    </xf>
    <xf numFmtId="0" fontId="14" fillId="0" borderId="96" xfId="0" applyFont="1" applyBorder="1" applyAlignment="1" applyProtection="1">
      <alignment horizontal="center" vertical="center" wrapText="1"/>
      <protection hidden="1"/>
    </xf>
    <xf numFmtId="0" fontId="14" fillId="0" borderId="1" xfId="0" applyFont="1" applyBorder="1" applyAlignment="1" applyProtection="1">
      <alignment horizontal="center" vertical="center" shrinkToFit="1"/>
      <protection hidden="1"/>
    </xf>
    <xf numFmtId="177" fontId="14" fillId="0" borderId="0" xfId="0" applyNumberFormat="1" applyFont="1" applyAlignment="1" applyProtection="1">
      <alignment horizontal="right" vertical="center"/>
      <protection hidden="1"/>
    </xf>
    <xf numFmtId="0" fontId="14" fillId="0" borderId="0" xfId="0" applyFont="1" applyAlignment="1" applyProtection="1">
      <alignment horizontal="center" vertical="center"/>
      <protection hidden="1"/>
    </xf>
    <xf numFmtId="178" fontId="16" fillId="5" borderId="1" xfId="0" applyNumberFormat="1" applyFont="1" applyFill="1" applyBorder="1" applyAlignment="1" applyProtection="1">
      <alignment vertical="center" shrinkToFit="1"/>
      <protection locked="0"/>
    </xf>
    <xf numFmtId="181" fontId="14" fillId="0" borderId="1" xfId="2" applyNumberFormat="1" applyFont="1" applyFill="1" applyBorder="1" applyAlignment="1" applyProtection="1">
      <alignment horizontal="center" vertical="center" shrinkToFit="1"/>
      <protection hidden="1"/>
    </xf>
    <xf numFmtId="0" fontId="14" fillId="0" borderId="0" xfId="0" applyFont="1" applyAlignment="1" applyProtection="1">
      <alignment vertical="center" shrinkToFit="1"/>
      <protection hidden="1"/>
    </xf>
    <xf numFmtId="0" fontId="14" fillId="0" borderId="0" xfId="0" applyFont="1" applyAlignment="1" applyProtection="1">
      <alignment horizontal="center" vertical="center" textRotation="255"/>
      <protection hidden="1"/>
    </xf>
    <xf numFmtId="0" fontId="14" fillId="0" borderId="0" xfId="0" applyFont="1" applyAlignment="1" applyProtection="1">
      <alignment horizontal="distributed" vertical="center" indent="1"/>
      <protection hidden="1"/>
    </xf>
    <xf numFmtId="178" fontId="16" fillId="0" borderId="0" xfId="0" applyNumberFormat="1" applyFont="1" applyAlignment="1" applyProtection="1">
      <alignment vertical="center" shrinkToFit="1"/>
      <protection locked="0"/>
    </xf>
    <xf numFmtId="0" fontId="14" fillId="0" borderId="0" xfId="0" applyFont="1" applyAlignment="1" applyProtection="1">
      <alignment horizontal="center" vertical="center" shrinkToFit="1"/>
      <protection hidden="1"/>
    </xf>
    <xf numFmtId="0" fontId="14" fillId="0" borderId="60" xfId="0" applyFont="1" applyBorder="1" applyAlignment="1" applyProtection="1">
      <alignment horizontal="center" vertical="center"/>
      <protection hidden="1"/>
    </xf>
    <xf numFmtId="178" fontId="16" fillId="5" borderId="24" xfId="0" applyNumberFormat="1" applyFont="1" applyFill="1" applyBorder="1" applyAlignment="1" applyProtection="1">
      <alignment vertical="center" shrinkToFit="1"/>
      <protection locked="0"/>
    </xf>
    <xf numFmtId="178" fontId="16" fillId="5" borderId="33" xfId="0" applyNumberFormat="1" applyFont="1" applyFill="1" applyBorder="1" applyAlignment="1" applyProtection="1">
      <alignment vertical="center" shrinkToFit="1"/>
      <protection locked="0"/>
    </xf>
    <xf numFmtId="178" fontId="16" fillId="5" borderId="32" xfId="0" applyNumberFormat="1" applyFont="1" applyFill="1" applyBorder="1" applyAlignment="1" applyProtection="1">
      <alignment vertical="center" shrinkToFit="1"/>
      <protection locked="0"/>
    </xf>
    <xf numFmtId="0" fontId="14" fillId="0" borderId="55" xfId="0" applyFont="1" applyBorder="1" applyAlignment="1" applyProtection="1">
      <alignment horizontal="center" vertical="center"/>
      <protection hidden="1"/>
    </xf>
    <xf numFmtId="0" fontId="14" fillId="0" borderId="55" xfId="0" applyFont="1" applyBorder="1" applyAlignment="1" applyProtection="1">
      <alignment horizontal="center" vertical="center" shrinkToFit="1"/>
      <protection hidden="1"/>
    </xf>
    <xf numFmtId="0" fontId="14" fillId="0" borderId="0" xfId="0" applyFont="1">
      <alignment vertical="center"/>
    </xf>
    <xf numFmtId="0" fontId="14" fillId="4" borderId="55" xfId="0" applyFont="1" applyFill="1" applyBorder="1" applyAlignment="1" applyProtection="1">
      <alignment vertical="center" shrinkToFit="1"/>
      <protection hidden="1"/>
    </xf>
    <xf numFmtId="0" fontId="14" fillId="4" borderId="1" xfId="0" applyFont="1" applyFill="1" applyBorder="1" applyAlignment="1" applyProtection="1">
      <alignment vertical="center" shrinkToFit="1"/>
      <protection hidden="1"/>
    </xf>
    <xf numFmtId="0" fontId="14" fillId="4" borderId="60" xfId="0" applyFont="1" applyFill="1" applyBorder="1" applyAlignment="1" applyProtection="1">
      <alignment vertical="center" shrinkToFit="1"/>
      <protection hidden="1"/>
    </xf>
    <xf numFmtId="0" fontId="14" fillId="4" borderId="1" xfId="0" applyFont="1" applyFill="1" applyBorder="1" applyAlignment="1" applyProtection="1">
      <alignment vertical="center" shrinkToFit="1"/>
      <protection locked="0"/>
    </xf>
    <xf numFmtId="0" fontId="14" fillId="0" borderId="111" xfId="0" applyFont="1" applyBorder="1">
      <alignment vertical="center"/>
    </xf>
    <xf numFmtId="0" fontId="14" fillId="0" borderId="109" xfId="0" applyFont="1" applyBorder="1">
      <alignment vertical="center"/>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6" xfId="0" applyFont="1" applyBorder="1" applyAlignment="1">
      <alignment horizontal="center" vertical="center" wrapText="1"/>
    </xf>
    <xf numFmtId="0" fontId="14" fillId="0" borderId="125" xfId="0" applyFont="1" applyBorder="1" applyAlignment="1">
      <alignment horizontal="center" vertical="center" wrapText="1"/>
    </xf>
    <xf numFmtId="0" fontId="14" fillId="0" borderId="121" xfId="0" applyFont="1" applyBorder="1" applyProtection="1">
      <alignment vertical="center"/>
      <protection hidden="1"/>
    </xf>
    <xf numFmtId="0" fontId="14" fillId="4" borderId="0" xfId="0" applyFont="1" applyFill="1" applyProtection="1">
      <alignment vertical="center"/>
      <protection hidden="1"/>
    </xf>
    <xf numFmtId="0" fontId="14" fillId="4" borderId="0" xfId="0" applyFont="1" applyFill="1" applyAlignment="1" applyProtection="1">
      <alignment horizontal="center" vertical="center"/>
      <protection hidden="1"/>
    </xf>
    <xf numFmtId="0" fontId="14" fillId="0" borderId="90" xfId="0" applyFont="1" applyBorder="1" applyProtection="1">
      <alignment vertical="center"/>
      <protection hidden="1"/>
    </xf>
    <xf numFmtId="0" fontId="20" fillId="0" borderId="0" xfId="0" applyFont="1" applyProtection="1">
      <alignment vertical="center"/>
      <protection hidden="1"/>
    </xf>
    <xf numFmtId="0" fontId="22" fillId="0" borderId="0" xfId="0" applyFont="1" applyAlignment="1" applyProtection="1">
      <alignment horizontal="left" vertical="center"/>
      <protection hidden="1"/>
    </xf>
    <xf numFmtId="0" fontId="23" fillId="4" borderId="0" xfId="0" applyFont="1" applyFill="1" applyProtection="1">
      <alignment vertical="center"/>
      <protection hidden="1"/>
    </xf>
    <xf numFmtId="0" fontId="19" fillId="4" borderId="0" xfId="0" applyFont="1" applyFill="1" applyProtection="1">
      <alignment vertical="center"/>
      <protection hidden="1"/>
    </xf>
    <xf numFmtId="0" fontId="20" fillId="4" borderId="0" xfId="0" applyFont="1" applyFill="1" applyProtection="1">
      <alignment vertical="center"/>
      <protection hidden="1"/>
    </xf>
    <xf numFmtId="0" fontId="30" fillId="0" borderId="0" xfId="0" applyFont="1" applyAlignment="1" applyProtection="1">
      <alignment horizontal="center" vertical="center"/>
      <protection hidden="1"/>
    </xf>
    <xf numFmtId="0" fontId="31" fillId="0" borderId="0" xfId="0" applyFont="1" applyAlignment="1" applyProtection="1">
      <alignment horizontal="center" vertical="center"/>
      <protection hidden="1"/>
    </xf>
    <xf numFmtId="0" fontId="33" fillId="0" borderId="0" xfId="0" applyFont="1" applyProtection="1">
      <alignment vertical="center"/>
      <protection hidden="1"/>
    </xf>
    <xf numFmtId="0" fontId="33" fillId="0" borderId="0" xfId="0" applyFont="1" applyAlignment="1" applyProtection="1">
      <alignment horizontal="centerContinuous" vertical="center"/>
      <protection hidden="1"/>
    </xf>
    <xf numFmtId="0" fontId="33" fillId="4" borderId="0" xfId="0" applyFont="1" applyFill="1" applyProtection="1">
      <alignment vertical="center"/>
      <protection hidden="1"/>
    </xf>
    <xf numFmtId="0" fontId="24" fillId="4" borderId="0" xfId="0" applyFont="1" applyFill="1" applyProtection="1">
      <alignment vertical="center"/>
      <protection hidden="1"/>
    </xf>
    <xf numFmtId="0" fontId="14" fillId="0" borderId="5" xfId="0" applyFont="1" applyBorder="1" applyProtection="1">
      <alignment vertical="center"/>
      <protection hidden="1"/>
    </xf>
    <xf numFmtId="0" fontId="14" fillId="0" borderId="36" xfId="0" applyFont="1" applyBorder="1" applyProtection="1">
      <alignment vertical="center"/>
      <protection hidden="1"/>
    </xf>
    <xf numFmtId="0" fontId="14" fillId="0" borderId="34" xfId="0" applyFont="1" applyBorder="1" applyProtection="1">
      <alignment vertical="center"/>
      <protection hidden="1"/>
    </xf>
    <xf numFmtId="0" fontId="14" fillId="0" borderId="21" xfId="0" applyFont="1" applyBorder="1" applyProtection="1">
      <alignment vertical="center"/>
      <protection hidden="1"/>
    </xf>
    <xf numFmtId="0" fontId="14" fillId="0" borderId="25" xfId="0" applyFont="1" applyBorder="1" applyProtection="1">
      <alignment vertical="center"/>
      <protection hidden="1"/>
    </xf>
    <xf numFmtId="0" fontId="14" fillId="0" borderId="8" xfId="0" applyFont="1" applyBorder="1" applyProtection="1">
      <alignment vertical="center"/>
      <protection hidden="1"/>
    </xf>
    <xf numFmtId="0" fontId="14" fillId="4" borderId="0" xfId="0" applyFont="1" applyFill="1">
      <alignment vertical="center"/>
    </xf>
    <xf numFmtId="0" fontId="14" fillId="0" borderId="32" xfId="0" applyFont="1" applyBorder="1" applyAlignment="1" applyProtection="1">
      <alignment horizontal="distributed" vertical="center"/>
      <protection hidden="1"/>
    </xf>
    <xf numFmtId="0" fontId="14" fillId="6" borderId="1" xfId="0" applyFont="1" applyFill="1" applyBorder="1" applyAlignment="1" applyProtection="1">
      <alignment horizontal="center" vertical="center" shrinkToFit="1"/>
      <protection locked="0"/>
    </xf>
    <xf numFmtId="0" fontId="14" fillId="5" borderId="2" xfId="0" applyFont="1" applyFill="1" applyBorder="1" applyAlignment="1" applyProtection="1">
      <alignment vertical="center" shrinkToFit="1"/>
      <protection locked="0"/>
    </xf>
    <xf numFmtId="0" fontId="14" fillId="0" borderId="3" xfId="0" applyFont="1" applyBorder="1" applyAlignment="1" applyProtection="1">
      <alignment vertical="center" shrinkToFit="1"/>
      <protection hidden="1"/>
    </xf>
    <xf numFmtId="0" fontId="14" fillId="0" borderId="34" xfId="0" applyFont="1" applyBorder="1" applyAlignment="1" applyProtection="1">
      <alignment vertical="center" shrinkToFit="1"/>
      <protection hidden="1"/>
    </xf>
    <xf numFmtId="0" fontId="14" fillId="6" borderId="24" xfId="0" applyFont="1" applyFill="1" applyBorder="1" applyAlignment="1" applyProtection="1">
      <alignment horizontal="center" vertical="center" shrinkToFit="1"/>
      <protection locked="0"/>
    </xf>
    <xf numFmtId="0" fontId="14" fillId="5" borderId="23" xfId="0" applyFont="1" applyFill="1" applyBorder="1" applyAlignment="1" applyProtection="1">
      <alignment vertical="center" shrinkToFit="1"/>
      <protection locked="0"/>
    </xf>
    <xf numFmtId="0" fontId="14" fillId="0" borderId="22" xfId="0" applyFont="1" applyBorder="1" applyAlignment="1" applyProtection="1">
      <alignment vertical="center" shrinkToFit="1"/>
      <protection hidden="1"/>
    </xf>
    <xf numFmtId="0" fontId="14" fillId="0" borderId="25" xfId="0" applyFont="1" applyBorder="1" applyAlignment="1" applyProtection="1">
      <alignment vertical="center" shrinkToFit="1"/>
      <protection hidden="1"/>
    </xf>
    <xf numFmtId="0" fontId="14" fillId="0" borderId="120" xfId="0" applyFont="1" applyBorder="1" applyAlignment="1" applyProtection="1">
      <alignment horizontal="right" vertical="center"/>
      <protection hidden="1"/>
    </xf>
    <xf numFmtId="0" fontId="19" fillId="0" borderId="0" xfId="0" applyFont="1" applyAlignment="1" applyProtection="1">
      <alignment vertical="center" shrinkToFit="1"/>
      <protection hidden="1"/>
    </xf>
    <xf numFmtId="0" fontId="35" fillId="4" borderId="0" xfId="0" applyFont="1" applyFill="1" applyProtection="1">
      <alignment vertical="center"/>
      <protection hidden="1"/>
    </xf>
    <xf numFmtId="49" fontId="14" fillId="4" borderId="0" xfId="0" applyNumberFormat="1" applyFont="1" applyFill="1" applyProtection="1">
      <alignment vertical="center"/>
      <protection hidden="1"/>
    </xf>
    <xf numFmtId="49" fontId="35" fillId="4" borderId="0" xfId="0" applyNumberFormat="1" applyFont="1" applyFill="1" applyProtection="1">
      <alignment vertical="center"/>
      <protection hidden="1"/>
    </xf>
    <xf numFmtId="49" fontId="24" fillId="4" borderId="0" xfId="0" applyNumberFormat="1" applyFont="1" applyFill="1" applyProtection="1">
      <alignment vertical="center"/>
      <protection hidden="1"/>
    </xf>
    <xf numFmtId="49" fontId="36" fillId="4" borderId="0" xfId="0" applyNumberFormat="1" applyFont="1" applyFill="1" applyProtection="1">
      <alignment vertical="center"/>
      <protection hidden="1"/>
    </xf>
    <xf numFmtId="49" fontId="37" fillId="4" borderId="0" xfId="0" applyNumberFormat="1" applyFont="1" applyFill="1" applyProtection="1">
      <alignment vertical="center"/>
      <protection hidden="1"/>
    </xf>
    <xf numFmtId="0" fontId="14" fillId="2" borderId="0" xfId="0" applyFont="1" applyFill="1">
      <alignment vertical="center"/>
    </xf>
    <xf numFmtId="0" fontId="21" fillId="0" borderId="0" xfId="0" applyFont="1" applyProtection="1">
      <alignment vertical="center"/>
      <protection hidden="1"/>
    </xf>
    <xf numFmtId="0" fontId="21" fillId="0" borderId="0" xfId="0" applyFont="1" applyAlignment="1" applyProtection="1">
      <alignment horizontal="center" vertical="center" textRotation="255"/>
      <protection hidden="1"/>
    </xf>
    <xf numFmtId="0" fontId="38" fillId="0" borderId="0" xfId="0" applyFont="1" applyAlignment="1" applyProtection="1">
      <alignment horizontal="distributed" vertical="center" wrapText="1" indent="1"/>
      <protection hidden="1"/>
    </xf>
    <xf numFmtId="178" fontId="39" fillId="0" borderId="0" xfId="0" applyNumberFormat="1" applyFont="1" applyAlignment="1" applyProtection="1">
      <alignment vertical="center" shrinkToFit="1"/>
      <protection locked="0"/>
    </xf>
    <xf numFmtId="0" fontId="14" fillId="0" borderId="73" xfId="0" applyFont="1" applyBorder="1" applyProtection="1">
      <alignment vertical="center"/>
      <protection hidden="1"/>
    </xf>
    <xf numFmtId="0" fontId="14" fillId="0" borderId="2" xfId="1" applyFont="1" applyBorder="1" applyAlignment="1" applyProtection="1">
      <alignment horizontal="center" vertical="center" shrinkToFit="1"/>
      <protection hidden="1"/>
    </xf>
    <xf numFmtId="0" fontId="14" fillId="0" borderId="0" xfId="1" applyFont="1" applyAlignment="1" applyProtection="1">
      <alignment horizontal="center" vertical="center" shrinkToFit="1"/>
      <protection hidden="1"/>
    </xf>
    <xf numFmtId="178" fontId="16" fillId="0" borderId="90" xfId="0" quotePrefix="1" applyNumberFormat="1" applyFont="1" applyBorder="1" applyAlignment="1" applyProtection="1">
      <alignment horizontal="center" vertical="center" shrinkToFit="1"/>
      <protection hidden="1"/>
    </xf>
    <xf numFmtId="0" fontId="14" fillId="0" borderId="94" xfId="0" applyFont="1" applyBorder="1" applyAlignment="1" applyProtection="1">
      <alignment horizontal="center" vertical="center" wrapText="1"/>
      <protection hidden="1"/>
    </xf>
    <xf numFmtId="0" fontId="16" fillId="0" borderId="0" xfId="1" applyFont="1" applyAlignment="1" applyProtection="1">
      <alignment horizontal="right" vertical="center"/>
      <protection hidden="1"/>
    </xf>
    <xf numFmtId="49" fontId="0" fillId="0" borderId="0" xfId="0" applyNumberFormat="1">
      <alignment vertical="center"/>
    </xf>
    <xf numFmtId="0" fontId="0" fillId="0" borderId="0" xfId="0" applyProtection="1">
      <alignment vertical="center"/>
      <protection locked="0"/>
    </xf>
    <xf numFmtId="0" fontId="0" fillId="0" borderId="0" xfId="0" applyProtection="1">
      <alignment vertical="center"/>
      <protection hidden="1"/>
    </xf>
    <xf numFmtId="0" fontId="14" fillId="0" borderId="9"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32" xfId="0" applyFont="1" applyBorder="1" applyAlignment="1" applyProtection="1">
      <alignment horizontal="center" vertical="center"/>
      <protection hidden="1"/>
    </xf>
    <xf numFmtId="0" fontId="14" fillId="0" borderId="24" xfId="0" applyFont="1" applyBorder="1" applyAlignment="1" applyProtection="1">
      <alignment horizontal="center" vertical="center" wrapText="1"/>
      <protection hidden="1"/>
    </xf>
    <xf numFmtId="0" fontId="0" fillId="0" borderId="1" xfId="0" applyBorder="1">
      <alignment vertical="center"/>
    </xf>
    <xf numFmtId="0" fontId="16" fillId="0" borderId="5" xfId="0" applyFont="1" applyBorder="1" applyAlignment="1" applyProtection="1">
      <alignment vertical="center" shrinkToFit="1"/>
      <protection hidden="1"/>
    </xf>
    <xf numFmtId="0" fontId="14" fillId="0" borderId="32" xfId="0" applyFont="1" applyBorder="1" applyAlignment="1" applyProtection="1">
      <alignment horizontal="center" vertical="center" wrapText="1"/>
      <protection hidden="1"/>
    </xf>
    <xf numFmtId="0" fontId="0" fillId="0" borderId="135" xfId="0" applyBorder="1">
      <alignment vertical="center"/>
    </xf>
    <xf numFmtId="0" fontId="0" fillId="0" borderId="136" xfId="0" applyBorder="1">
      <alignment vertical="center"/>
    </xf>
    <xf numFmtId="189" fontId="0" fillId="0" borderId="136" xfId="0" applyNumberFormat="1" applyBorder="1">
      <alignment vertical="center"/>
    </xf>
    <xf numFmtId="190" fontId="0" fillId="0" borderId="136" xfId="0" applyNumberFormat="1" applyBorder="1">
      <alignment vertical="center"/>
    </xf>
    <xf numFmtId="0" fontId="0" fillId="0" borderId="137" xfId="0" applyBorder="1">
      <alignment vertical="center"/>
    </xf>
    <xf numFmtId="0" fontId="0" fillId="0" borderId="138" xfId="0" applyBorder="1">
      <alignment vertical="center"/>
    </xf>
    <xf numFmtId="0" fontId="0" fillId="0" borderId="139" xfId="0" applyBorder="1">
      <alignment vertical="center"/>
    </xf>
    <xf numFmtId="0" fontId="0" fillId="0" borderId="143" xfId="0" applyBorder="1">
      <alignment vertical="center"/>
    </xf>
    <xf numFmtId="0" fontId="0" fillId="0" borderId="144" xfId="0" applyBorder="1">
      <alignment vertical="center"/>
    </xf>
    <xf numFmtId="0" fontId="0" fillId="0" borderId="147" xfId="0" applyBorder="1">
      <alignment vertical="center"/>
    </xf>
    <xf numFmtId="0" fontId="0" fillId="0" borderId="145" xfId="0" applyBorder="1">
      <alignment vertical="center"/>
    </xf>
    <xf numFmtId="0" fontId="0" fillId="3" borderId="143" xfId="0" applyFill="1" applyBorder="1">
      <alignment vertical="center"/>
    </xf>
    <xf numFmtId="0" fontId="0" fillId="3" borderId="136" xfId="0" applyFill="1" applyBorder="1">
      <alignment vertical="center"/>
    </xf>
    <xf numFmtId="0" fontId="0" fillId="3" borderId="145" xfId="0" applyFill="1" applyBorder="1">
      <alignment vertical="center"/>
    </xf>
    <xf numFmtId="0" fontId="0" fillId="3" borderId="146" xfId="0" applyFill="1" applyBorder="1">
      <alignment vertical="center"/>
    </xf>
    <xf numFmtId="0" fontId="0" fillId="9" borderId="95" xfId="0" applyFill="1" applyBorder="1" applyAlignment="1">
      <alignment horizontal="center" vertical="center"/>
    </xf>
    <xf numFmtId="0" fontId="0" fillId="9" borderId="1" xfId="0" applyFill="1" applyBorder="1" applyAlignment="1">
      <alignment horizontal="center" vertical="center"/>
    </xf>
    <xf numFmtId="0" fontId="0" fillId="9" borderId="57" xfId="0" applyFill="1" applyBorder="1" applyAlignment="1">
      <alignment horizontal="center" vertical="center"/>
    </xf>
    <xf numFmtId="0" fontId="0" fillId="6" borderId="95" xfId="0" applyFill="1" applyBorder="1" applyAlignment="1">
      <alignment horizontal="center" vertical="center"/>
    </xf>
    <xf numFmtId="0" fontId="0" fillId="6" borderId="1" xfId="0" applyFill="1" applyBorder="1" applyAlignment="1">
      <alignment horizontal="center" vertical="center"/>
    </xf>
    <xf numFmtId="0" fontId="0" fillId="6" borderId="57" xfId="0" applyFill="1" applyBorder="1" applyAlignment="1">
      <alignment horizontal="center" vertical="center"/>
    </xf>
    <xf numFmtId="0" fontId="0" fillId="5" borderId="1" xfId="0" applyFill="1" applyBorder="1">
      <alignment vertical="center"/>
    </xf>
    <xf numFmtId="0" fontId="0" fillId="5" borderId="1" xfId="0" applyFill="1" applyBorder="1" applyAlignment="1">
      <alignment vertical="center" wrapText="1"/>
    </xf>
    <xf numFmtId="0" fontId="0" fillId="6" borderId="1" xfId="0" applyFill="1" applyBorder="1">
      <alignment vertical="center"/>
    </xf>
    <xf numFmtId="0" fontId="0" fillId="0" borderId="97" xfId="0" applyBorder="1">
      <alignment vertical="center"/>
    </xf>
    <xf numFmtId="193" fontId="0" fillId="0" borderId="143" xfId="0" applyNumberFormat="1" applyBorder="1">
      <alignment vertical="center"/>
    </xf>
    <xf numFmtId="193" fontId="0" fillId="0" borderId="143" xfId="0" applyNumberFormat="1" applyBorder="1" applyAlignment="1">
      <alignment horizontal="center" vertical="center"/>
    </xf>
    <xf numFmtId="0" fontId="0" fillId="2" borderId="143" xfId="0" applyFill="1" applyBorder="1">
      <alignment vertical="center"/>
    </xf>
    <xf numFmtId="190" fontId="0" fillId="2" borderId="136" xfId="0" applyNumberFormat="1" applyFill="1" applyBorder="1">
      <alignment vertical="center"/>
    </xf>
    <xf numFmtId="0" fontId="0" fillId="2" borderId="136" xfId="0" applyFill="1" applyBorder="1">
      <alignment vertical="center"/>
    </xf>
    <xf numFmtId="192" fontId="0" fillId="2" borderId="136" xfId="0" applyNumberFormat="1" applyFill="1" applyBorder="1">
      <alignment vertical="center"/>
    </xf>
    <xf numFmtId="0" fontId="0" fillId="0" borderId="136" xfId="0" applyBorder="1" applyAlignment="1">
      <alignment vertical="center" shrinkToFit="1"/>
    </xf>
    <xf numFmtId="0" fontId="0" fillId="0" borderId="135" xfId="0" applyBorder="1" applyAlignment="1">
      <alignment vertical="center" shrinkToFit="1"/>
    </xf>
    <xf numFmtId="0" fontId="0" fillId="0" borderId="137" xfId="0" applyBorder="1" applyAlignment="1">
      <alignment vertical="center" shrinkToFit="1"/>
    </xf>
    <xf numFmtId="0" fontId="0" fillId="0" borderId="146" xfId="0" applyBorder="1">
      <alignment vertical="center"/>
    </xf>
    <xf numFmtId="189" fontId="0" fillId="0" borderId="146" xfId="0" applyNumberFormat="1" applyBorder="1">
      <alignment vertical="center"/>
    </xf>
    <xf numFmtId="192" fontId="0" fillId="2" borderId="146" xfId="0" applyNumberFormat="1" applyFill="1" applyBorder="1">
      <alignment vertical="center"/>
    </xf>
    <xf numFmtId="0" fontId="0" fillId="2" borderId="146" xfId="0" applyFill="1" applyBorder="1">
      <alignment vertical="center"/>
    </xf>
    <xf numFmtId="0" fontId="0" fillId="0" borderId="142" xfId="0" applyBorder="1">
      <alignment vertical="center"/>
    </xf>
    <xf numFmtId="0" fontId="0" fillId="0" borderId="150" xfId="0" applyBorder="1">
      <alignment vertical="center"/>
    </xf>
    <xf numFmtId="0" fontId="14" fillId="0" borderId="0" xfId="0" applyFont="1" applyAlignment="1">
      <alignment vertical="center" shrinkToFit="1"/>
    </xf>
    <xf numFmtId="0" fontId="14" fillId="0" borderId="4" xfId="1" applyFont="1" applyBorder="1" applyAlignment="1" applyProtection="1">
      <alignment horizontal="center" vertical="center"/>
      <protection hidden="1"/>
    </xf>
    <xf numFmtId="0" fontId="0" fillId="7" borderId="135" xfId="0" applyFill="1" applyBorder="1">
      <alignment vertical="center"/>
    </xf>
    <xf numFmtId="0" fontId="0" fillId="7" borderId="136" xfId="0" applyFill="1" applyBorder="1">
      <alignment vertical="center"/>
    </xf>
    <xf numFmtId="0" fontId="0" fillId="7" borderId="137" xfId="0" applyFill="1" applyBorder="1">
      <alignment vertical="center"/>
    </xf>
    <xf numFmtId="0" fontId="0" fillId="0" borderId="148" xfId="0" applyBorder="1">
      <alignment vertical="center"/>
    </xf>
    <xf numFmtId="0" fontId="0" fillId="0" borderId="1" xfId="0" applyBorder="1" applyAlignment="1">
      <alignment horizontal="center" vertical="center"/>
    </xf>
    <xf numFmtId="0" fontId="14" fillId="0" borderId="12" xfId="0" applyFont="1" applyBorder="1" applyAlignment="1" applyProtection="1">
      <alignment horizontal="center" vertical="center" wrapText="1"/>
      <protection hidden="1"/>
    </xf>
    <xf numFmtId="14" fontId="14" fillId="0" borderId="35" xfId="0" applyNumberFormat="1" applyFont="1" applyBorder="1" applyAlignment="1" applyProtection="1">
      <alignment horizontal="center" vertical="center" textRotation="255" wrapText="1"/>
      <protection hidden="1"/>
    </xf>
    <xf numFmtId="0" fontId="14" fillId="0" borderId="56" xfId="0" applyFont="1" applyBorder="1" applyAlignment="1" applyProtection="1">
      <alignment horizontal="center" vertical="center" wrapText="1"/>
      <protection hidden="1"/>
    </xf>
    <xf numFmtId="0" fontId="0" fillId="0" borderId="38" xfId="0" applyBorder="1">
      <alignment vertical="center"/>
    </xf>
    <xf numFmtId="0" fontId="0" fillId="0" borderId="149" xfId="0" applyBorder="1">
      <alignment vertical="center"/>
    </xf>
    <xf numFmtId="0" fontId="0" fillId="0" borderId="140" xfId="0" applyBorder="1">
      <alignment vertical="center"/>
    </xf>
    <xf numFmtId="0" fontId="0" fillId="0" borderId="141" xfId="0" applyBorder="1">
      <alignment vertical="center"/>
    </xf>
    <xf numFmtId="0" fontId="0" fillId="0" borderId="1" xfId="0" applyBorder="1" applyAlignment="1">
      <alignment horizontal="center" vertical="center" wrapText="1"/>
    </xf>
    <xf numFmtId="192" fontId="14" fillId="10" borderId="33" xfId="0" applyNumberFormat="1" applyFont="1" applyFill="1" applyBorder="1">
      <alignment vertical="center"/>
    </xf>
    <xf numFmtId="192" fontId="14" fillId="8" borderId="1" xfId="0" applyNumberFormat="1" applyFont="1" applyFill="1" applyBorder="1">
      <alignment vertical="center"/>
    </xf>
    <xf numFmtId="0" fontId="0" fillId="2" borderId="1" xfId="0" applyFill="1" applyBorder="1" applyAlignment="1">
      <alignment horizontal="center" vertical="center"/>
    </xf>
    <xf numFmtId="191" fontId="0" fillId="0" borderId="135" xfId="0" applyNumberFormat="1" applyBorder="1">
      <alignment vertical="center"/>
    </xf>
    <xf numFmtId="191" fontId="0" fillId="0" borderId="136" xfId="0" applyNumberFormat="1" applyBorder="1">
      <alignment vertical="center"/>
    </xf>
    <xf numFmtId="0" fontId="0" fillId="2" borderId="37" xfId="0" applyFill="1" applyBorder="1">
      <alignment vertical="center"/>
    </xf>
    <xf numFmtId="0" fontId="0" fillId="0" borderId="151" xfId="0" applyBorder="1">
      <alignment vertical="center"/>
    </xf>
    <xf numFmtId="0" fontId="44" fillId="0" borderId="135" xfId="0" applyFont="1" applyBorder="1" applyAlignment="1">
      <alignment horizontal="left" vertical="center" shrinkToFit="1"/>
    </xf>
    <xf numFmtId="194" fontId="44" fillId="0" borderId="137" xfId="0" applyNumberFormat="1" applyFont="1" applyBorder="1" applyAlignment="1">
      <alignment horizontal="center" vertical="center"/>
    </xf>
    <xf numFmtId="0" fontId="44" fillId="0" borderId="135" xfId="0" applyFont="1" applyBorder="1" applyAlignment="1">
      <alignment vertical="center" shrinkToFit="1"/>
    </xf>
    <xf numFmtId="0" fontId="44" fillId="0" borderId="136" xfId="0" applyFont="1" applyBorder="1" applyAlignment="1">
      <alignment vertical="center" shrinkToFit="1"/>
    </xf>
    <xf numFmtId="0" fontId="44" fillId="0" borderId="136" xfId="0" applyFont="1" applyBorder="1" applyAlignment="1">
      <alignment horizontal="left" vertical="center" shrinkToFit="1"/>
    </xf>
    <xf numFmtId="194" fontId="44" fillId="0" borderId="136" xfId="0" applyNumberFormat="1" applyFont="1" applyBorder="1" applyAlignment="1">
      <alignment horizontal="center" vertical="center"/>
    </xf>
    <xf numFmtId="49" fontId="44" fillId="0" borderId="135" xfId="0" quotePrefix="1" applyNumberFormat="1" applyFont="1" applyBorder="1" applyAlignment="1">
      <alignment horizontal="center" vertical="center"/>
    </xf>
    <xf numFmtId="49" fontId="44" fillId="0" borderId="136" xfId="0" quotePrefix="1" applyNumberFormat="1" applyFont="1" applyBorder="1" applyAlignment="1">
      <alignment horizontal="center" vertical="center"/>
    </xf>
    <xf numFmtId="49" fontId="44" fillId="0" borderId="136" xfId="0" applyNumberFormat="1" applyFont="1" applyBorder="1" applyAlignment="1">
      <alignment horizontal="center" vertical="center"/>
    </xf>
    <xf numFmtId="0" fontId="45" fillId="0" borderId="136" xfId="0" applyFont="1" applyBorder="1" applyAlignment="1">
      <alignment horizontal="center" vertical="center" shrinkToFit="1"/>
    </xf>
    <xf numFmtId="49" fontId="44" fillId="0" borderId="137" xfId="0" applyNumberFormat="1" applyFont="1" applyBorder="1" applyAlignment="1">
      <alignment horizontal="center" vertical="center"/>
    </xf>
    <xf numFmtId="0" fontId="44" fillId="0" borderId="137" xfId="0" applyFont="1" applyBorder="1" applyAlignment="1">
      <alignment horizontal="left" vertical="center" shrinkToFit="1"/>
    </xf>
    <xf numFmtId="0" fontId="0" fillId="7" borderId="1" xfId="0" applyFill="1" applyBorder="1" applyAlignment="1">
      <alignment horizontal="center" vertical="center"/>
    </xf>
    <xf numFmtId="0" fontId="0" fillId="0" borderId="0" xfId="0" applyAlignment="1">
      <alignment horizontal="center" vertical="center"/>
    </xf>
    <xf numFmtId="197" fontId="44" fillId="0" borderId="135" xfId="6" applyNumberFormat="1" applyFont="1" applyBorder="1" applyAlignment="1">
      <alignment horizontal="right" vertical="center" shrinkToFit="1"/>
    </xf>
    <xf numFmtId="197" fontId="44" fillId="0" borderId="136" xfId="6" applyNumberFormat="1" applyFont="1" applyBorder="1" applyAlignment="1">
      <alignment horizontal="right" vertical="center" shrinkToFit="1"/>
    </xf>
    <xf numFmtId="194" fontId="44" fillId="0" borderId="136" xfId="0" applyNumberFormat="1" applyFont="1" applyBorder="1" applyAlignment="1">
      <alignment horizontal="right" vertical="center"/>
    </xf>
    <xf numFmtId="197" fontId="0" fillId="0" borderId="136" xfId="6" applyNumberFormat="1" applyFont="1" applyBorder="1" applyAlignment="1">
      <alignment horizontal="right" vertical="center" shrinkToFit="1"/>
    </xf>
    <xf numFmtId="197" fontId="44" fillId="0" borderId="136" xfId="6" applyNumberFormat="1" applyFont="1" applyBorder="1" applyAlignment="1">
      <alignment horizontal="right" vertical="center"/>
    </xf>
    <xf numFmtId="197" fontId="44" fillId="0" borderId="137" xfId="6" applyNumberFormat="1" applyFont="1" applyBorder="1" applyAlignment="1">
      <alignment horizontal="right" vertical="center" shrinkToFit="1"/>
    </xf>
    <xf numFmtId="3" fontId="0" fillId="0" borderId="135" xfId="0" applyNumberFormat="1" applyBorder="1">
      <alignment vertical="center"/>
    </xf>
    <xf numFmtId="3" fontId="0" fillId="0" borderId="136" xfId="0" applyNumberFormat="1" applyBorder="1">
      <alignment vertical="center"/>
    </xf>
    <xf numFmtId="3" fontId="0" fillId="0" borderId="137" xfId="0" applyNumberFormat="1" applyBorder="1">
      <alignment vertical="center"/>
    </xf>
    <xf numFmtId="198" fontId="0" fillId="0" borderId="135" xfId="0" applyNumberFormat="1" applyBorder="1">
      <alignment vertical="center"/>
    </xf>
    <xf numFmtId="198" fontId="0" fillId="0" borderId="136" xfId="0" applyNumberFormat="1" applyBorder="1">
      <alignment vertical="center"/>
    </xf>
    <xf numFmtId="198" fontId="0" fillId="0" borderId="137" xfId="0" applyNumberFormat="1" applyBorder="1">
      <alignment vertical="center"/>
    </xf>
    <xf numFmtId="0" fontId="0" fillId="0" borderId="33" xfId="0" applyBorder="1">
      <alignment vertical="center"/>
    </xf>
    <xf numFmtId="0" fontId="14" fillId="0" borderId="96" xfId="0" applyFont="1" applyBorder="1" applyAlignment="1" applyProtection="1">
      <alignment horizontal="center" vertical="center"/>
      <protection hidden="1"/>
    </xf>
    <xf numFmtId="0" fontId="14" fillId="0" borderId="53" xfId="0" applyFont="1" applyBorder="1" applyAlignment="1">
      <alignment vertical="center" shrinkToFit="1"/>
    </xf>
    <xf numFmtId="0" fontId="14" fillId="0" borderId="3" xfId="0" applyFont="1" applyBorder="1" applyAlignment="1">
      <alignment vertical="center" shrinkToFit="1"/>
    </xf>
    <xf numFmtId="0" fontId="0" fillId="7" borderId="149" xfId="0" applyFill="1" applyBorder="1">
      <alignment vertical="center"/>
    </xf>
    <xf numFmtId="0" fontId="14" fillId="0" borderId="1" xfId="0" applyFont="1" applyBorder="1" applyAlignment="1" applyProtection="1">
      <alignment horizontal="center" vertical="center"/>
      <protection hidden="1"/>
    </xf>
    <xf numFmtId="0" fontId="14" fillId="0" borderId="33" xfId="0" applyFont="1" applyBorder="1" applyAlignment="1" applyProtection="1">
      <alignment horizontal="distributed" vertical="center" wrapText="1" indent="1"/>
      <protection hidden="1"/>
    </xf>
    <xf numFmtId="0" fontId="14" fillId="0" borderId="1"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wrapText="1" indent="1"/>
      <protection hidden="1"/>
    </xf>
    <xf numFmtId="0" fontId="24" fillId="4" borderId="0" xfId="0" applyFont="1" applyFill="1" applyAlignment="1" applyProtection="1">
      <alignment horizontal="center" vertical="center"/>
      <protection hidden="1"/>
    </xf>
    <xf numFmtId="0" fontId="14" fillId="2" borderId="1" xfId="0" applyFont="1" applyFill="1" applyBorder="1">
      <alignment vertical="center"/>
    </xf>
    <xf numFmtId="0" fontId="4" fillId="4" borderId="36" xfId="0" applyFont="1" applyFill="1" applyBorder="1" applyAlignment="1" applyProtection="1">
      <alignment horizontal="center" vertical="center"/>
      <protection hidden="1"/>
    </xf>
    <xf numFmtId="0" fontId="4" fillId="4" borderId="0" xfId="0" applyFont="1" applyFill="1" applyProtection="1">
      <alignment vertical="center"/>
      <protection hidden="1"/>
    </xf>
    <xf numFmtId="0" fontId="14" fillId="4" borderId="118" xfId="0" applyFont="1" applyFill="1" applyBorder="1">
      <alignment vertical="center"/>
    </xf>
    <xf numFmtId="176" fontId="14" fillId="4" borderId="0" xfId="0" applyNumberFormat="1" applyFont="1" applyFill="1" applyAlignment="1" applyProtection="1">
      <alignment horizontal="center" vertical="center" shrinkToFit="1"/>
      <protection hidden="1"/>
    </xf>
    <xf numFmtId="177" fontId="14" fillId="4" borderId="0" xfId="0" applyNumberFormat="1" applyFont="1" applyFill="1" applyAlignment="1" applyProtection="1">
      <alignment horizontal="right" vertical="center"/>
      <protection hidden="1"/>
    </xf>
    <xf numFmtId="0" fontId="14" fillId="4" borderId="0" xfId="0" applyFont="1" applyFill="1" applyAlignment="1" applyProtection="1">
      <alignment horizontal="right" vertical="center" shrinkToFit="1"/>
      <protection hidden="1"/>
    </xf>
    <xf numFmtId="0" fontId="14" fillId="4" borderId="0" xfId="0" applyFont="1" applyFill="1" applyAlignment="1" applyProtection="1">
      <alignment horizontal="right" vertical="center"/>
      <protection hidden="1"/>
    </xf>
    <xf numFmtId="199" fontId="14" fillId="4" borderId="42" xfId="2" applyNumberFormat="1" applyFont="1" applyFill="1" applyBorder="1" applyAlignment="1" applyProtection="1">
      <alignment horizontal="right" vertical="center" shrinkToFit="1"/>
      <protection hidden="1"/>
    </xf>
    <xf numFmtId="199" fontId="14" fillId="4" borderId="2" xfId="2" applyNumberFormat="1" applyFont="1" applyFill="1" applyBorder="1" applyAlignment="1" applyProtection="1">
      <alignment horizontal="right" vertical="center" shrinkToFit="1"/>
      <protection hidden="1"/>
    </xf>
    <xf numFmtId="199" fontId="14" fillId="4" borderId="62" xfId="2" applyNumberFormat="1" applyFont="1" applyFill="1" applyBorder="1" applyAlignment="1" applyProtection="1">
      <alignment horizontal="right" vertical="center" shrinkToFit="1"/>
      <protection hidden="1"/>
    </xf>
    <xf numFmtId="199" fontId="14" fillId="4" borderId="54" xfId="2" applyNumberFormat="1" applyFont="1" applyFill="1" applyBorder="1" applyAlignment="1" applyProtection="1">
      <alignment horizontal="right" vertical="center" shrinkToFit="1"/>
      <protection hidden="1"/>
    </xf>
    <xf numFmtId="199" fontId="14" fillId="4" borderId="23" xfId="2" applyNumberFormat="1" applyFont="1" applyFill="1" applyBorder="1" applyAlignment="1" applyProtection="1">
      <alignment horizontal="right" vertical="center" shrinkToFit="1"/>
      <protection hidden="1"/>
    </xf>
    <xf numFmtId="0" fontId="14" fillId="4" borderId="31" xfId="0" applyFont="1" applyFill="1" applyBorder="1" applyAlignment="1" applyProtection="1">
      <alignment horizontal="center" vertical="center" wrapText="1"/>
      <protection hidden="1"/>
    </xf>
    <xf numFmtId="0" fontId="14" fillId="4" borderId="3" xfId="0" applyFont="1" applyFill="1" applyBorder="1" applyAlignment="1" applyProtection="1">
      <alignment horizontal="center" vertical="center" wrapText="1"/>
      <protection hidden="1"/>
    </xf>
    <xf numFmtId="0" fontId="14" fillId="4" borderId="86" xfId="0" applyFont="1" applyFill="1" applyBorder="1" applyAlignment="1" applyProtection="1">
      <alignment horizontal="center" vertical="center" wrapText="1"/>
      <protection hidden="1"/>
    </xf>
    <xf numFmtId="0" fontId="14" fillId="4" borderId="152" xfId="0" applyFont="1" applyFill="1" applyBorder="1" applyAlignment="1" applyProtection="1">
      <alignment horizontal="center" vertical="center" wrapText="1"/>
      <protection hidden="1"/>
    </xf>
    <xf numFmtId="0" fontId="14" fillId="4" borderId="38" xfId="0" applyFont="1" applyFill="1" applyBorder="1" applyAlignment="1" applyProtection="1">
      <alignment horizontal="center" vertical="center" wrapText="1"/>
      <protection hidden="1"/>
    </xf>
    <xf numFmtId="0" fontId="14" fillId="4" borderId="53" xfId="0" applyFont="1" applyFill="1" applyBorder="1" applyAlignment="1" applyProtection="1">
      <alignment horizontal="center" vertical="center" wrapText="1"/>
      <protection hidden="1"/>
    </xf>
    <xf numFmtId="0" fontId="14" fillId="4" borderId="22" xfId="0" applyFont="1" applyFill="1" applyBorder="1" applyAlignment="1" applyProtection="1">
      <alignment horizontal="center" vertical="center" wrapText="1"/>
      <protection hidden="1"/>
    </xf>
    <xf numFmtId="0" fontId="14" fillId="0" borderId="31" xfId="0" applyFont="1" applyBorder="1" applyAlignment="1" applyProtection="1">
      <alignment horizontal="left" vertical="center" wrapText="1"/>
      <protection hidden="1"/>
    </xf>
    <xf numFmtId="0" fontId="14" fillId="0" borderId="94" xfId="0" applyFont="1" applyBorder="1" applyAlignment="1" applyProtection="1">
      <alignment horizontal="left" vertical="center" wrapText="1" indent="1"/>
      <protection hidden="1"/>
    </xf>
    <xf numFmtId="0" fontId="14" fillId="0" borderId="3" xfId="0" applyFont="1" applyBorder="1" applyAlignment="1" applyProtection="1">
      <alignment horizontal="left" vertical="center" wrapText="1"/>
      <protection hidden="1"/>
    </xf>
    <xf numFmtId="0" fontId="14" fillId="0" borderId="57" xfId="0" applyFont="1" applyBorder="1" applyAlignment="1" applyProtection="1">
      <alignment horizontal="left" vertical="center" wrapText="1" indent="1"/>
      <protection hidden="1"/>
    </xf>
    <xf numFmtId="0" fontId="14" fillId="0" borderId="129" xfId="0" applyFont="1" applyBorder="1" applyAlignment="1" applyProtection="1">
      <alignment horizontal="left" vertical="center" wrapText="1"/>
      <protection hidden="1"/>
    </xf>
    <xf numFmtId="0" fontId="14" fillId="0" borderId="86" xfId="0" applyFont="1" applyBorder="1" applyAlignment="1" applyProtection="1">
      <alignment horizontal="left" vertical="center" wrapText="1"/>
      <protection hidden="1"/>
    </xf>
    <xf numFmtId="0" fontId="14" fillId="0" borderId="152" xfId="0" applyFont="1" applyBorder="1" applyAlignment="1" applyProtection="1">
      <alignment horizontal="left" vertical="center" wrapText="1"/>
      <protection hidden="1"/>
    </xf>
    <xf numFmtId="0" fontId="14" fillId="0" borderId="131" xfId="0" applyFont="1" applyBorder="1" applyAlignment="1" applyProtection="1">
      <alignment horizontal="center" vertical="center" wrapText="1"/>
      <protection hidden="1"/>
    </xf>
    <xf numFmtId="0" fontId="14" fillId="0" borderId="38" xfId="0" applyFont="1" applyBorder="1" applyAlignment="1" applyProtection="1">
      <alignment horizontal="left" vertical="center" wrapText="1"/>
      <protection hidden="1"/>
    </xf>
    <xf numFmtId="0" fontId="14" fillId="0" borderId="130" xfId="0" applyFont="1" applyBorder="1" applyAlignment="1" applyProtection="1">
      <alignment horizontal="center" vertical="center" wrapText="1"/>
      <protection hidden="1"/>
    </xf>
    <xf numFmtId="0" fontId="14" fillId="0" borderId="129" xfId="0" applyFont="1" applyBorder="1" applyAlignment="1" applyProtection="1">
      <alignment horizontal="center" vertical="center" wrapText="1"/>
      <protection hidden="1"/>
    </xf>
    <xf numFmtId="0" fontId="14" fillId="0" borderId="132" xfId="0" applyFont="1" applyBorder="1" applyAlignment="1" applyProtection="1">
      <alignment horizontal="center" vertical="center" wrapText="1"/>
      <protection hidden="1"/>
    </xf>
    <xf numFmtId="0" fontId="14" fillId="0" borderId="53" xfId="0" applyFont="1" applyBorder="1" applyAlignment="1" applyProtection="1">
      <alignment horizontal="left" vertical="center" wrapText="1"/>
      <protection hidden="1"/>
    </xf>
    <xf numFmtId="0" fontId="14" fillId="0" borderId="134" xfId="0" applyFont="1" applyBorder="1" applyAlignment="1" applyProtection="1">
      <alignment horizontal="center" vertical="center" wrapText="1"/>
      <protection hidden="1"/>
    </xf>
    <xf numFmtId="0" fontId="14" fillId="0" borderId="128" xfId="0" applyFont="1" applyBorder="1" applyAlignment="1" applyProtection="1">
      <alignment horizontal="center" vertical="center" wrapText="1"/>
      <protection hidden="1"/>
    </xf>
    <xf numFmtId="0" fontId="14" fillId="2" borderId="60" xfId="0" applyFont="1" applyFill="1" applyBorder="1">
      <alignment vertical="center"/>
    </xf>
    <xf numFmtId="193" fontId="14" fillId="0" borderId="42" xfId="2" applyNumberFormat="1" applyFont="1" applyFill="1" applyBorder="1" applyAlignment="1" applyProtection="1">
      <alignment horizontal="right" vertical="center" shrinkToFit="1"/>
      <protection hidden="1"/>
    </xf>
    <xf numFmtId="193" fontId="14" fillId="0" borderId="2" xfId="2" applyNumberFormat="1" applyFont="1" applyFill="1" applyBorder="1" applyAlignment="1" applyProtection="1">
      <alignment horizontal="right" vertical="center" shrinkToFit="1"/>
      <protection hidden="1"/>
    </xf>
    <xf numFmtId="193" fontId="14" fillId="0" borderId="54" xfId="2" applyNumberFormat="1" applyFont="1" applyFill="1" applyBorder="1" applyAlignment="1" applyProtection="1">
      <alignment horizontal="right" vertical="center" shrinkToFit="1"/>
      <protection hidden="1"/>
    </xf>
    <xf numFmtId="193" fontId="14" fillId="0" borderId="1" xfId="2" applyNumberFormat="1" applyFont="1" applyFill="1" applyBorder="1" applyAlignment="1" applyProtection="1">
      <alignment horizontal="right" vertical="center" shrinkToFit="1"/>
      <protection hidden="1"/>
    </xf>
    <xf numFmtId="193" fontId="14" fillId="0" borderId="60" xfId="2" applyNumberFormat="1" applyFont="1" applyFill="1" applyBorder="1" applyAlignment="1" applyProtection="1">
      <alignment horizontal="right" vertical="center" shrinkToFit="1"/>
      <protection hidden="1"/>
    </xf>
    <xf numFmtId="193" fontId="14" fillId="0" borderId="72" xfId="2" applyNumberFormat="1" applyFont="1" applyFill="1" applyBorder="1" applyAlignment="1" applyProtection="1">
      <alignment horizontal="right" vertical="center" shrinkToFit="1"/>
      <protection hidden="1"/>
    </xf>
    <xf numFmtId="193" fontId="14" fillId="0" borderId="67" xfId="2" applyNumberFormat="1" applyFont="1" applyFill="1" applyBorder="1" applyAlignment="1" applyProtection="1">
      <alignment horizontal="right" vertical="center" shrinkToFit="1"/>
      <protection hidden="1"/>
    </xf>
    <xf numFmtId="193" fontId="14" fillId="0" borderId="91" xfId="2" applyNumberFormat="1" applyFont="1" applyFill="1" applyBorder="1" applyAlignment="1" applyProtection="1">
      <alignment horizontal="right" vertical="center" shrinkToFit="1"/>
      <protection hidden="1"/>
    </xf>
    <xf numFmtId="199" fontId="14" fillId="5" borderId="33" xfId="0" applyNumberFormat="1" applyFont="1" applyFill="1" applyBorder="1" applyAlignment="1" applyProtection="1">
      <alignment vertical="center" shrinkToFit="1"/>
      <protection locked="0"/>
    </xf>
    <xf numFmtId="199" fontId="14" fillId="5" borderId="1" xfId="0" applyNumberFormat="1" applyFont="1" applyFill="1" applyBorder="1" applyAlignment="1" applyProtection="1">
      <alignment vertical="center" shrinkToFit="1"/>
      <protection locked="0"/>
    </xf>
    <xf numFmtId="199" fontId="14" fillId="5" borderId="68" xfId="0" applyNumberFormat="1" applyFont="1" applyFill="1" applyBorder="1" applyAlignment="1" applyProtection="1">
      <alignment vertical="center" shrinkToFit="1"/>
      <protection locked="0"/>
    </xf>
    <xf numFmtId="199" fontId="14" fillId="5" borderId="55" xfId="0" applyNumberFormat="1" applyFont="1" applyFill="1" applyBorder="1" applyAlignment="1" applyProtection="1">
      <alignment vertical="center" shrinkToFit="1"/>
      <protection locked="0"/>
    </xf>
    <xf numFmtId="199" fontId="14" fillId="5" borderId="24" xfId="0" applyNumberFormat="1" applyFont="1" applyFill="1" applyBorder="1" applyAlignment="1" applyProtection="1">
      <alignment vertical="center" shrinkToFit="1"/>
      <protection locked="0"/>
    </xf>
    <xf numFmtId="178" fontId="14" fillId="0" borderId="31" xfId="1" applyNumberFormat="1" applyFont="1" applyBorder="1" applyAlignment="1" applyProtection="1">
      <alignment horizontal="right" vertical="center"/>
      <protection hidden="1"/>
    </xf>
    <xf numFmtId="178" fontId="14" fillId="0" borderId="3" xfId="1" applyNumberFormat="1" applyFont="1" applyBorder="1" applyAlignment="1" applyProtection="1">
      <alignment horizontal="right" vertical="center"/>
      <protection hidden="1"/>
    </xf>
    <xf numFmtId="178" fontId="14" fillId="0" borderId="86" xfId="1" applyNumberFormat="1" applyFont="1" applyBorder="1" applyAlignment="1" applyProtection="1">
      <alignment horizontal="right" vertical="center"/>
      <protection hidden="1"/>
    </xf>
    <xf numFmtId="178" fontId="14" fillId="0" borderId="53" xfId="1" applyNumberFormat="1" applyFont="1" applyBorder="1" applyAlignment="1" applyProtection="1">
      <alignment horizontal="right" vertical="center"/>
      <protection hidden="1"/>
    </xf>
    <xf numFmtId="178" fontId="16" fillId="0" borderId="106" xfId="1" applyNumberFormat="1" applyFont="1" applyBorder="1" applyAlignment="1" applyProtection="1">
      <alignment horizontal="right" vertical="center"/>
      <protection hidden="1"/>
    </xf>
    <xf numFmtId="178" fontId="16" fillId="0" borderId="58" xfId="1" applyNumberFormat="1" applyFont="1" applyBorder="1" applyAlignment="1" applyProtection="1">
      <alignment horizontal="right" vertical="center"/>
      <protection hidden="1"/>
    </xf>
    <xf numFmtId="178" fontId="16" fillId="0" borderId="87" xfId="1" applyNumberFormat="1" applyFont="1" applyBorder="1" applyAlignment="1" applyProtection="1">
      <alignment horizontal="right" vertical="center"/>
      <protection hidden="1"/>
    </xf>
    <xf numFmtId="178" fontId="16" fillId="0" borderId="80" xfId="1" applyNumberFormat="1" applyFont="1" applyBorder="1" applyAlignment="1" applyProtection="1">
      <alignment horizontal="right" vertical="center"/>
      <protection hidden="1"/>
    </xf>
    <xf numFmtId="178" fontId="16" fillId="0" borderId="94" xfId="1" applyNumberFormat="1" applyFont="1" applyBorder="1" applyAlignment="1" applyProtection="1">
      <alignment horizontal="right" vertical="center"/>
      <protection hidden="1"/>
    </xf>
    <xf numFmtId="178" fontId="16" fillId="0" borderId="1" xfId="1" applyNumberFormat="1" applyFont="1" applyBorder="1" applyAlignment="1" applyProtection="1">
      <alignment horizontal="right" vertical="center"/>
      <protection hidden="1"/>
    </xf>
    <xf numFmtId="178" fontId="16" fillId="0" borderId="57" xfId="1" applyNumberFormat="1" applyFont="1" applyBorder="1" applyAlignment="1" applyProtection="1">
      <alignment horizontal="right" vertical="center"/>
      <protection hidden="1"/>
    </xf>
    <xf numFmtId="178" fontId="16" fillId="0" borderId="69" xfId="1" applyNumberFormat="1" applyFont="1" applyBorder="1" applyAlignment="1" applyProtection="1">
      <alignment horizontal="right" vertical="center"/>
      <protection hidden="1"/>
    </xf>
    <xf numFmtId="178" fontId="16" fillId="0" borderId="78" xfId="1" applyNumberFormat="1" applyFont="1" applyBorder="1" applyAlignment="1" applyProtection="1">
      <alignment horizontal="right" vertical="center"/>
      <protection hidden="1"/>
    </xf>
    <xf numFmtId="178" fontId="16" fillId="0" borderId="85" xfId="1" applyNumberFormat="1" applyFont="1" applyBorder="1" applyAlignment="1" applyProtection="1">
      <alignment horizontal="right" vertical="center"/>
      <protection hidden="1"/>
    </xf>
    <xf numFmtId="178" fontId="16" fillId="0" borderId="102" xfId="1" quotePrefix="1" applyNumberFormat="1" applyFont="1" applyBorder="1" applyAlignment="1" applyProtection="1">
      <alignment horizontal="right" vertical="center"/>
      <protection hidden="1"/>
    </xf>
    <xf numFmtId="178" fontId="16" fillId="0" borderId="104" xfId="1" quotePrefix="1" applyNumberFormat="1" applyFont="1" applyBorder="1" applyAlignment="1" applyProtection="1">
      <alignment horizontal="right" vertical="center"/>
      <protection hidden="1"/>
    </xf>
    <xf numFmtId="0" fontId="16" fillId="0" borderId="94" xfId="1" applyFont="1" applyBorder="1" applyProtection="1">
      <alignment vertical="center"/>
      <protection hidden="1"/>
    </xf>
    <xf numFmtId="0" fontId="16" fillId="0" borderId="57" xfId="1" applyFont="1" applyBorder="1" applyProtection="1">
      <alignment vertical="center"/>
      <protection hidden="1"/>
    </xf>
    <xf numFmtId="0" fontId="16" fillId="0" borderId="96" xfId="1" applyFont="1" applyBorder="1" applyProtection="1">
      <alignment vertical="center"/>
      <protection hidden="1"/>
    </xf>
    <xf numFmtId="0" fontId="14" fillId="0" borderId="0" xfId="0" applyFont="1" applyAlignment="1" applyProtection="1">
      <alignment horizontal="distributed" vertical="center" wrapText="1" indent="1"/>
      <protection hidden="1"/>
    </xf>
    <xf numFmtId="0" fontId="14" fillId="0" borderId="24" xfId="0" applyFont="1" applyBorder="1" applyAlignment="1" applyProtection="1">
      <alignment horizontal="distributed" vertical="center" indent="1"/>
      <protection hidden="1"/>
    </xf>
    <xf numFmtId="0" fontId="14" fillId="0" borderId="32"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indent="1"/>
      <protection locked="0"/>
    </xf>
    <xf numFmtId="0" fontId="14" fillId="0" borderId="55" xfId="0" applyFont="1" applyBorder="1" applyAlignment="1" applyProtection="1">
      <alignment horizontal="distributed" vertical="center" shrinkToFit="1"/>
      <protection hidden="1"/>
    </xf>
    <xf numFmtId="0" fontId="14" fillId="0" borderId="1" xfId="0" applyFont="1" applyBorder="1" applyAlignment="1" applyProtection="1">
      <alignment horizontal="distributed" vertical="center" shrinkToFit="1"/>
      <protection hidden="1"/>
    </xf>
    <xf numFmtId="0" fontId="14" fillId="0" borderId="1" xfId="0" applyFont="1" applyBorder="1" applyAlignment="1" applyProtection="1">
      <alignment horizontal="distributed" vertical="center" wrapText="1" shrinkToFit="1"/>
      <protection hidden="1"/>
    </xf>
    <xf numFmtId="178" fontId="16" fillId="0" borderId="1" xfId="0" applyNumberFormat="1" applyFont="1" applyBorder="1" applyAlignment="1" applyProtection="1">
      <alignment vertical="center" shrinkToFit="1"/>
      <protection locked="0"/>
    </xf>
    <xf numFmtId="0" fontId="14" fillId="4" borderId="0" xfId="0" applyFont="1" applyFill="1" applyAlignment="1" applyProtection="1">
      <alignment vertical="center" shrinkToFit="1"/>
      <protection hidden="1"/>
    </xf>
    <xf numFmtId="0" fontId="14" fillId="4" borderId="0" xfId="0" quotePrefix="1" applyFont="1" applyFill="1" applyAlignment="1" applyProtection="1">
      <alignment vertical="center" shrinkToFit="1"/>
      <protection hidden="1"/>
    </xf>
    <xf numFmtId="0" fontId="14" fillId="4" borderId="42" xfId="0" applyFont="1" applyFill="1" applyBorder="1" applyAlignment="1" applyProtection="1">
      <alignment vertical="center" shrinkToFit="1"/>
      <protection hidden="1"/>
    </xf>
    <xf numFmtId="0" fontId="14" fillId="4" borderId="2" xfId="0" applyFont="1" applyFill="1" applyBorder="1" applyAlignment="1" applyProtection="1">
      <alignment vertical="center" shrinkToFit="1"/>
      <protection hidden="1"/>
    </xf>
    <xf numFmtId="0" fontId="14" fillId="4" borderId="23" xfId="0" applyFont="1" applyFill="1" applyBorder="1" applyAlignment="1" applyProtection="1">
      <alignment vertical="center" shrinkToFit="1"/>
      <protection hidden="1"/>
    </xf>
    <xf numFmtId="0" fontId="14" fillId="4" borderId="31" xfId="0" quotePrefix="1" applyFont="1" applyFill="1" applyBorder="1" applyAlignment="1" applyProtection="1">
      <alignment vertical="center" shrinkToFit="1"/>
      <protection hidden="1"/>
    </xf>
    <xf numFmtId="0" fontId="14" fillId="4" borderId="3" xfId="0" quotePrefix="1" applyFont="1" applyFill="1" applyBorder="1" applyAlignment="1" applyProtection="1">
      <alignment vertical="center" shrinkToFit="1"/>
      <protection hidden="1"/>
    </xf>
    <xf numFmtId="0" fontId="14" fillId="4" borderId="22" xfId="0" quotePrefix="1" applyFont="1" applyFill="1" applyBorder="1" applyAlignment="1" applyProtection="1">
      <alignment vertical="center" shrinkToFit="1"/>
      <protection hidden="1"/>
    </xf>
    <xf numFmtId="4" fontId="16" fillId="0" borderId="33" xfId="2" applyNumberFormat="1" applyFont="1" applyFill="1" applyBorder="1" applyAlignment="1" applyProtection="1">
      <alignment horizontal="center" vertical="center" shrinkToFit="1"/>
      <protection hidden="1"/>
    </xf>
    <xf numFmtId="4" fontId="16" fillId="0" borderId="1" xfId="2" applyNumberFormat="1" applyFont="1" applyFill="1" applyBorder="1" applyAlignment="1" applyProtection="1">
      <alignment horizontal="center" vertical="center" shrinkToFit="1"/>
      <protection hidden="1"/>
    </xf>
    <xf numFmtId="181" fontId="16" fillId="0" borderId="1" xfId="2" applyNumberFormat="1" applyFont="1" applyFill="1" applyBorder="1" applyAlignment="1" applyProtection="1">
      <alignment horizontal="center" vertical="center" shrinkToFit="1"/>
      <protection hidden="1"/>
    </xf>
    <xf numFmtId="182" fontId="16" fillId="0" borderId="1" xfId="2" applyNumberFormat="1" applyFont="1" applyFill="1" applyBorder="1" applyAlignment="1" applyProtection="1">
      <alignment horizontal="center" vertical="center" shrinkToFit="1"/>
      <protection hidden="1"/>
    </xf>
    <xf numFmtId="183" fontId="16" fillId="0" borderId="1" xfId="2" applyNumberFormat="1" applyFont="1" applyFill="1" applyBorder="1" applyAlignment="1" applyProtection="1">
      <alignment horizontal="center" vertical="center" shrinkToFit="1"/>
      <protection hidden="1"/>
    </xf>
    <xf numFmtId="179" fontId="16" fillId="0" borderId="1" xfId="2" applyNumberFormat="1" applyFont="1" applyFill="1" applyBorder="1" applyAlignment="1" applyProtection="1">
      <alignment horizontal="center" vertical="center" shrinkToFit="1"/>
      <protection hidden="1"/>
    </xf>
    <xf numFmtId="0" fontId="16" fillId="0" borderId="1" xfId="0" applyFont="1" applyBorder="1" applyAlignment="1" applyProtection="1">
      <alignment horizontal="center" vertical="center" shrinkToFit="1"/>
      <protection hidden="1"/>
    </xf>
    <xf numFmtId="0" fontId="16" fillId="0" borderId="24" xfId="0" applyFont="1" applyBorder="1" applyAlignment="1" applyProtection="1">
      <alignment horizontal="center" vertical="center" shrinkToFit="1"/>
      <protection hidden="1"/>
    </xf>
    <xf numFmtId="0" fontId="16" fillId="0" borderId="32" xfId="0" applyFont="1" applyBorder="1" applyAlignment="1" applyProtection="1">
      <alignment horizontal="center" vertical="center" shrinkToFit="1"/>
      <protection hidden="1"/>
    </xf>
    <xf numFmtId="184" fontId="16" fillId="0" borderId="1" xfId="0" applyNumberFormat="1" applyFont="1" applyBorder="1" applyAlignment="1" applyProtection="1">
      <alignment horizontal="center" vertical="center" shrinkToFit="1"/>
      <protection hidden="1"/>
    </xf>
    <xf numFmtId="185" fontId="16" fillId="0" borderId="1" xfId="0" applyNumberFormat="1" applyFont="1" applyBorder="1" applyAlignment="1" applyProtection="1">
      <alignment horizontal="center" vertical="center" shrinkToFit="1"/>
      <protection hidden="1"/>
    </xf>
    <xf numFmtId="0" fontId="16" fillId="5" borderId="1" xfId="0" applyFont="1" applyFill="1" applyBorder="1" applyAlignment="1" applyProtection="1">
      <alignment horizontal="center" vertical="center" shrinkToFit="1"/>
      <protection locked="0"/>
    </xf>
    <xf numFmtId="189" fontId="16" fillId="0" borderId="1" xfId="0" quotePrefix="1" applyNumberFormat="1" applyFont="1" applyBorder="1" applyAlignment="1" applyProtection="1">
      <alignment horizontal="center" vertical="center" shrinkToFit="1"/>
      <protection hidden="1"/>
    </xf>
    <xf numFmtId="178" fontId="14" fillId="4" borderId="55" xfId="0" applyNumberFormat="1" applyFont="1" applyFill="1" applyBorder="1" applyAlignment="1" applyProtection="1">
      <alignment vertical="center" shrinkToFit="1"/>
      <protection hidden="1"/>
    </xf>
    <xf numFmtId="178" fontId="14" fillId="4" borderId="1" xfId="0" applyNumberFormat="1" applyFont="1" applyFill="1" applyBorder="1" applyAlignment="1" applyProtection="1">
      <alignment vertical="center" shrinkToFit="1"/>
      <protection hidden="1"/>
    </xf>
    <xf numFmtId="178" fontId="14" fillId="4" borderId="1" xfId="0" applyNumberFormat="1" applyFont="1" applyFill="1" applyBorder="1" applyAlignment="1" applyProtection="1">
      <alignment vertical="center" shrinkToFit="1"/>
      <protection locked="0"/>
    </xf>
    <xf numFmtId="200" fontId="16" fillId="5" borderId="55" xfId="0" applyNumberFormat="1" applyFont="1" applyFill="1" applyBorder="1" applyAlignment="1" applyProtection="1">
      <alignment vertical="center" shrinkToFit="1"/>
      <protection locked="0"/>
    </xf>
    <xf numFmtId="200" fontId="16" fillId="5" borderId="1" xfId="0" applyNumberFormat="1" applyFont="1" applyFill="1" applyBorder="1" applyAlignment="1" applyProtection="1">
      <alignment vertical="center" shrinkToFit="1"/>
      <protection locked="0"/>
    </xf>
    <xf numFmtId="200" fontId="14" fillId="0" borderId="60" xfId="0" applyNumberFormat="1" applyFont="1" applyBorder="1" applyAlignment="1" applyProtection="1">
      <alignment vertical="center" shrinkToFit="1"/>
      <protection hidden="1"/>
    </xf>
    <xf numFmtId="0" fontId="14" fillId="0" borderId="117" xfId="0" applyFont="1" applyBorder="1">
      <alignment vertical="center"/>
    </xf>
    <xf numFmtId="0" fontId="14" fillId="0" borderId="118" xfId="0" applyFont="1" applyBorder="1">
      <alignment vertical="center"/>
    </xf>
    <xf numFmtId="0" fontId="14" fillId="0" borderId="119" xfId="0" applyFont="1" applyBorder="1">
      <alignment vertical="center"/>
    </xf>
    <xf numFmtId="0" fontId="14" fillId="0" borderId="33" xfId="0" applyFont="1" applyBorder="1">
      <alignment vertical="center"/>
    </xf>
    <xf numFmtId="0" fontId="14" fillId="0" borderId="1" xfId="0" applyFont="1" applyBorder="1">
      <alignment vertical="center"/>
    </xf>
    <xf numFmtId="0" fontId="17" fillId="0" borderId="68" xfId="0" applyFont="1" applyBorder="1" applyAlignment="1">
      <alignment horizontal="center" vertical="center" wrapText="1"/>
    </xf>
    <xf numFmtId="196" fontId="14" fillId="0" borderId="42" xfId="0" applyNumberFormat="1" applyFont="1" applyBorder="1">
      <alignment vertical="center"/>
    </xf>
    <xf numFmtId="196" fontId="14" fillId="0" borderId="33" xfId="0" applyNumberFormat="1" applyFont="1" applyBorder="1">
      <alignment vertical="center"/>
    </xf>
    <xf numFmtId="0" fontId="0" fillId="5" borderId="37" xfId="0" applyFill="1" applyBorder="1">
      <alignment vertical="center"/>
    </xf>
    <xf numFmtId="0" fontId="0" fillId="6" borderId="33" xfId="0" applyFill="1" applyBorder="1">
      <alignment vertical="center"/>
    </xf>
    <xf numFmtId="0" fontId="4" fillId="2" borderId="36" xfId="0" applyFont="1" applyFill="1" applyBorder="1" applyAlignment="1" applyProtection="1">
      <alignment horizontal="center" vertical="center"/>
      <protection hidden="1"/>
    </xf>
    <xf numFmtId="0" fontId="4" fillId="2" borderId="0" xfId="0" applyFont="1" applyFill="1" applyProtection="1">
      <alignment vertical="center"/>
      <protection hidden="1"/>
    </xf>
    <xf numFmtId="0" fontId="14" fillId="2" borderId="118" xfId="0" applyFont="1" applyFill="1" applyBorder="1">
      <alignment vertical="center"/>
    </xf>
    <xf numFmtId="196" fontId="14" fillId="2" borderId="42" xfId="0" applyNumberFormat="1" applyFont="1" applyFill="1" applyBorder="1">
      <alignment vertical="center"/>
    </xf>
    <xf numFmtId="0" fontId="14" fillId="2" borderId="42" xfId="0" applyFont="1" applyFill="1" applyBorder="1">
      <alignment vertical="center"/>
    </xf>
    <xf numFmtId="0" fontId="0" fillId="0" borderId="60" xfId="0" applyBorder="1">
      <alignment vertical="center"/>
    </xf>
    <xf numFmtId="0" fontId="0" fillId="0" borderId="0" xfId="0" applyAlignment="1">
      <alignment vertical="center" wrapText="1"/>
    </xf>
    <xf numFmtId="0" fontId="14" fillId="0" borderId="32" xfId="0" applyFont="1" applyBorder="1">
      <alignment vertical="center"/>
    </xf>
    <xf numFmtId="0" fontId="0" fillId="0" borderId="1" xfId="0" applyBorder="1" applyAlignment="1">
      <alignment vertical="center" wrapText="1"/>
    </xf>
    <xf numFmtId="188" fontId="16" fillId="0" borderId="29" xfId="2" applyNumberFormat="1" applyFont="1" applyFill="1" applyBorder="1" applyAlignment="1" applyProtection="1">
      <alignment horizontal="right" vertical="center" shrinkToFit="1"/>
      <protection hidden="1"/>
    </xf>
    <xf numFmtId="188" fontId="14" fillId="0" borderId="30" xfId="0" applyNumberFormat="1" applyFont="1" applyBorder="1" applyAlignment="1" applyProtection="1">
      <alignment horizontal="left" vertical="center" shrinkToFit="1"/>
      <protection hidden="1"/>
    </xf>
    <xf numFmtId="188" fontId="16" fillId="0" borderId="33" xfId="0" applyNumberFormat="1" applyFont="1" applyBorder="1" applyAlignment="1" applyProtection="1">
      <alignment horizontal="right" vertical="center" shrinkToFit="1"/>
      <protection hidden="1"/>
    </xf>
    <xf numFmtId="188" fontId="16" fillId="0" borderId="34" xfId="0" applyNumberFormat="1" applyFont="1" applyBorder="1" applyAlignment="1" applyProtection="1">
      <alignment horizontal="right" vertical="center" shrinkToFit="1"/>
      <protection hidden="1"/>
    </xf>
    <xf numFmtId="188" fontId="14" fillId="0" borderId="3" xfId="0" applyNumberFormat="1" applyFont="1" applyBorder="1" applyAlignment="1" applyProtection="1">
      <alignment horizontal="left" vertical="center" shrinkToFit="1"/>
      <protection hidden="1"/>
    </xf>
    <xf numFmtId="188" fontId="14" fillId="0" borderId="38" xfId="0" applyNumberFormat="1" applyFont="1" applyBorder="1" applyAlignment="1" applyProtection="1">
      <alignment horizontal="left" vertical="center" shrinkToFit="1"/>
      <protection hidden="1"/>
    </xf>
    <xf numFmtId="188" fontId="16" fillId="0" borderId="58" xfId="2" applyNumberFormat="1" applyFont="1" applyFill="1" applyBorder="1" applyAlignment="1" applyProtection="1">
      <alignment horizontal="right" vertical="center" shrinkToFit="1"/>
      <protection hidden="1"/>
    </xf>
    <xf numFmtId="188" fontId="14" fillId="0" borderId="3" xfId="0" applyNumberFormat="1" applyFont="1" applyBorder="1" applyAlignment="1" applyProtection="1">
      <alignment vertical="center" shrinkToFit="1"/>
      <protection hidden="1"/>
    </xf>
    <xf numFmtId="188" fontId="16" fillId="0" borderId="62" xfId="0" quotePrefix="1" applyNumberFormat="1" applyFont="1" applyBorder="1" applyAlignment="1" applyProtection="1">
      <alignment horizontal="right" vertical="center" shrinkToFit="1"/>
      <protection hidden="1"/>
    </xf>
    <xf numFmtId="188" fontId="16" fillId="0" borderId="68" xfId="1" quotePrefix="1" applyNumberFormat="1" applyFont="1" applyBorder="1" applyAlignment="1" applyProtection="1">
      <alignment horizontal="right" vertical="center" shrinkToFit="1"/>
      <protection hidden="1"/>
    </xf>
    <xf numFmtId="188" fontId="16" fillId="0" borderId="69" xfId="0" quotePrefix="1" applyNumberFormat="1" applyFont="1" applyBorder="1" applyAlignment="1" applyProtection="1">
      <alignment horizontal="right" vertical="center" shrinkToFit="1"/>
      <protection hidden="1"/>
    </xf>
    <xf numFmtId="188" fontId="16" fillId="0" borderId="51" xfId="2" applyNumberFormat="1" applyFont="1" applyFill="1" applyBorder="1" applyAlignment="1" applyProtection="1">
      <alignment horizontal="right" vertical="center" shrinkToFit="1"/>
      <protection hidden="1"/>
    </xf>
    <xf numFmtId="188" fontId="14" fillId="0" borderId="53" xfId="0" applyNumberFormat="1" applyFont="1" applyBorder="1" applyAlignment="1" applyProtection="1">
      <alignment horizontal="left" vertical="center" shrinkToFit="1"/>
      <protection hidden="1"/>
    </xf>
    <xf numFmtId="188" fontId="16" fillId="0" borderId="55" xfId="0" applyNumberFormat="1" applyFont="1" applyBorder="1" applyAlignment="1" applyProtection="1">
      <alignment horizontal="right" vertical="center" shrinkToFit="1"/>
      <protection hidden="1"/>
    </xf>
    <xf numFmtId="188" fontId="16" fillId="0" borderId="52" xfId="0" applyNumberFormat="1" applyFont="1" applyBorder="1" applyAlignment="1" applyProtection="1">
      <alignment horizontal="right" vertical="center" shrinkToFit="1"/>
      <protection hidden="1"/>
    </xf>
    <xf numFmtId="188" fontId="16" fillId="0" borderId="36" xfId="2" applyNumberFormat="1" applyFont="1" applyFill="1" applyBorder="1" applyAlignment="1" applyProtection="1">
      <alignment horizontal="right" vertical="center" shrinkToFit="1"/>
      <protection hidden="1"/>
    </xf>
    <xf numFmtId="188" fontId="16" fillId="0" borderId="60" xfId="0" applyNumberFormat="1" applyFont="1" applyBorder="1" applyAlignment="1" applyProtection="1">
      <alignment horizontal="right" vertical="center" shrinkToFit="1"/>
      <protection hidden="1"/>
    </xf>
    <xf numFmtId="188" fontId="16" fillId="0" borderId="61" xfId="0" applyNumberFormat="1" applyFont="1" applyBorder="1" applyAlignment="1" applyProtection="1">
      <alignment horizontal="right" vertical="center" shrinkToFit="1"/>
      <protection hidden="1"/>
    </xf>
    <xf numFmtId="188" fontId="14" fillId="0" borderId="60" xfId="0" applyNumberFormat="1" applyFont="1" applyBorder="1" applyAlignment="1" applyProtection="1">
      <alignment horizontal="right" vertical="center" shrinkToFit="1"/>
      <protection hidden="1"/>
    </xf>
    <xf numFmtId="188" fontId="16" fillId="0" borderId="57" xfId="0" applyNumberFormat="1" applyFont="1" applyBorder="1" applyAlignment="1" applyProtection="1">
      <alignment horizontal="right" vertical="center" shrinkToFit="1"/>
      <protection hidden="1"/>
    </xf>
    <xf numFmtId="188" fontId="16" fillId="0" borderId="45" xfId="0" quotePrefix="1" applyNumberFormat="1" applyFont="1" applyBorder="1" applyAlignment="1" applyProtection="1">
      <alignment horizontal="right" vertical="center" shrinkToFit="1"/>
      <protection hidden="1"/>
    </xf>
    <xf numFmtId="188" fontId="16" fillId="0" borderId="44" xfId="1" quotePrefix="1" applyNumberFormat="1" applyFont="1" applyBorder="1" applyAlignment="1" applyProtection="1">
      <alignment horizontal="right" vertical="center" shrinkToFit="1"/>
      <protection hidden="1"/>
    </xf>
    <xf numFmtId="188" fontId="16" fillId="0" borderId="59" xfId="0" applyNumberFormat="1" applyFont="1" applyBorder="1" applyAlignment="1" applyProtection="1">
      <alignment horizontal="right" vertical="center" shrinkToFit="1"/>
      <protection hidden="1"/>
    </xf>
    <xf numFmtId="188" fontId="16" fillId="0" borderId="60" xfId="0" applyNumberFormat="1" applyFont="1" applyBorder="1" applyAlignment="1" applyProtection="1">
      <alignment horizontal="center" vertical="center" shrinkToFit="1"/>
      <protection hidden="1"/>
    </xf>
    <xf numFmtId="188" fontId="16" fillId="0" borderId="61" xfId="0" applyNumberFormat="1" applyFont="1" applyBorder="1" applyAlignment="1" applyProtection="1">
      <alignment horizontal="center" vertical="center" shrinkToFit="1"/>
      <protection hidden="1"/>
    </xf>
    <xf numFmtId="188" fontId="16" fillId="0" borderId="60" xfId="0" applyNumberFormat="1" applyFont="1" applyBorder="1" applyAlignment="1" applyProtection="1">
      <alignment vertical="center" shrinkToFit="1"/>
      <protection hidden="1"/>
    </xf>
    <xf numFmtId="188" fontId="16" fillId="0" borderId="45" xfId="0" quotePrefix="1" applyNumberFormat="1" applyFont="1" applyBorder="1" applyAlignment="1" applyProtection="1">
      <alignment vertical="center" shrinkToFit="1"/>
      <protection hidden="1"/>
    </xf>
    <xf numFmtId="188" fontId="16" fillId="0" borderId="68" xfId="1" quotePrefix="1" applyNumberFormat="1" applyFont="1" applyBorder="1" applyAlignment="1" applyProtection="1">
      <alignment vertical="center" shrinkToFit="1"/>
      <protection hidden="1"/>
    </xf>
    <xf numFmtId="188" fontId="16" fillId="0" borderId="68" xfId="0" quotePrefix="1" applyNumberFormat="1" applyFont="1" applyBorder="1" applyAlignment="1" applyProtection="1">
      <alignment vertical="center" shrinkToFit="1"/>
      <protection hidden="1"/>
    </xf>
    <xf numFmtId="188" fontId="16" fillId="0" borderId="69" xfId="0" quotePrefix="1" applyNumberFormat="1" applyFont="1" applyBorder="1" applyAlignment="1" applyProtection="1">
      <alignment vertical="center" shrinkToFit="1"/>
      <protection hidden="1"/>
    </xf>
    <xf numFmtId="188" fontId="16" fillId="0" borderId="80" xfId="2" applyNumberFormat="1" applyFont="1" applyFill="1" applyBorder="1" applyAlignment="1" applyProtection="1">
      <alignment vertical="center" shrinkToFit="1"/>
      <protection hidden="1"/>
    </xf>
    <xf numFmtId="188" fontId="16" fillId="0" borderId="34" xfId="0" applyNumberFormat="1" applyFont="1" applyBorder="1" applyProtection="1">
      <alignment vertical="center"/>
      <protection hidden="1"/>
    </xf>
    <xf numFmtId="188" fontId="16" fillId="0" borderId="58" xfId="2" applyNumberFormat="1" applyFont="1" applyFill="1" applyBorder="1" applyAlignment="1" applyProtection="1">
      <alignment vertical="center" shrinkToFit="1"/>
      <protection hidden="1"/>
    </xf>
    <xf numFmtId="188" fontId="16" fillId="0" borderId="59" xfId="0" applyNumberFormat="1" applyFont="1" applyBorder="1" applyProtection="1">
      <alignment vertical="center"/>
      <protection hidden="1"/>
    </xf>
    <xf numFmtId="188" fontId="14" fillId="0" borderId="70" xfId="0" applyNumberFormat="1" applyFont="1" applyBorder="1" applyAlignment="1" applyProtection="1">
      <alignment vertical="center" shrinkToFit="1"/>
      <protection hidden="1"/>
    </xf>
    <xf numFmtId="188" fontId="20" fillId="0" borderId="72" xfId="0" applyNumberFormat="1" applyFont="1" applyBorder="1" applyAlignment="1" applyProtection="1">
      <alignment horizontal="right" vertical="center" indent="1" shrinkToFit="1"/>
      <protection hidden="1"/>
    </xf>
    <xf numFmtId="188" fontId="14" fillId="0" borderId="72" xfId="0" applyNumberFormat="1" applyFont="1" applyBorder="1" applyAlignment="1" applyProtection="1">
      <alignment vertical="center" shrinkToFit="1"/>
      <protection hidden="1"/>
    </xf>
    <xf numFmtId="188" fontId="16" fillId="0" borderId="78" xfId="0" applyNumberFormat="1" applyFont="1" applyBorder="1" applyAlignment="1" applyProtection="1">
      <alignment horizontal="right" vertical="center" shrinkToFit="1"/>
      <protection hidden="1"/>
    </xf>
    <xf numFmtId="188" fontId="14" fillId="0" borderId="41" xfId="0" applyNumberFormat="1" applyFont="1" applyBorder="1" applyAlignment="1" applyProtection="1">
      <alignment vertical="center" shrinkToFit="1"/>
      <protection hidden="1"/>
    </xf>
    <xf numFmtId="188" fontId="20" fillId="0" borderId="60" xfId="0" applyNumberFormat="1" applyFont="1" applyBorder="1" applyAlignment="1" applyProtection="1">
      <alignment horizontal="right" vertical="center" indent="1" shrinkToFit="1"/>
      <protection hidden="1"/>
    </xf>
    <xf numFmtId="188" fontId="14" fillId="0" borderId="60" xfId="0" applyNumberFormat="1" applyFont="1" applyBorder="1" applyAlignment="1" applyProtection="1">
      <alignment vertical="center" shrinkToFit="1"/>
      <protection hidden="1"/>
    </xf>
    <xf numFmtId="188" fontId="14" fillId="0" borderId="83" xfId="0" applyNumberFormat="1" applyFont="1" applyBorder="1" applyAlignment="1" applyProtection="1">
      <alignment vertical="center" shrinkToFit="1"/>
      <protection hidden="1"/>
    </xf>
    <xf numFmtId="188" fontId="20" fillId="0" borderId="84" xfId="0" applyNumberFormat="1" applyFont="1" applyBorder="1" applyAlignment="1" applyProtection="1">
      <alignment horizontal="right" vertical="center" indent="1" shrinkToFit="1"/>
      <protection hidden="1"/>
    </xf>
    <xf numFmtId="188" fontId="14" fillId="0" borderId="84" xfId="0" applyNumberFormat="1" applyFont="1" applyBorder="1" applyAlignment="1" applyProtection="1">
      <alignment vertical="center" shrinkToFit="1"/>
      <protection hidden="1"/>
    </xf>
    <xf numFmtId="188" fontId="16" fillId="0" borderId="76" xfId="0" quotePrefix="1" applyNumberFormat="1" applyFont="1" applyBorder="1" applyAlignment="1" applyProtection="1">
      <alignment horizontal="right" vertical="center" shrinkToFit="1"/>
      <protection hidden="1"/>
    </xf>
    <xf numFmtId="188" fontId="16" fillId="0" borderId="72" xfId="0" applyNumberFormat="1" applyFont="1" applyBorder="1" applyAlignment="1" applyProtection="1">
      <alignment horizontal="right" vertical="center" shrinkToFit="1"/>
      <protection hidden="1"/>
    </xf>
    <xf numFmtId="188" fontId="16" fillId="0" borderId="67" xfId="0" quotePrefix="1" applyNumberFormat="1" applyFont="1" applyBorder="1" applyAlignment="1" applyProtection="1">
      <alignment horizontal="right" vertical="center" shrinkToFit="1"/>
      <protection hidden="1"/>
    </xf>
    <xf numFmtId="188" fontId="16" fillId="0" borderId="51" xfId="2" applyNumberFormat="1" applyFont="1" applyFill="1" applyBorder="1" applyAlignment="1" applyProtection="1">
      <alignment vertical="center" shrinkToFit="1"/>
      <protection hidden="1"/>
    </xf>
    <xf numFmtId="188" fontId="16" fillId="0" borderId="72" xfId="0" applyNumberFormat="1" applyFont="1" applyBorder="1" applyAlignment="1" applyProtection="1">
      <alignment horizontal="center" vertical="center" shrinkToFit="1"/>
      <protection hidden="1"/>
    </xf>
    <xf numFmtId="188" fontId="16" fillId="0" borderId="29" xfId="2" applyNumberFormat="1" applyFont="1" applyFill="1" applyBorder="1" applyAlignment="1" applyProtection="1">
      <alignment vertical="center" shrinkToFit="1"/>
      <protection hidden="1"/>
    </xf>
    <xf numFmtId="188" fontId="16" fillId="0" borderId="67" xfId="0" quotePrefix="1" applyNumberFormat="1" applyFont="1" applyBorder="1" applyAlignment="1" applyProtection="1">
      <alignment horizontal="center" vertical="center" shrinkToFit="1"/>
      <protection hidden="1"/>
    </xf>
    <xf numFmtId="188" fontId="16" fillId="0" borderId="43" xfId="0" quotePrefix="1" applyNumberFormat="1" applyFont="1" applyBorder="1" applyAlignment="1" applyProtection="1">
      <alignment horizontal="right" vertical="center" shrinkToFit="1"/>
      <protection hidden="1"/>
    </xf>
    <xf numFmtId="188" fontId="16" fillId="0" borderId="20" xfId="0" quotePrefix="1" applyNumberFormat="1" applyFont="1" applyBorder="1" applyAlignment="1" applyProtection="1">
      <alignment horizontal="right" vertical="center" shrinkToFit="1"/>
      <protection hidden="1"/>
    </xf>
    <xf numFmtId="188" fontId="20" fillId="0" borderId="60" xfId="1" applyNumberFormat="1" applyFont="1" applyBorder="1" applyAlignment="1" applyProtection="1">
      <alignment horizontal="right" vertical="center" indent="1" shrinkToFit="1"/>
      <protection hidden="1"/>
    </xf>
    <xf numFmtId="188" fontId="14" fillId="0" borderId="60" xfId="1" applyNumberFormat="1" applyFont="1" applyBorder="1" applyAlignment="1" applyProtection="1">
      <alignment vertical="center" shrinkToFit="1"/>
      <protection hidden="1"/>
    </xf>
    <xf numFmtId="188" fontId="16" fillId="0" borderId="80" xfId="2" applyNumberFormat="1" applyFont="1" applyFill="1" applyBorder="1" applyAlignment="1" applyProtection="1">
      <alignment horizontal="right" vertical="center" shrinkToFit="1"/>
      <protection hidden="1"/>
    </xf>
    <xf numFmtId="188" fontId="16" fillId="0" borderId="67" xfId="0" applyNumberFormat="1" applyFont="1" applyBorder="1" applyAlignment="1" applyProtection="1">
      <alignment horizontal="right" vertical="center" shrinkToFit="1"/>
      <protection hidden="1"/>
    </xf>
    <xf numFmtId="0" fontId="14" fillId="6" borderId="33" xfId="0" applyFont="1" applyFill="1" applyBorder="1" applyAlignment="1" applyProtection="1">
      <alignment vertical="center" shrinkToFit="1"/>
      <protection locked="0"/>
    </xf>
    <xf numFmtId="0" fontId="14" fillId="6" borderId="33" xfId="0" applyFont="1" applyFill="1" applyBorder="1" applyProtection="1">
      <alignment vertical="center"/>
      <protection locked="0"/>
    </xf>
    <xf numFmtId="192" fontId="14" fillId="5" borderId="1" xfId="0" applyNumberFormat="1" applyFont="1" applyFill="1" applyBorder="1" applyProtection="1">
      <alignment vertical="center"/>
      <protection locked="0"/>
    </xf>
    <xf numFmtId="0" fontId="14" fillId="5" borderId="33" xfId="0" applyFont="1" applyFill="1" applyBorder="1" applyProtection="1">
      <alignment vertical="center"/>
      <protection locked="0"/>
    </xf>
    <xf numFmtId="0" fontId="14" fillId="5" borderId="1" xfId="0" applyFont="1" applyFill="1" applyBorder="1" applyProtection="1">
      <alignment vertical="center"/>
      <protection locked="0"/>
    </xf>
    <xf numFmtId="0" fontId="14" fillId="5" borderId="37" xfId="0" applyFont="1" applyFill="1" applyBorder="1" applyProtection="1">
      <alignment vertical="center"/>
      <protection locked="0"/>
    </xf>
    <xf numFmtId="0" fontId="14" fillId="6" borderId="1" xfId="0" applyFont="1" applyFill="1" applyBorder="1" applyProtection="1">
      <alignment vertical="center"/>
      <protection locked="0"/>
    </xf>
    <xf numFmtId="0" fontId="14" fillId="10" borderId="33" xfId="0" applyFont="1" applyFill="1" applyBorder="1" applyAlignment="1" applyProtection="1">
      <alignment vertical="center" shrinkToFit="1"/>
      <protection locked="0"/>
    </xf>
    <xf numFmtId="0" fontId="14" fillId="10" borderId="55" xfId="0" applyFont="1" applyFill="1" applyBorder="1" applyProtection="1">
      <alignment vertical="center"/>
      <protection locked="0"/>
    </xf>
    <xf numFmtId="0" fontId="14" fillId="10" borderId="1" xfId="0" applyFont="1" applyFill="1" applyBorder="1" applyProtection="1">
      <alignment vertical="center"/>
      <protection locked="0"/>
    </xf>
    <xf numFmtId="0" fontId="14" fillId="10" borderId="68" xfId="0" applyFont="1" applyFill="1" applyBorder="1" applyProtection="1">
      <alignment vertical="center"/>
      <protection locked="0"/>
    </xf>
    <xf numFmtId="0" fontId="14" fillId="10" borderId="55" xfId="0" applyFont="1" applyFill="1" applyBorder="1" applyAlignment="1" applyProtection="1">
      <alignment vertical="center" shrinkToFit="1"/>
      <protection locked="0"/>
    </xf>
    <xf numFmtId="0" fontId="14" fillId="10" borderId="1" xfId="0" applyFont="1" applyFill="1" applyBorder="1" applyAlignment="1" applyProtection="1">
      <alignment vertical="center" shrinkToFit="1"/>
      <protection locked="0"/>
    </xf>
    <xf numFmtId="0" fontId="14" fillId="10" borderId="24" xfId="0" applyFont="1" applyFill="1" applyBorder="1" applyAlignment="1" applyProtection="1">
      <alignment vertical="center" shrinkToFit="1"/>
      <protection locked="0"/>
    </xf>
    <xf numFmtId="0" fontId="14" fillId="0" borderId="24" xfId="0" applyFont="1" applyBorder="1">
      <alignment vertical="center"/>
    </xf>
    <xf numFmtId="196" fontId="14" fillId="2" borderId="23" xfId="0" applyNumberFormat="1" applyFont="1" applyFill="1" applyBorder="1">
      <alignment vertical="center"/>
    </xf>
    <xf numFmtId="0" fontId="14" fillId="2" borderId="23" xfId="0" applyFont="1" applyFill="1" applyBorder="1">
      <alignment vertical="center"/>
    </xf>
    <xf numFmtId="196" fontId="14" fillId="0" borderId="24" xfId="0" applyNumberFormat="1" applyFont="1" applyBorder="1">
      <alignment vertical="center"/>
    </xf>
    <xf numFmtId="0" fontId="14" fillId="6" borderId="24" xfId="0" applyFont="1" applyFill="1" applyBorder="1" applyProtection="1">
      <alignment vertical="center"/>
      <protection locked="0"/>
    </xf>
    <xf numFmtId="0" fontId="14" fillId="5" borderId="24" xfId="0" applyFont="1" applyFill="1" applyBorder="1" applyProtection="1">
      <alignment vertical="center"/>
      <protection locked="0"/>
    </xf>
    <xf numFmtId="0" fontId="14" fillId="6" borderId="33" xfId="0" applyFont="1" applyFill="1" applyBorder="1" applyAlignment="1" applyProtection="1">
      <alignment horizontal="left" vertical="center" wrapText="1" indent="1"/>
      <protection locked="0" hidden="1"/>
    </xf>
    <xf numFmtId="0" fontId="14" fillId="6" borderId="68" xfId="0" applyFont="1" applyFill="1" applyBorder="1" applyAlignment="1" applyProtection="1">
      <alignment horizontal="left" vertical="center" wrapText="1" indent="1"/>
      <protection locked="0" hidden="1"/>
    </xf>
    <xf numFmtId="0" fontId="14" fillId="6" borderId="24" xfId="0" applyFont="1" applyFill="1" applyBorder="1" applyAlignment="1" applyProtection="1">
      <alignment horizontal="left" vertical="center" wrapText="1" indent="1"/>
      <protection locked="0" hidden="1"/>
    </xf>
    <xf numFmtId="199" fontId="14" fillId="5" borderId="55" xfId="1" applyNumberFormat="1" applyFont="1" applyFill="1" applyBorder="1" applyProtection="1">
      <alignment vertical="center"/>
      <protection locked="0" hidden="1"/>
    </xf>
    <xf numFmtId="199" fontId="14" fillId="5" borderId="1" xfId="1" applyNumberFormat="1" applyFont="1" applyFill="1" applyBorder="1" applyProtection="1">
      <alignment vertical="center"/>
      <protection locked="0" hidden="1"/>
    </xf>
    <xf numFmtId="199" fontId="14" fillId="5" borderId="68" xfId="1" applyNumberFormat="1" applyFont="1" applyFill="1" applyBorder="1" applyProtection="1">
      <alignment vertical="center"/>
      <protection locked="0" hidden="1"/>
    </xf>
    <xf numFmtId="193" fontId="14" fillId="5" borderId="2" xfId="2" applyNumberFormat="1" applyFont="1" applyFill="1" applyBorder="1" applyAlignment="1" applyProtection="1">
      <alignment horizontal="right" vertical="center" shrinkToFit="1"/>
      <protection locked="0" hidden="1"/>
    </xf>
    <xf numFmtId="193" fontId="14" fillId="5" borderId="62" xfId="2" applyNumberFormat="1" applyFont="1" applyFill="1" applyBorder="1" applyAlignment="1" applyProtection="1">
      <alignment horizontal="right" vertical="center" shrinkToFit="1"/>
      <protection locked="0" hidden="1"/>
    </xf>
    <xf numFmtId="193" fontId="14" fillId="5" borderId="1" xfId="2" applyNumberFormat="1" applyFont="1" applyFill="1" applyBorder="1" applyAlignment="1" applyProtection="1">
      <alignment horizontal="right" vertical="center" shrinkToFit="1"/>
      <protection locked="0" hidden="1"/>
    </xf>
    <xf numFmtId="193" fontId="14" fillId="5" borderId="68" xfId="2" applyNumberFormat="1" applyFont="1" applyFill="1" applyBorder="1" applyAlignment="1" applyProtection="1">
      <alignment horizontal="right" vertical="center" shrinkToFit="1"/>
      <protection locked="0" hidden="1"/>
    </xf>
    <xf numFmtId="193" fontId="14" fillId="5" borderId="23" xfId="2" applyNumberFormat="1" applyFont="1" applyFill="1" applyBorder="1" applyAlignment="1" applyProtection="1">
      <alignment horizontal="right" vertical="center" shrinkToFit="1"/>
      <protection locked="0" hidden="1"/>
    </xf>
    <xf numFmtId="0" fontId="14" fillId="6" borderId="93" xfId="0" applyFont="1" applyFill="1" applyBorder="1" applyProtection="1">
      <alignment vertical="center"/>
      <protection locked="0"/>
    </xf>
    <xf numFmtId="0" fontId="14" fillId="6" borderId="32" xfId="0" applyFont="1" applyFill="1" applyBorder="1" applyProtection="1">
      <alignment vertical="center"/>
      <protection locked="0"/>
    </xf>
    <xf numFmtId="0" fontId="14" fillId="6" borderId="95" xfId="0" applyFont="1" applyFill="1" applyBorder="1" applyProtection="1">
      <alignment vertical="center"/>
      <protection locked="0"/>
    </xf>
    <xf numFmtId="0" fontId="14" fillId="6" borderId="33" xfId="0" applyFont="1" applyFill="1" applyBorder="1" applyAlignment="1" applyProtection="1">
      <alignment horizontal="distributed" vertical="center" wrapText="1" indent="1"/>
      <protection locked="0" hidden="1"/>
    </xf>
    <xf numFmtId="0" fontId="14" fillId="6" borderId="24" xfId="0" applyFont="1" applyFill="1" applyBorder="1" applyAlignment="1" applyProtection="1">
      <alignment horizontal="distributed" vertical="center" wrapText="1" indent="1"/>
      <protection locked="0" hidden="1"/>
    </xf>
    <xf numFmtId="0" fontId="14" fillId="0" borderId="0" xfId="0" quotePrefix="1" applyFont="1">
      <alignment vertical="center"/>
    </xf>
    <xf numFmtId="201" fontId="14" fillId="0" borderId="0" xfId="0" applyNumberFormat="1" applyFont="1">
      <alignment vertical="center"/>
    </xf>
    <xf numFmtId="201" fontId="14" fillId="0" borderId="109" xfId="0" applyNumberFormat="1" applyFont="1" applyBorder="1">
      <alignment vertical="center"/>
    </xf>
    <xf numFmtId="201" fontId="14" fillId="0" borderId="112" xfId="0" applyNumberFormat="1" applyFont="1" applyBorder="1">
      <alignment vertical="center"/>
    </xf>
    <xf numFmtId="201" fontId="14" fillId="0" borderId="96" xfId="0" applyNumberFormat="1" applyFont="1" applyBorder="1">
      <alignment vertical="center"/>
    </xf>
    <xf numFmtId="178" fontId="14" fillId="5" borderId="1" xfId="0" applyNumberFormat="1" applyFont="1" applyFill="1" applyBorder="1" applyAlignment="1" applyProtection="1">
      <alignment horizontal="center" vertical="center" shrinkToFit="1"/>
      <protection locked="0"/>
    </xf>
    <xf numFmtId="0" fontId="14" fillId="0" borderId="22" xfId="0" applyFont="1" applyBorder="1" applyAlignment="1" applyProtection="1">
      <alignment horizontal="left" vertical="center" wrapText="1"/>
      <protection hidden="1"/>
    </xf>
    <xf numFmtId="191" fontId="0" fillId="0" borderId="149" xfId="0" applyNumberFormat="1" applyBorder="1">
      <alignment vertical="center"/>
    </xf>
    <xf numFmtId="0" fontId="0" fillId="0" borderId="149" xfId="0" applyBorder="1" applyAlignment="1">
      <alignment vertical="center" shrinkToFit="1"/>
    </xf>
    <xf numFmtId="188" fontId="16" fillId="0" borderId="96" xfId="0" applyNumberFormat="1" applyFont="1" applyBorder="1" applyAlignment="1" applyProtection="1">
      <alignment horizontal="right" vertical="center" shrinkToFit="1"/>
      <protection hidden="1"/>
    </xf>
    <xf numFmtId="188" fontId="16" fillId="0" borderId="94" xfId="0" applyNumberFormat="1" applyFont="1" applyBorder="1" applyAlignment="1" applyProtection="1">
      <alignment horizontal="right" vertical="center" shrinkToFit="1"/>
      <protection hidden="1"/>
    </xf>
    <xf numFmtId="188" fontId="16" fillId="0" borderId="85" xfId="0" applyNumberFormat="1" applyFont="1" applyBorder="1" applyAlignment="1" applyProtection="1">
      <alignment horizontal="right" vertical="center" shrinkToFit="1"/>
      <protection hidden="1"/>
    </xf>
    <xf numFmtId="188" fontId="16" fillId="0" borderId="69" xfId="0" applyNumberFormat="1" applyFont="1" applyBorder="1" applyAlignment="1" applyProtection="1">
      <alignment horizontal="right" vertical="center" shrinkToFit="1"/>
      <protection hidden="1"/>
    </xf>
    <xf numFmtId="188" fontId="16" fillId="0" borderId="114" xfId="0" applyNumberFormat="1" applyFont="1" applyBorder="1" applyAlignment="1" applyProtection="1">
      <alignment horizontal="right" vertical="center" shrinkToFit="1"/>
      <protection hidden="1"/>
    </xf>
    <xf numFmtId="201" fontId="14" fillId="0" borderId="1" xfId="0" applyNumberFormat="1" applyFont="1" applyBorder="1">
      <alignment vertical="center"/>
    </xf>
    <xf numFmtId="201" fontId="14" fillId="4" borderId="42" xfId="0" applyNumberFormat="1" applyFont="1" applyFill="1" applyBorder="1">
      <alignment vertical="center"/>
    </xf>
    <xf numFmtId="201" fontId="14" fillId="4" borderId="33" xfId="0" applyNumberFormat="1" applyFont="1" applyFill="1" applyBorder="1" applyAlignment="1">
      <alignment vertical="center" shrinkToFit="1"/>
    </xf>
    <xf numFmtId="201" fontId="14" fillId="0" borderId="33" xfId="0" applyNumberFormat="1" applyFont="1" applyBorder="1">
      <alignment vertical="center"/>
    </xf>
    <xf numFmtId="201" fontId="14" fillId="0" borderId="57" xfId="0" applyNumberFormat="1" applyFont="1" applyBorder="1">
      <alignment vertical="center"/>
    </xf>
    <xf numFmtId="201" fontId="14" fillId="4" borderId="1" xfId="0" applyNumberFormat="1" applyFont="1" applyFill="1" applyBorder="1" applyAlignment="1">
      <alignment vertical="center" shrinkToFit="1"/>
    </xf>
    <xf numFmtId="201" fontId="14" fillId="4" borderId="55" xfId="0" applyNumberFormat="1" applyFont="1" applyFill="1" applyBorder="1">
      <alignment vertical="center"/>
    </xf>
    <xf numFmtId="201" fontId="14" fillId="4" borderId="35" xfId="0" applyNumberFormat="1" applyFont="1" applyFill="1" applyBorder="1">
      <alignment vertical="center"/>
    </xf>
    <xf numFmtId="201" fontId="14" fillId="4" borderId="35" xfId="0" applyNumberFormat="1" applyFont="1" applyFill="1" applyBorder="1" applyAlignment="1">
      <alignment vertical="center" shrinkToFit="1"/>
    </xf>
    <xf numFmtId="201" fontId="14" fillId="4" borderId="1" xfId="0" applyNumberFormat="1" applyFont="1" applyFill="1" applyBorder="1">
      <alignment vertical="center"/>
    </xf>
    <xf numFmtId="188" fontId="16" fillId="0" borderId="50" xfId="0" applyNumberFormat="1" applyFont="1" applyBorder="1" applyAlignment="1" applyProtection="1">
      <alignment horizontal="right" vertical="center" shrinkToFit="1"/>
      <protection hidden="1"/>
    </xf>
    <xf numFmtId="188" fontId="16" fillId="0" borderId="1" xfId="0" applyNumberFormat="1" applyFont="1" applyBorder="1" applyAlignment="1" applyProtection="1">
      <alignment horizontal="right" vertical="center" shrinkToFit="1"/>
      <protection hidden="1"/>
    </xf>
    <xf numFmtId="188" fontId="16" fillId="0" borderId="155" xfId="0" applyNumberFormat="1" applyFont="1" applyBorder="1" applyAlignment="1" applyProtection="1">
      <alignment horizontal="right" vertical="center" shrinkToFit="1"/>
      <protection hidden="1"/>
    </xf>
    <xf numFmtId="178" fontId="16" fillId="0" borderId="12" xfId="1" applyNumberFormat="1" applyFont="1" applyBorder="1" applyAlignment="1" applyProtection="1">
      <alignment horizontal="right" vertical="center"/>
      <protection hidden="1"/>
    </xf>
    <xf numFmtId="178" fontId="16" fillId="0" borderId="50" xfId="1" applyNumberFormat="1" applyFont="1" applyBorder="1" applyAlignment="1" applyProtection="1">
      <alignment horizontal="right" vertical="center"/>
      <protection hidden="1"/>
    </xf>
    <xf numFmtId="196" fontId="14" fillId="0" borderId="19" xfId="0" applyNumberFormat="1" applyFont="1" applyBorder="1">
      <alignment vertical="center"/>
    </xf>
    <xf numFmtId="192" fontId="14" fillId="8" borderId="24" xfId="0" applyNumberFormat="1" applyFont="1" applyFill="1" applyBorder="1">
      <alignment vertical="center"/>
    </xf>
    <xf numFmtId="192" fontId="14" fillId="5" borderId="24" xfId="0" applyNumberFormat="1" applyFont="1" applyFill="1" applyBorder="1" applyProtection="1">
      <alignment vertical="center"/>
      <protection locked="0"/>
    </xf>
    <xf numFmtId="0" fontId="14" fillId="0" borderId="22" xfId="0" applyFont="1" applyBorder="1" applyAlignment="1">
      <alignment vertical="center" shrinkToFit="1"/>
    </xf>
    <xf numFmtId="201" fontId="14" fillId="0" borderId="24" xfId="0" applyNumberFormat="1" applyFont="1" applyBorder="1">
      <alignment vertical="center"/>
    </xf>
    <xf numFmtId="201" fontId="14" fillId="4" borderId="19" xfId="0" applyNumberFormat="1" applyFont="1" applyFill="1" applyBorder="1">
      <alignment vertical="center"/>
    </xf>
    <xf numFmtId="201" fontId="14" fillId="4" borderId="24" xfId="0" applyNumberFormat="1" applyFont="1" applyFill="1" applyBorder="1" applyAlignment="1">
      <alignment vertical="center" shrinkToFit="1"/>
    </xf>
    <xf numFmtId="188" fontId="16" fillId="0" borderId="57" xfId="0" quotePrefix="1" applyNumberFormat="1" applyFont="1" applyBorder="1" applyAlignment="1" applyProtection="1">
      <alignment vertical="center" shrinkToFit="1"/>
      <protection hidden="1"/>
    </xf>
    <xf numFmtId="178" fontId="16" fillId="0" borderId="23" xfId="1" applyNumberFormat="1" applyFont="1" applyBorder="1" applyAlignment="1" applyProtection="1">
      <alignment vertical="center" shrinkToFit="1"/>
      <protection hidden="1"/>
    </xf>
    <xf numFmtId="178" fontId="16" fillId="0" borderId="26" xfId="1" applyNumberFormat="1" applyFont="1" applyBorder="1" applyProtection="1">
      <alignment vertical="center"/>
      <protection hidden="1"/>
    </xf>
    <xf numFmtId="178" fontId="16" fillId="0" borderId="2" xfId="1" applyNumberFormat="1" applyFont="1" applyBorder="1" applyProtection="1">
      <alignment vertical="center"/>
      <protection hidden="1"/>
    </xf>
    <xf numFmtId="201" fontId="14" fillId="5" borderId="33" xfId="0" applyNumberFormat="1" applyFont="1" applyFill="1" applyBorder="1" applyAlignment="1" applyProtection="1">
      <alignment vertical="center" shrinkToFit="1"/>
      <protection locked="0"/>
    </xf>
    <xf numFmtId="201" fontId="14" fillId="5" borderId="1" xfId="0" applyNumberFormat="1" applyFont="1" applyFill="1" applyBorder="1" applyAlignment="1" applyProtection="1">
      <alignment vertical="center" shrinkToFit="1"/>
      <protection locked="0"/>
    </xf>
    <xf numFmtId="196" fontId="14" fillId="5" borderId="33" xfId="0" applyNumberFormat="1" applyFont="1" applyFill="1" applyBorder="1" applyAlignment="1" applyProtection="1">
      <alignment vertical="center" shrinkToFit="1"/>
      <protection locked="0"/>
    </xf>
    <xf numFmtId="196" fontId="14" fillId="5" borderId="1" xfId="0" applyNumberFormat="1" applyFont="1" applyFill="1" applyBorder="1" applyAlignment="1" applyProtection="1">
      <alignment vertical="center" shrinkToFit="1"/>
      <protection locked="0"/>
    </xf>
    <xf numFmtId="196" fontId="14" fillId="5" borderId="37" xfId="0" applyNumberFormat="1" applyFont="1" applyFill="1" applyBorder="1" applyAlignment="1" applyProtection="1">
      <alignment vertical="center" shrinkToFit="1"/>
      <protection locked="0"/>
    </xf>
    <xf numFmtId="0" fontId="14" fillId="5" borderId="33" xfId="0" applyFont="1" applyFill="1" applyBorder="1" applyAlignment="1" applyProtection="1">
      <alignment vertical="center" shrinkToFit="1"/>
      <protection locked="0"/>
    </xf>
    <xf numFmtId="0" fontId="14" fillId="5" borderId="1" xfId="0" applyFont="1" applyFill="1" applyBorder="1" applyAlignment="1" applyProtection="1">
      <alignment vertical="center" shrinkToFit="1"/>
      <protection locked="0"/>
    </xf>
    <xf numFmtId="0" fontId="14" fillId="5" borderId="24" xfId="0" applyFont="1" applyFill="1" applyBorder="1" applyAlignment="1" applyProtection="1">
      <alignment vertical="center" shrinkToFit="1"/>
      <protection locked="0"/>
    </xf>
    <xf numFmtId="0" fontId="14" fillId="5" borderId="32" xfId="0" applyFont="1" applyFill="1" applyBorder="1" applyAlignment="1" applyProtection="1">
      <alignment vertical="center" shrinkToFit="1"/>
      <protection locked="0"/>
    </xf>
    <xf numFmtId="0" fontId="14" fillId="5" borderId="94" xfId="0" applyFont="1" applyFill="1" applyBorder="1" applyAlignment="1" applyProtection="1">
      <alignment vertical="center" shrinkToFit="1"/>
      <protection locked="0"/>
    </xf>
    <xf numFmtId="0" fontId="14" fillId="5" borderId="57" xfId="0" applyFont="1" applyFill="1" applyBorder="1" applyAlignment="1" applyProtection="1">
      <alignment vertical="center" shrinkToFit="1"/>
      <protection locked="0"/>
    </xf>
    <xf numFmtId="0" fontId="14" fillId="5" borderId="96" xfId="0" applyFont="1" applyFill="1" applyBorder="1" applyAlignment="1" applyProtection="1">
      <alignment vertical="center" shrinkToFit="1"/>
      <protection locked="0"/>
    </xf>
    <xf numFmtId="0" fontId="14" fillId="4" borderId="120" xfId="0" applyFont="1" applyFill="1" applyBorder="1">
      <alignment vertical="center"/>
    </xf>
    <xf numFmtId="190" fontId="14" fillId="4" borderId="0" xfId="0" applyNumberFormat="1" applyFont="1" applyFill="1">
      <alignment vertical="center"/>
    </xf>
    <xf numFmtId="0" fontId="14" fillId="4" borderId="1" xfId="0" applyFont="1" applyFill="1" applyBorder="1">
      <alignment vertical="center"/>
    </xf>
    <xf numFmtId="190" fontId="14" fillId="4" borderId="1" xfId="0" applyNumberFormat="1" applyFont="1" applyFill="1" applyBorder="1">
      <alignment vertical="center"/>
    </xf>
    <xf numFmtId="192" fontId="14" fillId="4" borderId="1" xfId="0" applyNumberFormat="1" applyFont="1" applyFill="1" applyBorder="1">
      <alignment vertical="center"/>
    </xf>
    <xf numFmtId="0" fontId="14" fillId="4" borderId="0" xfId="0" applyFont="1" applyFill="1" applyAlignment="1">
      <alignment vertical="center" shrinkToFit="1"/>
    </xf>
    <xf numFmtId="0" fontId="14" fillId="4" borderId="1" xfId="0" applyFont="1" applyFill="1" applyBorder="1" applyAlignment="1">
      <alignment vertical="center" wrapText="1"/>
    </xf>
    <xf numFmtId="0" fontId="14" fillId="4" borderId="36" xfId="0" applyFont="1" applyFill="1" applyBorder="1">
      <alignment vertical="center"/>
    </xf>
    <xf numFmtId="0" fontId="14" fillId="4" borderId="0" xfId="0" applyFont="1" applyFill="1" applyAlignment="1">
      <alignment vertical="center" wrapText="1"/>
    </xf>
    <xf numFmtId="201" fontId="14" fillId="4" borderId="0" xfId="0" applyNumberFormat="1" applyFont="1" applyFill="1">
      <alignment vertical="center"/>
    </xf>
    <xf numFmtId="0" fontId="14" fillId="4" borderId="0" xfId="1" applyFont="1" applyFill="1" applyProtection="1">
      <alignment vertical="center"/>
      <protection hidden="1"/>
    </xf>
    <xf numFmtId="178" fontId="16" fillId="4" borderId="0" xfId="0" quotePrefix="1" applyNumberFormat="1" applyFont="1" applyFill="1" applyAlignment="1" applyProtection="1">
      <alignment horizontal="center" vertical="center" shrinkToFit="1"/>
      <protection hidden="1"/>
    </xf>
    <xf numFmtId="0" fontId="14" fillId="4" borderId="1" xfId="0" applyFont="1" applyFill="1" applyBorder="1" applyProtection="1">
      <alignment vertical="center"/>
      <protection hidden="1"/>
    </xf>
    <xf numFmtId="188" fontId="16" fillId="0" borderId="159" xfId="0" quotePrefix="1" applyNumberFormat="1" applyFont="1" applyBorder="1" applyAlignment="1" applyProtection="1">
      <alignment horizontal="right" vertical="center" shrinkToFit="1"/>
      <protection hidden="1"/>
    </xf>
    <xf numFmtId="0" fontId="14" fillId="4" borderId="0" xfId="1" applyFont="1" applyFill="1" applyAlignment="1" applyProtection="1">
      <alignment vertical="center" wrapText="1"/>
      <protection hidden="1"/>
    </xf>
    <xf numFmtId="0" fontId="14" fillId="5" borderId="42" xfId="0" applyFont="1" applyFill="1" applyBorder="1" applyAlignment="1" applyProtection="1">
      <alignment vertical="center" shrinkToFit="1"/>
      <protection locked="0"/>
    </xf>
    <xf numFmtId="0" fontId="14" fillId="0" borderId="37"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8" xfId="0" applyFont="1" applyBorder="1" applyAlignment="1">
      <alignment horizontal="center" vertical="center" wrapText="1"/>
    </xf>
    <xf numFmtId="203" fontId="0" fillId="0" borderId="0" xfId="0" applyNumberFormat="1">
      <alignment vertical="center"/>
    </xf>
    <xf numFmtId="192" fontId="0" fillId="0" borderId="0" xfId="0" applyNumberFormat="1">
      <alignment vertical="center"/>
    </xf>
    <xf numFmtId="202" fontId="14" fillId="6" borderId="1" xfId="0" applyNumberFormat="1" applyFont="1" applyFill="1" applyBorder="1" applyAlignment="1" applyProtection="1">
      <alignment vertical="center" shrinkToFit="1"/>
      <protection locked="0"/>
    </xf>
    <xf numFmtId="0" fontId="14" fillId="6" borderId="113" xfId="0" applyFont="1" applyFill="1" applyBorder="1" applyProtection="1">
      <alignment vertical="center"/>
      <protection locked="0"/>
    </xf>
    <xf numFmtId="202" fontId="14" fillId="6" borderId="24" xfId="0" applyNumberFormat="1" applyFont="1" applyFill="1" applyBorder="1" applyAlignment="1" applyProtection="1">
      <alignment vertical="center" shrinkToFit="1"/>
      <protection locked="0"/>
    </xf>
    <xf numFmtId="202" fontId="14" fillId="6" borderId="42" xfId="0" applyNumberFormat="1" applyFont="1" applyFill="1" applyBorder="1" applyAlignment="1" applyProtection="1">
      <alignment vertical="center" shrinkToFit="1"/>
      <protection locked="0"/>
    </xf>
    <xf numFmtId="188" fontId="16" fillId="0" borderId="55" xfId="0" applyNumberFormat="1" applyFont="1" applyBorder="1" applyAlignment="1" applyProtection="1">
      <alignment vertical="center" shrinkToFit="1"/>
      <protection hidden="1"/>
    </xf>
    <xf numFmtId="188" fontId="16" fillId="0" borderId="55" xfId="1" applyNumberFormat="1" applyFont="1" applyBorder="1" applyAlignment="1" applyProtection="1">
      <alignment vertical="center" shrinkToFit="1"/>
      <protection hidden="1"/>
    </xf>
    <xf numFmtId="188" fontId="16" fillId="0" borderId="1" xfId="0" applyNumberFormat="1" applyFont="1" applyBorder="1" applyAlignment="1" applyProtection="1">
      <alignment vertical="center" shrinkToFit="1"/>
      <protection hidden="1"/>
    </xf>
    <xf numFmtId="188" fontId="16" fillId="0" borderId="1" xfId="1" applyNumberFormat="1" applyFont="1" applyBorder="1" applyAlignment="1" applyProtection="1">
      <alignment vertical="center" shrinkToFit="1"/>
      <protection hidden="1"/>
    </xf>
    <xf numFmtId="188" fontId="16" fillId="0" borderId="68" xfId="0" applyNumberFormat="1" applyFont="1" applyBorder="1" applyAlignment="1" applyProtection="1">
      <alignment vertical="center" shrinkToFit="1"/>
      <protection hidden="1"/>
    </xf>
    <xf numFmtId="0" fontId="14" fillId="11" borderId="8" xfId="0" applyFont="1" applyFill="1" applyBorder="1" applyProtection="1">
      <alignment vertical="center"/>
      <protection hidden="1"/>
    </xf>
    <xf numFmtId="0" fontId="14" fillId="11" borderId="0" xfId="0" applyFont="1" applyFill="1" applyProtection="1">
      <alignment vertical="center"/>
      <protection hidden="1"/>
    </xf>
    <xf numFmtId="192" fontId="14" fillId="10" borderId="33" xfId="0" applyNumberFormat="1" applyFont="1" applyFill="1" applyBorder="1" applyProtection="1">
      <alignment vertical="center"/>
      <protection locked="0"/>
    </xf>
    <xf numFmtId="192" fontId="14" fillId="10" borderId="43" xfId="0" applyNumberFormat="1" applyFont="1" applyFill="1" applyBorder="1" applyProtection="1">
      <alignment vertical="center"/>
      <protection locked="0"/>
    </xf>
    <xf numFmtId="0" fontId="20" fillId="8" borderId="0" xfId="0" applyFont="1" applyFill="1" applyProtection="1">
      <alignment vertical="center"/>
      <protection hidden="1"/>
    </xf>
    <xf numFmtId="0" fontId="14" fillId="6" borderId="113" xfId="0" applyFont="1" applyFill="1" applyBorder="1" applyAlignment="1" applyProtection="1">
      <alignment vertical="center" shrinkToFit="1"/>
      <protection locked="0"/>
    </xf>
    <xf numFmtId="0" fontId="4" fillId="0" borderId="88" xfId="0" applyFont="1" applyBorder="1" applyAlignment="1" applyProtection="1">
      <alignment horizontal="center" vertical="center"/>
      <protection hidden="1"/>
    </xf>
    <xf numFmtId="0" fontId="14" fillId="6" borderId="115" xfId="0" applyFont="1" applyFill="1" applyBorder="1" applyAlignment="1" applyProtection="1">
      <alignment vertical="center" shrinkToFit="1"/>
      <protection locked="0"/>
    </xf>
    <xf numFmtId="0" fontId="14" fillId="6" borderId="55" xfId="0" applyFont="1" applyFill="1" applyBorder="1" applyAlignment="1" applyProtection="1">
      <alignment vertical="center" shrinkToFit="1"/>
      <protection locked="0"/>
    </xf>
    <xf numFmtId="0" fontId="14" fillId="5" borderId="55" xfId="0" applyFont="1" applyFill="1" applyBorder="1" applyProtection="1">
      <alignment vertical="center"/>
      <protection locked="0"/>
    </xf>
    <xf numFmtId="0" fontId="14" fillId="6" borderId="55" xfId="0" applyFont="1" applyFill="1" applyBorder="1" applyProtection="1">
      <alignment vertical="center"/>
      <protection locked="0"/>
    </xf>
    <xf numFmtId="195" fontId="14" fillId="5" borderId="54" xfId="0" applyNumberFormat="1" applyFont="1" applyFill="1" applyBorder="1" applyProtection="1">
      <alignment vertical="center"/>
      <protection locked="0"/>
    </xf>
    <xf numFmtId="202" fontId="14" fillId="6" borderId="55" xfId="0" applyNumberFormat="1" applyFont="1" applyFill="1" applyBorder="1" applyAlignment="1" applyProtection="1">
      <alignment vertical="center" shrinkToFit="1"/>
      <protection locked="0"/>
    </xf>
    <xf numFmtId="195" fontId="14" fillId="0" borderId="54" xfId="0" applyNumberFormat="1" applyFont="1" applyBorder="1">
      <alignment vertical="center"/>
    </xf>
    <xf numFmtId="196" fontId="14" fillId="4" borderId="54" xfId="0" applyNumberFormat="1" applyFont="1" applyFill="1" applyBorder="1">
      <alignment vertical="center"/>
    </xf>
    <xf numFmtId="190" fontId="14" fillId="4" borderId="54" xfId="0" applyNumberFormat="1" applyFont="1" applyFill="1" applyBorder="1" applyAlignment="1">
      <alignment vertical="center" shrinkToFit="1"/>
    </xf>
    <xf numFmtId="202" fontId="14" fillId="8" borderId="55" xfId="0" applyNumberFormat="1" applyFont="1" applyFill="1" applyBorder="1">
      <alignment vertical="center"/>
    </xf>
    <xf numFmtId="196" fontId="14" fillId="0" borderId="54" xfId="0" applyNumberFormat="1" applyFont="1" applyBorder="1">
      <alignment vertical="center"/>
    </xf>
    <xf numFmtId="194" fontId="14" fillId="8" borderId="55" xfId="0" applyNumberFormat="1" applyFont="1" applyFill="1" applyBorder="1">
      <alignment vertical="center"/>
    </xf>
    <xf numFmtId="196" fontId="14" fillId="0" borderId="78" xfId="0" applyNumberFormat="1" applyFont="1" applyBorder="1">
      <alignment vertical="center"/>
    </xf>
    <xf numFmtId="0" fontId="14" fillId="6" borderId="95" xfId="0" applyFont="1" applyFill="1" applyBorder="1" applyAlignment="1" applyProtection="1">
      <alignment vertical="center" shrinkToFit="1"/>
      <protection locked="0"/>
    </xf>
    <xf numFmtId="0" fontId="14" fillId="6" borderId="1" xfId="0" applyFont="1" applyFill="1" applyBorder="1" applyAlignment="1" applyProtection="1">
      <alignment vertical="center" shrinkToFit="1"/>
      <protection locked="0"/>
    </xf>
    <xf numFmtId="195" fontId="14" fillId="5" borderId="2" xfId="0" applyNumberFormat="1" applyFont="1" applyFill="1" applyBorder="1" applyProtection="1">
      <alignment vertical="center"/>
      <protection locked="0"/>
    </xf>
    <xf numFmtId="195" fontId="14" fillId="0" borderId="1" xfId="0" applyNumberFormat="1" applyFont="1" applyBorder="1">
      <alignment vertical="center"/>
    </xf>
    <xf numFmtId="196" fontId="14" fillId="4" borderId="2" xfId="0" applyNumberFormat="1" applyFont="1" applyFill="1" applyBorder="1">
      <alignment vertical="center"/>
    </xf>
    <xf numFmtId="190" fontId="14" fillId="4" borderId="2" xfId="0" applyNumberFormat="1" applyFont="1" applyFill="1" applyBorder="1" applyAlignment="1">
      <alignment vertical="center" shrinkToFit="1"/>
    </xf>
    <xf numFmtId="202" fontId="14" fillId="8" borderId="1" xfId="0" applyNumberFormat="1" applyFont="1" applyFill="1" applyBorder="1">
      <alignment vertical="center"/>
    </xf>
    <xf numFmtId="196" fontId="14" fillId="0" borderId="2" xfId="0" applyNumberFormat="1" applyFont="1" applyBorder="1">
      <alignment vertical="center"/>
    </xf>
    <xf numFmtId="194" fontId="14" fillId="8" borderId="1" xfId="0" applyNumberFormat="1" applyFont="1" applyFill="1" applyBorder="1">
      <alignment vertical="center"/>
    </xf>
    <xf numFmtId="196" fontId="14" fillId="0" borderId="57" xfId="0" applyNumberFormat="1" applyFont="1" applyBorder="1">
      <alignment vertical="center"/>
    </xf>
    <xf numFmtId="0" fontId="14" fillId="5" borderId="68" xfId="0" applyFont="1" applyFill="1" applyBorder="1" applyProtection="1">
      <alignment vertical="center"/>
      <protection locked="0"/>
    </xf>
    <xf numFmtId="0" fontId="14" fillId="6" borderId="68" xfId="0" applyFont="1" applyFill="1" applyBorder="1" applyProtection="1">
      <alignment vertical="center"/>
      <protection locked="0"/>
    </xf>
    <xf numFmtId="195" fontId="14" fillId="5" borderId="62" xfId="0" applyNumberFormat="1" applyFont="1" applyFill="1" applyBorder="1" applyProtection="1">
      <alignment vertical="center"/>
      <protection locked="0"/>
    </xf>
    <xf numFmtId="202" fontId="14" fillId="6" borderId="68" xfId="0" applyNumberFormat="1" applyFont="1" applyFill="1" applyBorder="1" applyAlignment="1" applyProtection="1">
      <alignment vertical="center" shrinkToFit="1"/>
      <protection locked="0"/>
    </xf>
    <xf numFmtId="195" fontId="14" fillId="0" borderId="68" xfId="0" applyNumberFormat="1" applyFont="1" applyBorder="1">
      <alignment vertical="center"/>
    </xf>
    <xf numFmtId="196" fontId="14" fillId="4" borderId="62" xfId="0" applyNumberFormat="1" applyFont="1" applyFill="1" applyBorder="1">
      <alignment vertical="center"/>
    </xf>
    <xf numFmtId="190" fontId="14" fillId="4" borderId="62" xfId="0" applyNumberFormat="1" applyFont="1" applyFill="1" applyBorder="1" applyAlignment="1">
      <alignment vertical="center" shrinkToFit="1"/>
    </xf>
    <xf numFmtId="202" fontId="14" fillId="8" borderId="68" xfId="0" applyNumberFormat="1" applyFont="1" applyFill="1" applyBorder="1">
      <alignment vertical="center"/>
    </xf>
    <xf numFmtId="196" fontId="14" fillId="0" borderId="62" xfId="0" applyNumberFormat="1" applyFont="1" applyBorder="1">
      <alignment vertical="center"/>
    </xf>
    <xf numFmtId="194" fontId="14" fillId="8" borderId="68" xfId="0" applyNumberFormat="1" applyFont="1" applyFill="1" applyBorder="1">
      <alignment vertical="center"/>
    </xf>
    <xf numFmtId="196" fontId="14" fillId="0" borderId="69" xfId="0" applyNumberFormat="1" applyFont="1" applyBorder="1">
      <alignment vertical="center"/>
    </xf>
    <xf numFmtId="195" fontId="14" fillId="5" borderId="54" xfId="0" applyNumberFormat="1" applyFont="1" applyFill="1" applyBorder="1">
      <alignment vertical="center"/>
    </xf>
    <xf numFmtId="195" fontId="14" fillId="5" borderId="2" xfId="0" applyNumberFormat="1" applyFont="1" applyFill="1" applyBorder="1">
      <alignment vertical="center"/>
    </xf>
    <xf numFmtId="195" fontId="14" fillId="5" borderId="23" xfId="0" applyNumberFormat="1" applyFont="1" applyFill="1" applyBorder="1">
      <alignment vertical="center"/>
    </xf>
    <xf numFmtId="195" fontId="14" fillId="0" borderId="24" xfId="0" applyNumberFormat="1" applyFont="1" applyBorder="1">
      <alignment vertical="center"/>
    </xf>
    <xf numFmtId="196" fontId="14" fillId="4" borderId="23" xfId="0" applyNumberFormat="1" applyFont="1" applyFill="1" applyBorder="1">
      <alignment vertical="center"/>
    </xf>
    <xf numFmtId="190" fontId="14" fillId="4" borderId="23" xfId="0" applyNumberFormat="1" applyFont="1" applyFill="1" applyBorder="1" applyAlignment="1">
      <alignment vertical="center" shrinkToFit="1"/>
    </xf>
    <xf numFmtId="202" fontId="14" fillId="8" borderId="24" xfId="0" applyNumberFormat="1" applyFont="1" applyFill="1" applyBorder="1">
      <alignment vertical="center"/>
    </xf>
    <xf numFmtId="196" fontId="14" fillId="0" borderId="23" xfId="0" applyNumberFormat="1" applyFont="1" applyBorder="1">
      <alignment vertical="center"/>
    </xf>
    <xf numFmtId="194" fontId="14" fillId="8" borderId="24" xfId="0" applyNumberFormat="1" applyFont="1" applyFill="1" applyBorder="1">
      <alignment vertical="center"/>
    </xf>
    <xf numFmtId="196" fontId="14" fillId="0" borderId="96" xfId="0" applyNumberFormat="1" applyFont="1" applyBorder="1">
      <alignment vertical="center"/>
    </xf>
    <xf numFmtId="202" fontId="14" fillId="5" borderId="1" xfId="0" applyNumberFormat="1" applyFont="1" applyFill="1" applyBorder="1" applyAlignment="1" applyProtection="1">
      <alignment vertical="center" shrinkToFit="1"/>
      <protection locked="0"/>
    </xf>
    <xf numFmtId="202" fontId="14" fillId="5" borderId="24" xfId="0" applyNumberFormat="1" applyFont="1" applyFill="1" applyBorder="1" applyAlignment="1" applyProtection="1">
      <alignment vertical="center" shrinkToFit="1"/>
      <protection locked="0"/>
    </xf>
    <xf numFmtId="0" fontId="4" fillId="0" borderId="1" xfId="0" applyFont="1" applyBorder="1" applyAlignment="1" applyProtection="1">
      <alignment horizontal="center" vertical="center"/>
      <protection hidden="1"/>
    </xf>
    <xf numFmtId="0" fontId="0" fillId="3" borderId="1" xfId="0" applyFill="1" applyBorder="1" applyAlignment="1">
      <alignment horizontal="center" vertical="center"/>
    </xf>
    <xf numFmtId="0" fontId="0" fillId="3" borderId="1" xfId="0" applyFill="1" applyBorder="1">
      <alignment vertical="center"/>
    </xf>
    <xf numFmtId="0" fontId="14" fillId="4" borderId="3" xfId="0" applyFont="1" applyFill="1" applyBorder="1">
      <alignment vertical="center"/>
    </xf>
    <xf numFmtId="0" fontId="14" fillId="4" borderId="1" xfId="1" applyFont="1" applyFill="1" applyBorder="1" applyProtection="1">
      <alignment vertical="center"/>
      <protection hidden="1"/>
    </xf>
    <xf numFmtId="0" fontId="14" fillId="4" borderId="1" xfId="1" applyFont="1" applyFill="1" applyBorder="1" applyAlignment="1" applyProtection="1">
      <alignment vertical="center" wrapText="1"/>
      <protection hidden="1"/>
    </xf>
    <xf numFmtId="0" fontId="14" fillId="4" borderId="37" xfId="0" applyFont="1" applyFill="1" applyBorder="1">
      <alignment vertical="center"/>
    </xf>
    <xf numFmtId="0" fontId="14" fillId="4" borderId="33" xfId="0" applyFont="1" applyFill="1" applyBorder="1">
      <alignment vertical="center"/>
    </xf>
    <xf numFmtId="0" fontId="14" fillId="0" borderId="0" xfId="0" applyFont="1" applyAlignment="1" applyProtection="1">
      <alignment horizontal="right" vertical="center"/>
      <protection hidden="1"/>
    </xf>
    <xf numFmtId="0" fontId="14" fillId="0" borderId="160" xfId="0" applyFont="1" applyBorder="1" applyAlignment="1">
      <alignment horizontal="center" vertical="center"/>
    </xf>
    <xf numFmtId="0" fontId="50" fillId="6" borderId="162" xfId="0" applyFont="1" applyFill="1" applyBorder="1">
      <alignment vertical="center"/>
    </xf>
    <xf numFmtId="0" fontId="14" fillId="6" borderId="162" xfId="0" applyFont="1" applyFill="1" applyBorder="1">
      <alignment vertical="center"/>
    </xf>
    <xf numFmtId="0" fontId="50" fillId="12" borderId="164" xfId="0" applyFont="1" applyFill="1" applyBorder="1">
      <alignment vertical="center"/>
    </xf>
    <xf numFmtId="0" fontId="14" fillId="12" borderId="162" xfId="0" applyFont="1" applyFill="1" applyBorder="1">
      <alignment vertical="center"/>
    </xf>
    <xf numFmtId="0" fontId="14" fillId="12" borderId="165" xfId="0" applyFont="1" applyFill="1" applyBorder="1">
      <alignment vertical="center"/>
    </xf>
    <xf numFmtId="0" fontId="50" fillId="13" borderId="162" xfId="0" applyFont="1" applyFill="1" applyBorder="1">
      <alignment vertical="center"/>
    </xf>
    <xf numFmtId="0" fontId="14" fillId="13" borderId="162" xfId="0" applyFont="1" applyFill="1" applyBorder="1">
      <alignment vertical="center"/>
    </xf>
    <xf numFmtId="0" fontId="14" fillId="13" borderId="163" xfId="0" applyFont="1" applyFill="1" applyBorder="1">
      <alignment vertical="center"/>
    </xf>
    <xf numFmtId="0" fontId="14" fillId="12" borderId="95" xfId="0" applyFont="1" applyFill="1" applyBorder="1" applyProtection="1">
      <alignment vertical="center"/>
      <protection locked="0"/>
    </xf>
    <xf numFmtId="0" fontId="14" fillId="12" borderId="1" xfId="0" applyFont="1" applyFill="1" applyBorder="1" applyProtection="1">
      <alignment vertical="center"/>
      <protection locked="0"/>
    </xf>
    <xf numFmtId="0" fontId="14" fillId="13" borderId="95" xfId="0" applyFont="1" applyFill="1" applyBorder="1" applyProtection="1">
      <alignment vertical="center"/>
      <protection locked="0"/>
    </xf>
    <xf numFmtId="0" fontId="14" fillId="13" borderId="1" xfId="0" applyFont="1" applyFill="1" applyBorder="1" applyProtection="1">
      <alignment vertical="center"/>
      <protection locked="0"/>
    </xf>
    <xf numFmtId="0" fontId="14" fillId="13" borderId="98" xfId="0" applyFont="1" applyFill="1" applyBorder="1" applyProtection="1">
      <alignment vertical="center"/>
      <protection locked="0"/>
    </xf>
    <xf numFmtId="0" fontId="14" fillId="13" borderId="24" xfId="0" applyFont="1" applyFill="1" applyBorder="1" applyProtection="1">
      <alignment vertical="center"/>
      <protection locked="0"/>
    </xf>
    <xf numFmtId="0" fontId="14" fillId="13" borderId="113" xfId="0" applyFont="1" applyFill="1" applyBorder="1" applyProtection="1">
      <alignment vertical="center"/>
      <protection locked="0"/>
    </xf>
    <xf numFmtId="0" fontId="14" fillId="13" borderId="33" xfId="0" applyFont="1" applyFill="1" applyBorder="1" applyProtection="1">
      <alignment vertical="center"/>
      <protection locked="0"/>
    </xf>
    <xf numFmtId="0" fontId="14" fillId="5" borderId="112" xfId="0" applyFont="1" applyFill="1" applyBorder="1" applyAlignment="1" applyProtection="1">
      <alignment vertical="center" shrinkToFit="1"/>
      <protection locked="0"/>
    </xf>
    <xf numFmtId="0" fontId="14" fillId="12" borderId="116" xfId="0" applyFont="1" applyFill="1" applyBorder="1" applyProtection="1">
      <alignment vertical="center"/>
      <protection locked="0"/>
    </xf>
    <xf numFmtId="0" fontId="14" fillId="12" borderId="68" xfId="0" applyFont="1" applyFill="1" applyBorder="1" applyProtection="1">
      <alignment vertical="center"/>
      <protection locked="0"/>
    </xf>
    <xf numFmtId="0" fontId="14" fillId="5" borderId="68" xfId="0" applyFont="1" applyFill="1" applyBorder="1" applyAlignment="1" applyProtection="1">
      <alignment vertical="center" shrinkToFit="1"/>
      <protection locked="0"/>
    </xf>
    <xf numFmtId="0" fontId="14" fillId="0" borderId="68" xfId="0" applyFont="1" applyBorder="1">
      <alignment vertical="center"/>
    </xf>
    <xf numFmtId="0" fontId="14" fillId="5" borderId="69" xfId="0" applyFont="1" applyFill="1" applyBorder="1" applyAlignment="1" applyProtection="1">
      <alignment vertical="center" shrinkToFit="1"/>
      <protection locked="0"/>
    </xf>
    <xf numFmtId="0" fontId="14" fillId="12" borderId="113" xfId="0" applyFont="1" applyFill="1" applyBorder="1" applyProtection="1">
      <alignment vertical="center"/>
      <protection locked="0"/>
    </xf>
    <xf numFmtId="0" fontId="14" fillId="12" borderId="33" xfId="0" applyFont="1" applyFill="1" applyBorder="1" applyProtection="1">
      <alignment vertical="center"/>
      <protection locked="0"/>
    </xf>
    <xf numFmtId="0" fontId="14" fillId="6" borderId="116" xfId="0" applyFont="1" applyFill="1" applyBorder="1" applyProtection="1">
      <alignment vertical="center"/>
      <protection locked="0"/>
    </xf>
    <xf numFmtId="0" fontId="14" fillId="4" borderId="15" xfId="0" applyFont="1" applyFill="1" applyBorder="1">
      <alignment vertical="center"/>
    </xf>
    <xf numFmtId="0" fontId="14" fillId="0" borderId="161" xfId="0" applyFont="1" applyBorder="1">
      <alignment vertical="center"/>
    </xf>
    <xf numFmtId="0" fontId="14" fillId="0" borderId="162" xfId="0" applyFont="1" applyBorder="1">
      <alignment vertical="center"/>
    </xf>
    <xf numFmtId="0" fontId="14" fillId="0" borderId="166" xfId="0" applyFont="1" applyBorder="1">
      <alignment vertical="center"/>
    </xf>
    <xf numFmtId="0" fontId="14" fillId="6" borderId="14" xfId="0" applyFont="1" applyFill="1" applyBorder="1" applyAlignment="1" applyProtection="1">
      <alignment vertical="center" shrinkToFit="1"/>
      <protection locked="0"/>
    </xf>
    <xf numFmtId="0" fontId="14" fillId="6" borderId="35" xfId="0" applyFont="1" applyFill="1" applyBorder="1" applyAlignment="1" applyProtection="1">
      <alignment vertical="center" shrinkToFit="1"/>
      <protection locked="0"/>
    </xf>
    <xf numFmtId="0" fontId="14" fillId="14" borderId="115" xfId="0" applyFont="1" applyFill="1" applyBorder="1" applyAlignment="1" applyProtection="1">
      <alignment vertical="center" shrinkToFit="1"/>
      <protection locked="0"/>
    </xf>
    <xf numFmtId="0" fontId="14" fillId="14" borderId="55" xfId="0" applyFont="1" applyFill="1" applyBorder="1" applyAlignment="1" applyProtection="1">
      <alignment vertical="center" shrinkToFit="1"/>
      <protection locked="0"/>
    </xf>
    <xf numFmtId="0" fontId="14" fillId="14" borderId="113" xfId="0" applyFont="1" applyFill="1" applyBorder="1" applyAlignment="1" applyProtection="1">
      <alignment vertical="center" shrinkToFit="1"/>
      <protection locked="0"/>
    </xf>
    <xf numFmtId="0" fontId="14" fillId="14" borderId="33" xfId="0" applyFont="1" applyFill="1" applyBorder="1" applyAlignment="1" applyProtection="1">
      <alignment vertical="center" shrinkToFit="1"/>
      <protection locked="0"/>
    </xf>
    <xf numFmtId="0" fontId="14" fillId="14" borderId="89" xfId="0" applyFont="1" applyFill="1" applyBorder="1" applyAlignment="1" applyProtection="1">
      <alignment vertical="center" shrinkToFit="1"/>
      <protection locked="0"/>
    </xf>
    <xf numFmtId="0" fontId="14" fillId="14" borderId="44" xfId="0" applyFont="1" applyFill="1" applyBorder="1" applyAlignment="1" applyProtection="1">
      <alignment vertical="center" shrinkToFit="1"/>
      <protection locked="0"/>
    </xf>
    <xf numFmtId="0" fontId="14" fillId="6" borderId="35" xfId="0" applyFont="1" applyFill="1" applyBorder="1" applyProtection="1">
      <alignment vertical="center"/>
      <protection locked="0"/>
    </xf>
    <xf numFmtId="0" fontId="14" fillId="14" borderId="55" xfId="0" applyFont="1" applyFill="1" applyBorder="1" applyProtection="1">
      <alignment vertical="center"/>
      <protection locked="0"/>
    </xf>
    <xf numFmtId="0" fontId="14" fillId="14" borderId="33" xfId="0" applyFont="1" applyFill="1" applyBorder="1" applyProtection="1">
      <alignment vertical="center"/>
      <protection locked="0"/>
    </xf>
    <xf numFmtId="0" fontId="14" fillId="14" borderId="44" xfId="0" applyFont="1" applyFill="1" applyBorder="1" applyProtection="1">
      <alignment vertical="center"/>
      <protection locked="0"/>
    </xf>
    <xf numFmtId="0" fontId="14" fillId="13" borderId="113" xfId="0" applyFont="1" applyFill="1" applyBorder="1" applyAlignment="1" applyProtection="1">
      <alignment vertical="center" shrinkToFit="1"/>
      <protection locked="0"/>
    </xf>
    <xf numFmtId="0" fontId="14" fillId="13" borderId="33" xfId="0" applyFont="1" applyFill="1" applyBorder="1" applyAlignment="1" applyProtection="1">
      <alignment vertical="center" shrinkToFit="1"/>
      <protection locked="0"/>
    </xf>
    <xf numFmtId="0" fontId="14" fillId="13" borderId="98" xfId="0" applyFont="1" applyFill="1" applyBorder="1" applyAlignment="1" applyProtection="1">
      <alignment vertical="center" shrinkToFit="1"/>
      <protection locked="0"/>
    </xf>
    <xf numFmtId="0" fontId="14" fillId="13" borderId="24" xfId="0" applyFont="1" applyFill="1" applyBorder="1" applyAlignment="1" applyProtection="1">
      <alignment vertical="center" shrinkToFit="1"/>
      <protection locked="0"/>
    </xf>
    <xf numFmtId="0" fontId="14" fillId="0" borderId="162" xfId="0" applyFont="1" applyBorder="1" applyAlignment="1">
      <alignment horizontal="center" vertical="top"/>
    </xf>
    <xf numFmtId="0" fontId="50" fillId="0" borderId="165" xfId="0" applyFont="1" applyBorder="1">
      <alignment vertical="center"/>
    </xf>
    <xf numFmtId="0" fontId="50" fillId="6" borderId="165" xfId="0" applyFont="1" applyFill="1" applyBorder="1">
      <alignment vertical="center"/>
    </xf>
    <xf numFmtId="0" fontId="50" fillId="12" borderId="162" xfId="0" applyFont="1" applyFill="1" applyBorder="1">
      <alignment vertical="center"/>
    </xf>
    <xf numFmtId="0" fontId="50" fillId="12" borderId="165" xfId="0" applyFont="1" applyFill="1" applyBorder="1">
      <alignment vertical="center"/>
    </xf>
    <xf numFmtId="0" fontId="50" fillId="0" borderId="166" xfId="0" applyFont="1" applyBorder="1">
      <alignment vertical="center"/>
    </xf>
    <xf numFmtId="0" fontId="50" fillId="13" borderId="163" xfId="0" applyFont="1" applyFill="1" applyBorder="1">
      <alignment vertical="center"/>
    </xf>
    <xf numFmtId="0" fontId="14" fillId="6" borderId="14" xfId="0" applyFont="1" applyFill="1" applyBorder="1" applyProtection="1">
      <alignment vertical="center"/>
      <protection locked="0"/>
    </xf>
    <xf numFmtId="0" fontId="14" fillId="14" borderId="115" xfId="0" applyFont="1" applyFill="1" applyBorder="1" applyProtection="1">
      <alignment vertical="center"/>
      <protection locked="0"/>
    </xf>
    <xf numFmtId="0" fontId="14" fillId="14" borderId="113" xfId="0" applyFont="1" applyFill="1" applyBorder="1" applyProtection="1">
      <alignment vertical="center"/>
      <protection locked="0"/>
    </xf>
    <xf numFmtId="0" fontId="14" fillId="14" borderId="89" xfId="0" applyFont="1" applyFill="1" applyBorder="1" applyProtection="1">
      <alignment vertical="center"/>
      <protection locked="0"/>
    </xf>
    <xf numFmtId="0" fontId="14" fillId="13" borderId="43" xfId="0" applyFont="1" applyFill="1" applyBorder="1" applyAlignment="1" applyProtection="1">
      <alignment vertical="center" shrinkToFit="1"/>
      <protection locked="0"/>
    </xf>
    <xf numFmtId="0" fontId="14" fillId="5" borderId="56" xfId="0" applyFont="1" applyFill="1" applyBorder="1" applyAlignment="1" applyProtection="1">
      <alignment vertical="center" shrinkToFit="1"/>
      <protection locked="0"/>
    </xf>
    <xf numFmtId="0" fontId="14" fillId="0" borderId="38" xfId="0" applyFont="1" applyBorder="1" applyAlignment="1">
      <alignment vertical="center" shrinkToFit="1"/>
    </xf>
    <xf numFmtId="201" fontId="14" fillId="5" borderId="37" xfId="0" applyNumberFormat="1" applyFont="1" applyFill="1" applyBorder="1" applyAlignment="1" applyProtection="1">
      <alignment vertical="center" shrinkToFit="1"/>
      <protection locked="0"/>
    </xf>
    <xf numFmtId="202" fontId="14" fillId="6" borderId="37" xfId="0" applyNumberFormat="1" applyFont="1" applyFill="1" applyBorder="1" applyAlignment="1" applyProtection="1">
      <alignment vertical="center" shrinkToFit="1"/>
      <protection locked="0"/>
    </xf>
    <xf numFmtId="201" fontId="14" fillId="0" borderId="37" xfId="0" applyNumberFormat="1" applyFont="1" applyBorder="1">
      <alignment vertical="center"/>
    </xf>
    <xf numFmtId="201" fontId="14" fillId="4" borderId="15" xfId="0" applyNumberFormat="1" applyFont="1" applyFill="1" applyBorder="1">
      <alignment vertical="center"/>
    </xf>
    <xf numFmtId="201" fontId="14" fillId="0" borderId="85" xfId="0" applyNumberFormat="1" applyFont="1" applyBorder="1">
      <alignment vertical="center"/>
    </xf>
    <xf numFmtId="0" fontId="14" fillId="0" borderId="30" xfId="0" applyFont="1" applyBorder="1" applyAlignment="1">
      <alignment vertical="center" shrinkToFit="1"/>
    </xf>
    <xf numFmtId="202" fontId="14" fillId="5" borderId="33" xfId="0" applyNumberFormat="1" applyFont="1" applyFill="1" applyBorder="1" applyAlignment="1" applyProtection="1">
      <alignment vertical="center" shrinkToFit="1"/>
      <protection locked="0"/>
    </xf>
    <xf numFmtId="202" fontId="14" fillId="6" borderId="33" xfId="0" applyNumberFormat="1" applyFont="1" applyFill="1" applyBorder="1" applyAlignment="1" applyProtection="1">
      <alignment vertical="center" shrinkToFit="1"/>
      <protection locked="0"/>
    </xf>
    <xf numFmtId="0" fontId="14" fillId="5" borderId="54" xfId="0" applyFont="1" applyFill="1" applyBorder="1" applyAlignment="1" applyProtection="1">
      <alignment vertical="center" shrinkToFit="1"/>
      <protection locked="0"/>
    </xf>
    <xf numFmtId="201" fontId="14" fillId="5" borderId="55" xfId="0" applyNumberFormat="1" applyFont="1" applyFill="1" applyBorder="1" applyAlignment="1" applyProtection="1">
      <alignment vertical="center" shrinkToFit="1"/>
      <protection locked="0"/>
    </xf>
    <xf numFmtId="201" fontId="14" fillId="0" borderId="55" xfId="0" applyNumberFormat="1" applyFont="1" applyBorder="1">
      <alignment vertical="center"/>
    </xf>
    <xf numFmtId="201" fontId="14" fillId="4" borderId="54" xfId="0" applyNumberFormat="1" applyFont="1" applyFill="1" applyBorder="1">
      <alignment vertical="center"/>
    </xf>
    <xf numFmtId="201" fontId="14" fillId="4" borderId="55" xfId="0" applyNumberFormat="1" applyFont="1" applyFill="1" applyBorder="1" applyAlignment="1">
      <alignment vertical="center" shrinkToFit="1"/>
    </xf>
    <xf numFmtId="201" fontId="14" fillId="0" borderId="78" xfId="0" applyNumberFormat="1" applyFont="1" applyBorder="1">
      <alignment vertical="center"/>
    </xf>
    <xf numFmtId="0" fontId="14" fillId="5" borderId="62" xfId="0" applyFont="1" applyFill="1" applyBorder="1" applyAlignment="1" applyProtection="1">
      <alignment vertical="center" shrinkToFit="1"/>
      <protection locked="0"/>
    </xf>
    <xf numFmtId="0" fontId="14" fillId="0" borderId="86" xfId="0" applyFont="1" applyBorder="1" applyAlignment="1">
      <alignment vertical="center" shrinkToFit="1"/>
    </xf>
    <xf numFmtId="0" fontId="14" fillId="6" borderId="44" xfId="0" applyFont="1" applyFill="1" applyBorder="1" applyProtection="1">
      <alignment vertical="center"/>
      <protection locked="0"/>
    </xf>
    <xf numFmtId="202" fontId="14" fillId="5" borderId="68" xfId="0" applyNumberFormat="1" applyFont="1" applyFill="1" applyBorder="1" applyAlignment="1" applyProtection="1">
      <alignment vertical="center" shrinkToFit="1"/>
      <protection locked="0"/>
    </xf>
    <xf numFmtId="201" fontId="14" fillId="0" borderId="68" xfId="0" applyNumberFormat="1" applyFont="1" applyBorder="1">
      <alignment vertical="center"/>
    </xf>
    <xf numFmtId="201" fontId="14" fillId="4" borderId="45" xfId="0" applyNumberFormat="1" applyFont="1" applyFill="1" applyBorder="1">
      <alignment vertical="center"/>
    </xf>
    <xf numFmtId="201" fontId="14" fillId="4" borderId="44" xfId="0" applyNumberFormat="1" applyFont="1" applyFill="1" applyBorder="1" applyAlignment="1">
      <alignment vertical="center" shrinkToFit="1"/>
    </xf>
    <xf numFmtId="201" fontId="14" fillId="0" borderId="69" xfId="0" applyNumberFormat="1" applyFont="1" applyBorder="1">
      <alignment vertical="center"/>
    </xf>
    <xf numFmtId="0" fontId="14" fillId="4" borderId="55" xfId="0" applyFont="1" applyFill="1" applyBorder="1">
      <alignment vertical="center"/>
    </xf>
    <xf numFmtId="0" fontId="14" fillId="4" borderId="68" xfId="0" applyFont="1" applyFill="1" applyBorder="1">
      <alignment vertical="center"/>
    </xf>
    <xf numFmtId="0" fontId="14" fillId="5" borderId="15" xfId="0" applyFont="1" applyFill="1" applyBorder="1" applyAlignment="1" applyProtection="1">
      <alignment vertical="center" shrinkToFit="1"/>
      <protection locked="0"/>
    </xf>
    <xf numFmtId="0" fontId="14" fillId="5" borderId="45" xfId="0" applyFont="1" applyFill="1" applyBorder="1" applyAlignment="1" applyProtection="1">
      <alignment vertical="center" shrinkToFit="1"/>
      <protection locked="0"/>
    </xf>
    <xf numFmtId="201" fontId="14" fillId="5" borderId="54" xfId="0" applyNumberFormat="1" applyFont="1" applyFill="1" applyBorder="1" applyAlignment="1" applyProtection="1">
      <alignment vertical="center" shrinkToFit="1"/>
      <protection locked="0"/>
    </xf>
    <xf numFmtId="202" fontId="14" fillId="6" borderId="51" xfId="0" applyNumberFormat="1" applyFont="1" applyFill="1" applyBorder="1" applyAlignment="1" applyProtection="1">
      <alignment vertical="center" shrinkToFit="1"/>
      <protection locked="0"/>
    </xf>
    <xf numFmtId="201" fontId="14" fillId="0" borderId="53" xfId="0" applyNumberFormat="1" applyFont="1" applyBorder="1">
      <alignment vertical="center"/>
    </xf>
    <xf numFmtId="201" fontId="14" fillId="5" borderId="2" xfId="0" applyNumberFormat="1" applyFont="1" applyFill="1" applyBorder="1" applyAlignment="1" applyProtection="1">
      <alignment vertical="center" shrinkToFit="1"/>
      <protection locked="0"/>
    </xf>
    <xf numFmtId="202" fontId="14" fillId="6" borderId="36" xfId="0" applyNumberFormat="1" applyFont="1" applyFill="1" applyBorder="1" applyAlignment="1" applyProtection="1">
      <alignment vertical="center" shrinkToFit="1"/>
      <protection locked="0"/>
    </xf>
    <xf numFmtId="201" fontId="14" fillId="0" borderId="3" xfId="0" applyNumberFormat="1" applyFont="1" applyBorder="1">
      <alignment vertical="center"/>
    </xf>
    <xf numFmtId="201" fontId="14" fillId="5" borderId="62" xfId="0" applyNumberFormat="1" applyFont="1" applyFill="1" applyBorder="1" applyAlignment="1" applyProtection="1">
      <alignment vertical="center" shrinkToFit="1"/>
      <protection locked="0"/>
    </xf>
    <xf numFmtId="202" fontId="14" fillId="6" borderId="63" xfId="0" applyNumberFormat="1" applyFont="1" applyFill="1" applyBorder="1" applyAlignment="1" applyProtection="1">
      <alignment vertical="center" shrinkToFit="1"/>
      <protection locked="0"/>
    </xf>
    <xf numFmtId="201" fontId="14" fillId="0" borderId="86" xfId="0" applyNumberFormat="1" applyFont="1" applyBorder="1">
      <alignment vertical="center"/>
    </xf>
    <xf numFmtId="201" fontId="14" fillId="5" borderId="68" xfId="0" applyNumberFormat="1" applyFont="1" applyFill="1" applyBorder="1" applyAlignment="1" applyProtection="1">
      <alignment vertical="center" shrinkToFit="1"/>
      <protection locked="0"/>
    </xf>
    <xf numFmtId="201" fontId="14" fillId="4" borderId="37" xfId="0" applyNumberFormat="1" applyFont="1" applyFill="1" applyBorder="1">
      <alignment vertical="center"/>
    </xf>
    <xf numFmtId="201" fontId="14" fillId="4" borderId="37" xfId="0" applyNumberFormat="1" applyFont="1" applyFill="1" applyBorder="1" applyAlignment="1">
      <alignment vertical="center" shrinkToFit="1"/>
    </xf>
    <xf numFmtId="201" fontId="14" fillId="4" borderId="68" xfId="0" applyNumberFormat="1" applyFont="1" applyFill="1" applyBorder="1">
      <alignment vertical="center"/>
    </xf>
    <xf numFmtId="201" fontId="14" fillId="4" borderId="68" xfId="0" applyNumberFormat="1" applyFont="1" applyFill="1" applyBorder="1" applyAlignment="1">
      <alignment vertical="center" shrinkToFit="1"/>
    </xf>
    <xf numFmtId="0" fontId="14" fillId="0" borderId="35" xfId="0" applyFont="1" applyBorder="1">
      <alignment vertical="center"/>
    </xf>
    <xf numFmtId="0" fontId="14" fillId="0" borderId="55" xfId="0" applyFont="1" applyBorder="1">
      <alignment vertical="center"/>
    </xf>
    <xf numFmtId="0" fontId="14" fillId="0" borderId="44" xfId="0" applyFont="1" applyBorder="1">
      <alignment vertical="center"/>
    </xf>
    <xf numFmtId="196" fontId="14" fillId="5" borderId="55" xfId="0" applyNumberFormat="1" applyFont="1" applyFill="1" applyBorder="1" applyAlignment="1" applyProtection="1">
      <alignment vertical="center" shrinkToFit="1"/>
      <protection locked="0"/>
    </xf>
    <xf numFmtId="196" fontId="14" fillId="5" borderId="68" xfId="0" applyNumberFormat="1" applyFont="1" applyFill="1" applyBorder="1" applyAlignment="1" applyProtection="1">
      <alignment vertical="center" shrinkToFit="1"/>
      <protection locked="0"/>
    </xf>
    <xf numFmtId="196" fontId="14" fillId="0" borderId="15" xfId="0" applyNumberFormat="1" applyFont="1" applyBorder="1">
      <alignment vertical="center"/>
    </xf>
    <xf numFmtId="196" fontId="14" fillId="2" borderId="15" xfId="0" applyNumberFormat="1" applyFont="1" applyFill="1" applyBorder="1">
      <alignment vertical="center"/>
    </xf>
    <xf numFmtId="0" fontId="14" fillId="2" borderId="15" xfId="0" applyFont="1" applyFill="1" applyBorder="1">
      <alignment vertical="center"/>
    </xf>
    <xf numFmtId="196" fontId="14" fillId="0" borderId="35" xfId="0" applyNumberFormat="1" applyFont="1" applyBorder="1">
      <alignment vertical="center"/>
    </xf>
    <xf numFmtId="201" fontId="14" fillId="0" borderId="97" xfId="0" applyNumberFormat="1" applyFont="1" applyBorder="1">
      <alignment vertical="center"/>
    </xf>
    <xf numFmtId="196" fontId="14" fillId="0" borderId="55" xfId="0" applyNumberFormat="1" applyFont="1" applyBorder="1">
      <alignment vertical="center"/>
    </xf>
    <xf numFmtId="196" fontId="14" fillId="2" borderId="55" xfId="0" applyNumberFormat="1" applyFont="1" applyFill="1" applyBorder="1">
      <alignment vertical="center"/>
    </xf>
    <xf numFmtId="0" fontId="14" fillId="2" borderId="55" xfId="0" applyFont="1" applyFill="1" applyBorder="1">
      <alignment vertical="center"/>
    </xf>
    <xf numFmtId="196" fontId="14" fillId="2" borderId="33" xfId="0" applyNumberFormat="1" applyFont="1" applyFill="1" applyBorder="1">
      <alignment vertical="center"/>
    </xf>
    <xf numFmtId="0" fontId="14" fillId="2" borderId="33" xfId="0" applyFont="1" applyFill="1" applyBorder="1">
      <alignment vertical="center"/>
    </xf>
    <xf numFmtId="196" fontId="14" fillId="0" borderId="44" xfId="0" applyNumberFormat="1" applyFont="1" applyBorder="1">
      <alignment vertical="center"/>
    </xf>
    <xf numFmtId="196" fontId="14" fillId="2" borderId="44" xfId="0" applyNumberFormat="1" applyFont="1" applyFill="1" applyBorder="1">
      <alignment vertical="center"/>
    </xf>
    <xf numFmtId="0" fontId="14" fillId="2" borderId="44" xfId="0" applyFont="1" applyFill="1" applyBorder="1">
      <alignment vertical="center"/>
    </xf>
    <xf numFmtId="201" fontId="14" fillId="0" borderId="44" xfId="0" applyNumberFormat="1" applyFont="1" applyBorder="1">
      <alignment vertical="center"/>
    </xf>
    <xf numFmtId="0" fontId="14" fillId="5" borderId="37" xfId="0" applyFont="1" applyFill="1" applyBorder="1" applyAlignment="1" applyProtection="1">
      <alignment vertical="center" shrinkToFit="1"/>
      <protection locked="0"/>
    </xf>
    <xf numFmtId="0" fontId="14" fillId="5" borderId="55" xfId="0" applyFont="1" applyFill="1" applyBorder="1" applyAlignment="1" applyProtection="1">
      <alignment vertical="center" shrinkToFit="1"/>
      <protection locked="0"/>
    </xf>
    <xf numFmtId="196" fontId="14" fillId="0" borderId="1" xfId="0" applyNumberFormat="1" applyFont="1" applyBorder="1">
      <alignment vertical="center"/>
    </xf>
    <xf numFmtId="196" fontId="14" fillId="2" borderId="1" xfId="0" applyNumberFormat="1" applyFont="1" applyFill="1" applyBorder="1">
      <alignment vertical="center"/>
    </xf>
    <xf numFmtId="196" fontId="14" fillId="0" borderId="68" xfId="0" applyNumberFormat="1" applyFont="1" applyBorder="1">
      <alignment vertical="center"/>
    </xf>
    <xf numFmtId="196" fontId="14" fillId="2" borderId="68" xfId="0" applyNumberFormat="1" applyFont="1" applyFill="1" applyBorder="1">
      <alignment vertical="center"/>
    </xf>
    <xf numFmtId="0" fontId="14" fillId="2" borderId="68" xfId="0" applyFont="1" applyFill="1" applyBorder="1">
      <alignment vertical="center"/>
    </xf>
    <xf numFmtId="0" fontId="14" fillId="5" borderId="35" xfId="0" applyFont="1" applyFill="1" applyBorder="1" applyAlignment="1" applyProtection="1">
      <alignment vertical="center" shrinkToFit="1"/>
      <protection locked="0"/>
    </xf>
    <xf numFmtId="0" fontId="14" fillId="5" borderId="44" xfId="0" applyFont="1" applyFill="1" applyBorder="1" applyAlignment="1" applyProtection="1">
      <alignment vertical="center" shrinkToFit="1"/>
      <protection locked="0"/>
    </xf>
    <xf numFmtId="0" fontId="14" fillId="4" borderId="46" xfId="0" applyFont="1" applyFill="1" applyBorder="1">
      <alignment vertical="center"/>
    </xf>
    <xf numFmtId="0" fontId="50" fillId="0" borderId="162" xfId="0" applyFont="1" applyBorder="1">
      <alignment vertical="center"/>
    </xf>
    <xf numFmtId="0" fontId="14" fillId="0" borderId="165" xfId="0" applyFont="1" applyBorder="1">
      <alignment vertical="center"/>
    </xf>
    <xf numFmtId="0" fontId="14" fillId="6" borderId="103" xfId="0" applyFont="1" applyFill="1" applyBorder="1" applyAlignment="1" applyProtection="1">
      <alignment vertical="center" shrinkToFit="1"/>
      <protection locked="0"/>
    </xf>
    <xf numFmtId="0" fontId="14" fillId="6" borderId="37" xfId="0" applyFont="1" applyFill="1" applyBorder="1" applyAlignment="1" applyProtection="1">
      <alignment vertical="center" shrinkToFit="1"/>
      <protection locked="0"/>
    </xf>
    <xf numFmtId="0" fontId="14" fillId="14" borderId="95" xfId="0" applyFont="1" applyFill="1" applyBorder="1" applyAlignment="1" applyProtection="1">
      <alignment vertical="center" shrinkToFit="1"/>
      <protection locked="0"/>
    </xf>
    <xf numFmtId="0" fontId="14" fillId="14" borderId="1" xfId="0" applyFont="1" applyFill="1" applyBorder="1" applyAlignment="1" applyProtection="1">
      <alignment vertical="center" shrinkToFit="1"/>
      <protection locked="0"/>
    </xf>
    <xf numFmtId="0" fontId="14" fillId="14" borderId="116" xfId="0" applyFont="1" applyFill="1" applyBorder="1" applyAlignment="1" applyProtection="1">
      <alignment vertical="center" shrinkToFit="1"/>
      <protection locked="0"/>
    </xf>
    <xf numFmtId="0" fontId="14" fillId="14" borderId="68" xfId="0" applyFont="1" applyFill="1" applyBorder="1" applyAlignment="1" applyProtection="1">
      <alignment vertical="center" shrinkToFit="1"/>
      <protection locked="0"/>
    </xf>
    <xf numFmtId="195" fontId="14" fillId="5" borderId="56" xfId="0" applyNumberFormat="1" applyFont="1" applyFill="1" applyBorder="1" applyProtection="1">
      <alignment vertical="center"/>
      <protection locked="0"/>
    </xf>
    <xf numFmtId="195" fontId="14" fillId="5" borderId="42" xfId="0" applyNumberFormat="1" applyFont="1" applyFill="1" applyBorder="1" applyProtection="1">
      <alignment vertical="center"/>
      <protection locked="0"/>
    </xf>
    <xf numFmtId="195" fontId="14" fillId="5" borderId="55" xfId="0" applyNumberFormat="1" applyFont="1" applyFill="1" applyBorder="1" applyProtection="1">
      <alignment vertical="center"/>
      <protection locked="0"/>
    </xf>
    <xf numFmtId="195" fontId="14" fillId="5" borderId="1" xfId="0" applyNumberFormat="1" applyFont="1" applyFill="1" applyBorder="1" applyProtection="1">
      <alignment vertical="center"/>
      <protection locked="0"/>
    </xf>
    <xf numFmtId="195" fontId="14" fillId="5" borderId="68" xfId="0" applyNumberFormat="1" applyFont="1" applyFill="1" applyBorder="1" applyProtection="1">
      <alignment vertical="center"/>
      <protection locked="0"/>
    </xf>
    <xf numFmtId="0" fontId="14" fillId="6" borderId="37" xfId="0" applyFont="1" applyFill="1" applyBorder="1" applyProtection="1">
      <alignment vertical="center"/>
      <protection locked="0"/>
    </xf>
    <xf numFmtId="0" fontId="14" fillId="14" borderId="1" xfId="0" applyFont="1" applyFill="1" applyBorder="1" applyProtection="1">
      <alignment vertical="center"/>
      <protection locked="0"/>
    </xf>
    <xf numFmtId="0" fontId="14" fillId="14" borderId="68" xfId="0" applyFont="1" applyFill="1" applyBorder="1" applyProtection="1">
      <alignment vertical="center"/>
      <protection locked="0"/>
    </xf>
    <xf numFmtId="0" fontId="14" fillId="13" borderId="95" xfId="0" applyFont="1" applyFill="1" applyBorder="1" applyAlignment="1" applyProtection="1">
      <alignment vertical="center" shrinkToFit="1"/>
      <protection locked="0"/>
    </xf>
    <xf numFmtId="0" fontId="14" fillId="13" borderId="1" xfId="0" applyFont="1" applyFill="1" applyBorder="1" applyAlignment="1" applyProtection="1">
      <alignment vertical="center" shrinkToFit="1"/>
      <protection locked="0"/>
    </xf>
    <xf numFmtId="0" fontId="14" fillId="13" borderId="116" xfId="0" applyFont="1" applyFill="1" applyBorder="1" applyAlignment="1" applyProtection="1">
      <alignment vertical="center" shrinkToFit="1"/>
      <protection locked="0"/>
    </xf>
    <xf numFmtId="0" fontId="14" fillId="13" borderId="68" xfId="0" applyFont="1" applyFill="1" applyBorder="1" applyAlignment="1" applyProtection="1">
      <alignment vertical="center" shrinkToFit="1"/>
      <protection locked="0"/>
    </xf>
    <xf numFmtId="195" fontId="14" fillId="0" borderId="37" xfId="0" applyNumberFormat="1" applyFont="1" applyBorder="1">
      <alignment vertical="center"/>
    </xf>
    <xf numFmtId="196" fontId="14" fillId="4" borderId="56" xfId="0" applyNumberFormat="1" applyFont="1" applyFill="1" applyBorder="1">
      <alignment vertical="center"/>
    </xf>
    <xf numFmtId="190" fontId="14" fillId="4" borderId="56" xfId="0" applyNumberFormat="1" applyFont="1" applyFill="1" applyBorder="1" applyAlignment="1">
      <alignment vertical="center" shrinkToFit="1"/>
    </xf>
    <xf numFmtId="202" fontId="14" fillId="8" borderId="37" xfId="0" applyNumberFormat="1" applyFont="1" applyFill="1" applyBorder="1">
      <alignment vertical="center"/>
    </xf>
    <xf numFmtId="196" fontId="14" fillId="0" borderId="56" xfId="0" applyNumberFormat="1" applyFont="1" applyBorder="1">
      <alignment vertical="center"/>
    </xf>
    <xf numFmtId="194" fontId="14" fillId="8" borderId="37" xfId="0" applyNumberFormat="1" applyFont="1" applyFill="1" applyBorder="1">
      <alignment vertical="center"/>
    </xf>
    <xf numFmtId="196" fontId="14" fillId="0" borderId="85" xfId="0" applyNumberFormat="1" applyFont="1" applyBorder="1">
      <alignment vertical="center"/>
    </xf>
    <xf numFmtId="195" fontId="14" fillId="0" borderId="33" xfId="0" applyNumberFormat="1" applyFont="1" applyBorder="1">
      <alignment vertical="center"/>
    </xf>
    <xf numFmtId="196" fontId="14" fillId="4" borderId="42" xfId="0" applyNumberFormat="1" applyFont="1" applyFill="1" applyBorder="1">
      <alignment vertical="center"/>
    </xf>
    <xf numFmtId="190" fontId="14" fillId="4" borderId="42" xfId="0" applyNumberFormat="1" applyFont="1" applyFill="1" applyBorder="1" applyAlignment="1">
      <alignment vertical="center" shrinkToFit="1"/>
    </xf>
    <xf numFmtId="202" fontId="14" fillId="8" borderId="33" xfId="0" applyNumberFormat="1" applyFont="1" applyFill="1" applyBorder="1">
      <alignment vertical="center"/>
    </xf>
    <xf numFmtId="194" fontId="14" fillId="8" borderId="33" xfId="0" applyNumberFormat="1" applyFont="1" applyFill="1" applyBorder="1">
      <alignment vertical="center"/>
    </xf>
    <xf numFmtId="196" fontId="14" fillId="0" borderId="112" xfId="0" applyNumberFormat="1" applyFont="1" applyBorder="1">
      <alignment vertical="center"/>
    </xf>
    <xf numFmtId="195" fontId="14" fillId="0" borderId="55" xfId="0" applyNumberFormat="1" applyFont="1" applyBorder="1">
      <alignment vertical="center"/>
    </xf>
    <xf numFmtId="195" fontId="14" fillId="5" borderId="56" xfId="0" applyNumberFormat="1" applyFont="1" applyFill="1" applyBorder="1">
      <alignment vertical="center"/>
    </xf>
    <xf numFmtId="195" fontId="14" fillId="5" borderId="42" xfId="0" applyNumberFormat="1" applyFont="1" applyFill="1" applyBorder="1">
      <alignment vertical="center"/>
    </xf>
    <xf numFmtId="195" fontId="14" fillId="5" borderId="55" xfId="0" applyNumberFormat="1" applyFont="1" applyFill="1" applyBorder="1">
      <alignment vertical="center"/>
    </xf>
    <xf numFmtId="195" fontId="14" fillId="5" borderId="1" xfId="0" applyNumberFormat="1" applyFont="1" applyFill="1" applyBorder="1">
      <alignment vertical="center"/>
    </xf>
    <xf numFmtId="195" fontId="14" fillId="5" borderId="68" xfId="0" applyNumberFormat="1" applyFont="1" applyFill="1" applyBorder="1">
      <alignment vertical="center"/>
    </xf>
    <xf numFmtId="190" fontId="14" fillId="4" borderId="37" xfId="0" applyNumberFormat="1" applyFont="1" applyFill="1" applyBorder="1">
      <alignment vertical="center"/>
    </xf>
    <xf numFmtId="192" fontId="14" fillId="4" borderId="37" xfId="0" applyNumberFormat="1" applyFont="1" applyFill="1" applyBorder="1">
      <alignment vertical="center"/>
    </xf>
    <xf numFmtId="190" fontId="14" fillId="4" borderId="33" xfId="0" applyNumberFormat="1" applyFont="1" applyFill="1" applyBorder="1">
      <alignment vertical="center"/>
    </xf>
    <xf numFmtId="192" fontId="14" fillId="4" borderId="33" xfId="0" applyNumberFormat="1" applyFont="1" applyFill="1" applyBorder="1">
      <alignment vertical="center"/>
    </xf>
    <xf numFmtId="190" fontId="14" fillId="4" borderId="55" xfId="0" applyNumberFormat="1" applyFont="1" applyFill="1" applyBorder="1">
      <alignment vertical="center"/>
    </xf>
    <xf numFmtId="192" fontId="14" fillId="4" borderId="55" xfId="0" applyNumberFormat="1" applyFont="1" applyFill="1" applyBorder="1">
      <alignment vertical="center"/>
    </xf>
    <xf numFmtId="190" fontId="14" fillId="4" borderId="68" xfId="0" applyNumberFormat="1" applyFont="1" applyFill="1" applyBorder="1">
      <alignment vertical="center"/>
    </xf>
    <xf numFmtId="192" fontId="14" fillId="4" borderId="68" xfId="0" applyNumberFormat="1" applyFont="1" applyFill="1" applyBorder="1">
      <alignment vertical="center"/>
    </xf>
    <xf numFmtId="0" fontId="51" fillId="13" borderId="0" xfId="1" applyFont="1" applyFill="1" applyProtection="1">
      <alignment vertical="center"/>
      <protection hidden="1"/>
    </xf>
    <xf numFmtId="178" fontId="16" fillId="13" borderId="2" xfId="1" applyNumberFormat="1" applyFont="1" applyFill="1" applyBorder="1" applyProtection="1">
      <alignment vertical="center"/>
      <protection hidden="1"/>
    </xf>
    <xf numFmtId="0" fontId="16" fillId="13" borderId="57" xfId="1" applyFont="1" applyFill="1" applyBorder="1" applyProtection="1">
      <alignment vertical="center"/>
      <protection hidden="1"/>
    </xf>
    <xf numFmtId="178" fontId="16" fillId="14" borderId="2" xfId="1" applyNumberFormat="1" applyFont="1" applyFill="1" applyBorder="1" applyProtection="1">
      <alignment vertical="center"/>
      <protection hidden="1"/>
    </xf>
    <xf numFmtId="0" fontId="16" fillId="14" borderId="57" xfId="1" applyFont="1" applyFill="1" applyBorder="1" applyProtection="1">
      <alignment vertical="center"/>
      <protection hidden="1"/>
    </xf>
    <xf numFmtId="0" fontId="14" fillId="12" borderId="0" xfId="1" applyFont="1" applyFill="1" applyProtection="1">
      <alignment vertical="center"/>
      <protection hidden="1"/>
    </xf>
    <xf numFmtId="0" fontId="51" fillId="12" borderId="0" xfId="1" applyFont="1" applyFill="1" applyProtection="1">
      <alignment vertical="center"/>
      <protection hidden="1"/>
    </xf>
    <xf numFmtId="0" fontId="14" fillId="13" borderId="0" xfId="1" applyFont="1" applyFill="1" applyProtection="1">
      <alignment vertical="center"/>
      <protection hidden="1"/>
    </xf>
    <xf numFmtId="0" fontId="14" fillId="7" borderId="56" xfId="0" applyFont="1" applyFill="1" applyBorder="1" applyAlignment="1" applyProtection="1">
      <alignment horizontal="center" vertical="center" wrapText="1"/>
      <protection hidden="1"/>
    </xf>
    <xf numFmtId="0" fontId="14" fillId="6" borderId="0" xfId="1" applyFont="1" applyFill="1" applyProtection="1">
      <alignment vertical="center"/>
      <protection hidden="1"/>
    </xf>
    <xf numFmtId="0" fontId="51" fillId="6" borderId="0" xfId="1" applyFont="1" applyFill="1" applyProtection="1">
      <alignment vertical="center"/>
      <protection hidden="1"/>
    </xf>
    <xf numFmtId="178" fontId="16" fillId="6" borderId="2" xfId="1" applyNumberFormat="1" applyFont="1" applyFill="1" applyBorder="1" applyProtection="1">
      <alignment vertical="center"/>
      <protection hidden="1"/>
    </xf>
    <xf numFmtId="0" fontId="16" fillId="6" borderId="57" xfId="1" applyFont="1" applyFill="1" applyBorder="1" applyProtection="1">
      <alignment vertical="center"/>
      <protection hidden="1"/>
    </xf>
    <xf numFmtId="0" fontId="52" fillId="15" borderId="36" xfId="0" applyFont="1" applyFill="1" applyBorder="1">
      <alignment vertical="center"/>
    </xf>
    <xf numFmtId="0" fontId="53" fillId="8" borderId="0" xfId="0" applyFont="1" applyFill="1">
      <alignment vertical="center"/>
    </xf>
    <xf numFmtId="0" fontId="54" fillId="18" borderId="0" xfId="0" applyFont="1" applyFill="1">
      <alignment vertical="center"/>
    </xf>
    <xf numFmtId="0" fontId="54" fillId="0" borderId="0" xfId="0" applyFont="1">
      <alignment vertical="center"/>
    </xf>
    <xf numFmtId="0" fontId="54" fillId="8" borderId="0" xfId="0" applyFont="1" applyFill="1" applyAlignment="1">
      <alignment vertical="center" shrinkToFit="1"/>
    </xf>
    <xf numFmtId="0" fontId="54" fillId="8" borderId="0" xfId="0" applyFont="1" applyFill="1">
      <alignment vertical="center"/>
    </xf>
    <xf numFmtId="0" fontId="54" fillId="18" borderId="0" xfId="0" applyFont="1" applyFill="1" applyAlignment="1">
      <alignment horizontal="right" vertical="center"/>
    </xf>
    <xf numFmtId="177" fontId="54" fillId="18" borderId="0" xfId="0" applyNumberFormat="1" applyFont="1" applyFill="1" applyAlignment="1">
      <alignment horizontal="right" vertical="center" shrinkToFit="1"/>
    </xf>
    <xf numFmtId="0" fontId="55" fillId="18" borderId="1" xfId="0" applyFont="1" applyFill="1" applyBorder="1" applyAlignment="1">
      <alignment horizontal="center" vertical="center"/>
    </xf>
    <xf numFmtId="0" fontId="55" fillId="0" borderId="1" xfId="0" applyFont="1" applyBorder="1" applyAlignment="1">
      <alignment horizontal="center" vertical="center"/>
    </xf>
    <xf numFmtId="0" fontId="55" fillId="18" borderId="1" xfId="0" applyFont="1" applyFill="1" applyBorder="1" applyAlignment="1">
      <alignment horizontal="center" vertical="center" wrapText="1"/>
    </xf>
    <xf numFmtId="0" fontId="55" fillId="18" borderId="1" xfId="0" applyFont="1" applyFill="1" applyBorder="1" applyAlignment="1">
      <alignment horizontal="center" vertical="center" shrinkToFit="1"/>
    </xf>
    <xf numFmtId="0" fontId="56" fillId="18" borderId="1" xfId="14" applyFont="1" applyFill="1" applyBorder="1" applyAlignment="1">
      <alignment horizontal="distributed" vertical="center"/>
    </xf>
    <xf numFmtId="0" fontId="57" fillId="19" borderId="1" xfId="0" applyFont="1" applyFill="1" applyBorder="1" applyAlignment="1" applyProtection="1">
      <alignment horizontal="center" vertical="center" wrapText="1"/>
      <protection locked="0"/>
    </xf>
    <xf numFmtId="38" fontId="58" fillId="5" borderId="1" xfId="2" applyFont="1" applyFill="1" applyBorder="1" applyAlignment="1" applyProtection="1">
      <alignment vertical="center" shrinkToFit="1"/>
      <protection locked="0"/>
    </xf>
    <xf numFmtId="38" fontId="58" fillId="0" borderId="1" xfId="2" applyFont="1" applyFill="1" applyBorder="1" applyAlignment="1" applyProtection="1">
      <alignment vertical="center" shrinkToFit="1"/>
      <protection locked="0"/>
    </xf>
    <xf numFmtId="204" fontId="58" fillId="18" borderId="1" xfId="2" applyNumberFormat="1" applyFont="1" applyFill="1" applyBorder="1" applyAlignment="1" applyProtection="1">
      <alignment horizontal="center" vertical="center" shrinkToFit="1"/>
    </xf>
    <xf numFmtId="38" fontId="58" fillId="18" borderId="1" xfId="2" applyFont="1" applyFill="1" applyBorder="1" applyAlignment="1" applyProtection="1">
      <alignment vertical="center" shrinkToFit="1"/>
    </xf>
    <xf numFmtId="203" fontId="58" fillId="18" borderId="1" xfId="2" applyNumberFormat="1" applyFont="1" applyFill="1" applyBorder="1" applyAlignment="1" applyProtection="1">
      <alignment vertical="center" shrinkToFit="1"/>
    </xf>
    <xf numFmtId="0" fontId="56" fillId="18" borderId="1" xfId="14" applyFont="1" applyFill="1" applyBorder="1" applyAlignment="1">
      <alignment horizontal="center" vertical="center"/>
    </xf>
    <xf numFmtId="38" fontId="58" fillId="20" borderId="1" xfId="2" applyFont="1" applyFill="1" applyBorder="1" applyAlignment="1" applyProtection="1">
      <alignment vertical="center" shrinkToFit="1"/>
      <protection locked="0"/>
    </xf>
    <xf numFmtId="0" fontId="54" fillId="18" borderId="1" xfId="0" applyFont="1" applyFill="1" applyBorder="1">
      <alignment vertical="center"/>
    </xf>
    <xf numFmtId="38" fontId="54" fillId="0" borderId="1" xfId="0" applyNumberFormat="1" applyFont="1" applyBorder="1" applyAlignment="1">
      <alignment vertical="center" shrinkToFit="1"/>
    </xf>
    <xf numFmtId="0" fontId="56" fillId="18" borderId="0" xfId="14" applyFont="1" applyFill="1" applyAlignment="1">
      <alignment horizontal="center" vertical="center"/>
    </xf>
    <xf numFmtId="0" fontId="56" fillId="18" borderId="0" xfId="14" applyFont="1" applyFill="1" applyAlignment="1">
      <alignment horizontal="distributed" vertical="center"/>
    </xf>
    <xf numFmtId="0" fontId="54" fillId="0" borderId="0" xfId="0" applyFont="1" applyAlignment="1">
      <alignment horizontal="center" vertical="center" shrinkToFit="1"/>
    </xf>
    <xf numFmtId="184" fontId="54" fillId="0" borderId="0" xfId="0" applyNumberFormat="1" applyFont="1" applyAlignment="1">
      <alignment vertical="center" shrinkToFit="1"/>
    </xf>
    <xf numFmtId="0" fontId="54" fillId="0" borderId="0" xfId="0" applyFont="1" applyAlignment="1">
      <alignment vertical="center" shrinkToFit="1"/>
    </xf>
    <xf numFmtId="0" fontId="54" fillId="18" borderId="1" xfId="0" applyFont="1" applyFill="1" applyBorder="1" applyAlignment="1">
      <alignment vertical="center" shrinkToFit="1"/>
    </xf>
    <xf numFmtId="0" fontId="54" fillId="18" borderId="1" xfId="0" applyFont="1" applyFill="1" applyBorder="1" applyAlignment="1">
      <alignment horizontal="center" vertical="center" wrapText="1"/>
    </xf>
    <xf numFmtId="0" fontId="54" fillId="18" borderId="1" xfId="0" applyFont="1" applyFill="1" applyBorder="1" applyAlignment="1">
      <alignment horizontal="center" vertical="center"/>
    </xf>
    <xf numFmtId="0" fontId="54" fillId="18" borderId="1" xfId="0" applyFont="1" applyFill="1" applyBorder="1" applyAlignment="1">
      <alignment horizontal="center" vertical="center" shrinkToFit="1"/>
    </xf>
    <xf numFmtId="38" fontId="54" fillId="18" borderId="1" xfId="0" applyNumberFormat="1" applyFont="1" applyFill="1" applyBorder="1" applyAlignment="1">
      <alignment vertical="center" shrinkToFit="1"/>
    </xf>
    <xf numFmtId="0" fontId="54" fillId="0" borderId="1" xfId="0" applyFont="1" applyBorder="1">
      <alignment vertical="center"/>
    </xf>
    <xf numFmtId="0" fontId="55" fillId="18" borderId="1" xfId="0" applyFont="1" applyFill="1" applyBorder="1" applyAlignment="1">
      <alignment vertical="center" shrinkToFit="1"/>
    </xf>
    <xf numFmtId="0" fontId="55" fillId="0" borderId="1" xfId="0" applyFont="1" applyBorder="1" applyAlignment="1">
      <alignment horizontal="distributed" vertical="center" wrapText="1" indent="1"/>
    </xf>
    <xf numFmtId="0" fontId="55" fillId="0" borderId="1" xfId="0" applyFont="1" applyBorder="1" applyAlignment="1" applyProtection="1">
      <alignment horizontal="center" vertical="center" wrapText="1"/>
      <protection locked="0"/>
    </xf>
    <xf numFmtId="0" fontId="58" fillId="18" borderId="1" xfId="0" applyFont="1" applyFill="1" applyBorder="1" applyAlignment="1">
      <alignment horizontal="center" vertical="center" shrinkToFit="1"/>
    </xf>
    <xf numFmtId="189" fontId="58" fillId="18" borderId="1" xfId="0" applyNumberFormat="1" applyFont="1" applyFill="1" applyBorder="1" applyAlignment="1">
      <alignment vertical="center" shrinkToFit="1"/>
    </xf>
    <xf numFmtId="0" fontId="55" fillId="0" borderId="2" xfId="0" applyFont="1" applyBorder="1" applyAlignment="1" applyProtection="1">
      <alignment horizontal="center" vertical="center" wrapText="1"/>
      <protection locked="0"/>
    </xf>
    <xf numFmtId="0" fontId="55" fillId="18" borderId="0" xfId="0" applyFont="1" applyFill="1" applyAlignment="1">
      <alignment horizontal="center" vertical="center" wrapText="1"/>
    </xf>
    <xf numFmtId="0" fontId="55" fillId="18" borderId="38" xfId="0" applyFont="1" applyFill="1" applyBorder="1" applyAlignment="1">
      <alignment horizontal="center" vertical="center" wrapText="1"/>
    </xf>
    <xf numFmtId="0" fontId="56" fillId="0" borderId="1" xfId="14" applyFont="1" applyBorder="1" applyAlignment="1">
      <alignment horizontal="distributed" vertical="center" indent="1" shrinkToFit="1"/>
    </xf>
    <xf numFmtId="197" fontId="58" fillId="18" borderId="1" xfId="2" applyNumberFormat="1" applyFont="1" applyFill="1" applyBorder="1" applyAlignment="1" applyProtection="1">
      <alignment horizontal="center" vertical="center" shrinkToFit="1"/>
    </xf>
    <xf numFmtId="0" fontId="55" fillId="18" borderId="88" xfId="0" applyFont="1" applyFill="1" applyBorder="1" applyAlignment="1">
      <alignment horizontal="center" vertical="center" wrapText="1"/>
    </xf>
    <xf numFmtId="0" fontId="54" fillId="18" borderId="0" xfId="0" applyFont="1" applyFill="1" applyAlignment="1">
      <alignment horizontal="distributed" vertical="center"/>
    </xf>
    <xf numFmtId="177" fontId="54" fillId="0" borderId="0" xfId="0" applyNumberFormat="1" applyFont="1" applyAlignment="1">
      <alignment vertical="center" shrinkToFit="1"/>
    </xf>
    <xf numFmtId="0" fontId="54" fillId="0" borderId="0" xfId="0" applyFont="1" applyAlignment="1">
      <alignment horizontal="right" vertical="center"/>
    </xf>
    <xf numFmtId="177" fontId="54" fillId="0" borderId="0" xfId="0" applyNumberFormat="1" applyFont="1" applyAlignment="1">
      <alignment horizontal="center" vertical="center"/>
    </xf>
    <xf numFmtId="0" fontId="55" fillId="0" borderId="1" xfId="0" applyFont="1" applyBorder="1" applyAlignment="1">
      <alignment horizontal="center" vertical="center" wrapText="1"/>
    </xf>
    <xf numFmtId="0" fontId="55" fillId="19" borderId="1" xfId="0" applyFont="1" applyFill="1" applyBorder="1" applyAlignment="1" applyProtection="1">
      <alignment horizontal="center" vertical="center" wrapText="1"/>
      <protection locked="0"/>
    </xf>
    <xf numFmtId="0" fontId="60" fillId="0" borderId="1" xfId="0" applyFont="1" applyBorder="1" applyAlignment="1">
      <alignment horizontal="center" vertical="center" wrapText="1"/>
    </xf>
    <xf numFmtId="205" fontId="58" fillId="0" borderId="1" xfId="2" applyNumberFormat="1" applyFont="1" applyFill="1" applyBorder="1" applyAlignment="1" applyProtection="1">
      <alignment vertical="center" shrinkToFit="1"/>
      <protection locked="0"/>
    </xf>
    <xf numFmtId="184" fontId="58" fillId="0" borderId="1" xfId="2" applyNumberFormat="1" applyFont="1" applyFill="1" applyBorder="1" applyAlignment="1" applyProtection="1">
      <alignment vertical="center" shrinkToFit="1"/>
      <protection locked="0"/>
    </xf>
    <xf numFmtId="179" fontId="54" fillId="0" borderId="0" xfId="0" applyNumberFormat="1" applyFont="1" applyAlignment="1">
      <alignment horizontal="center" vertical="center"/>
    </xf>
    <xf numFmtId="0" fontId="54" fillId="0" borderId="1" xfId="0" applyFont="1" applyBorder="1" applyAlignment="1">
      <alignment horizontal="left" vertical="center"/>
    </xf>
    <xf numFmtId="189" fontId="54" fillId="0" borderId="0" xfId="0" applyNumberFormat="1" applyFont="1">
      <alignment vertical="center"/>
    </xf>
    <xf numFmtId="191" fontId="54" fillId="0" borderId="1" xfId="0" applyNumberFormat="1" applyFont="1" applyBorder="1">
      <alignment vertical="center"/>
    </xf>
    <xf numFmtId="0" fontId="63" fillId="0" borderId="0" xfId="0" applyFont="1">
      <alignment vertical="center"/>
    </xf>
    <xf numFmtId="0" fontId="54" fillId="8" borderId="0" xfId="0" applyFont="1" applyFill="1" applyAlignment="1">
      <alignment horizontal="center" vertical="center" shrinkToFit="1"/>
    </xf>
    <xf numFmtId="0" fontId="58" fillId="0" borderId="0" xfId="0" applyFont="1">
      <alignment vertical="center"/>
    </xf>
    <xf numFmtId="0" fontId="60" fillId="0" borderId="0" xfId="0" applyFont="1">
      <alignment vertical="center"/>
    </xf>
    <xf numFmtId="0" fontId="60" fillId="0" borderId="0" xfId="0" applyFont="1" applyAlignment="1">
      <alignment horizontal="right" vertical="center"/>
    </xf>
    <xf numFmtId="177" fontId="54" fillId="18" borderId="46" xfId="0" applyNumberFormat="1" applyFont="1" applyFill="1" applyBorder="1" applyAlignment="1">
      <alignment vertical="center" shrinkToFit="1"/>
    </xf>
    <xf numFmtId="177" fontId="54" fillId="18" borderId="46" xfId="0" applyNumberFormat="1" applyFont="1" applyFill="1" applyBorder="1" applyAlignment="1">
      <alignment horizontal="right" vertical="center"/>
    </xf>
    <xf numFmtId="0" fontId="56" fillId="0" borderId="51"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1" xfId="0" applyFont="1" applyBorder="1" applyAlignment="1">
      <alignment vertical="center" wrapText="1"/>
    </xf>
    <xf numFmtId="0" fontId="55" fillId="21" borderId="1" xfId="0" applyFont="1" applyFill="1" applyBorder="1" applyAlignment="1">
      <alignment horizontal="center" vertical="center" wrapText="1"/>
    </xf>
    <xf numFmtId="0" fontId="60" fillId="6" borderId="1" xfId="0" applyFont="1" applyFill="1" applyBorder="1" applyAlignment="1" applyProtection="1">
      <alignment horizontal="center" vertical="center"/>
      <protection locked="0"/>
    </xf>
    <xf numFmtId="0" fontId="54" fillId="0" borderId="1" xfId="0" applyFont="1" applyBorder="1" applyAlignment="1" applyProtection="1">
      <alignment vertical="center" shrinkToFit="1"/>
      <protection locked="0"/>
    </xf>
    <xf numFmtId="0" fontId="54" fillId="0" borderId="1" xfId="0" applyFont="1" applyBorder="1" applyAlignment="1">
      <alignment vertical="center" shrinkToFit="1"/>
    </xf>
    <xf numFmtId="0" fontId="54" fillId="21" borderId="1" xfId="0" applyFont="1" applyFill="1" applyBorder="1" applyAlignment="1">
      <alignment horizontal="center" vertical="center" shrinkToFit="1"/>
    </xf>
    <xf numFmtId="206" fontId="54" fillId="0" borderId="1" xfId="2" applyNumberFormat="1" applyFont="1" applyFill="1" applyBorder="1" applyAlignment="1" applyProtection="1">
      <alignment vertical="center" shrinkToFit="1"/>
    </xf>
    <xf numFmtId="0" fontId="56" fillId="18" borderId="1" xfId="14" applyFont="1" applyFill="1" applyBorder="1" applyAlignment="1">
      <alignment horizontal="center" vertical="center" shrinkToFit="1"/>
    </xf>
    <xf numFmtId="0" fontId="56" fillId="18" borderId="181" xfId="14" applyFont="1" applyFill="1" applyBorder="1" applyAlignment="1">
      <alignment horizontal="center" vertical="center"/>
    </xf>
    <xf numFmtId="0" fontId="60" fillId="18" borderId="1" xfId="0" applyFont="1" applyFill="1" applyBorder="1" applyAlignment="1">
      <alignment horizontal="center" vertical="center"/>
    </xf>
    <xf numFmtId="0" fontId="60" fillId="6" borderId="1" xfId="0" applyFont="1" applyFill="1" applyBorder="1" applyAlignment="1" applyProtection="1">
      <alignment horizontal="center" vertical="center" wrapText="1"/>
      <protection locked="0"/>
    </xf>
    <xf numFmtId="0" fontId="65" fillId="21" borderId="1" xfId="0" applyFont="1" applyFill="1" applyBorder="1" applyAlignment="1">
      <alignment horizontal="center" vertical="center" shrinkToFit="1"/>
    </xf>
    <xf numFmtId="0" fontId="56" fillId="18" borderId="1" xfId="14" applyFont="1" applyFill="1" applyBorder="1" applyAlignment="1">
      <alignment horizontal="center" vertical="center" wrapText="1"/>
    </xf>
    <xf numFmtId="0" fontId="60" fillId="18" borderId="1" xfId="0" applyFont="1" applyFill="1" applyBorder="1" applyAlignment="1">
      <alignment horizontal="center" vertical="center" wrapText="1"/>
    </xf>
    <xf numFmtId="190" fontId="56" fillId="18" borderId="1" xfId="14" applyNumberFormat="1" applyFont="1" applyFill="1" applyBorder="1" applyAlignment="1">
      <alignment horizontal="center" vertical="center" shrinkToFit="1"/>
    </xf>
    <xf numFmtId="0" fontId="66" fillId="18" borderId="1" xfId="14" applyFont="1" applyFill="1" applyBorder="1" applyAlignment="1">
      <alignment horizontal="center" vertical="center" shrinkToFit="1"/>
    </xf>
    <xf numFmtId="0" fontId="54" fillId="0" borderId="60" xfId="0" applyFont="1" applyBorder="1" applyAlignment="1">
      <alignment vertical="center" shrinkToFit="1"/>
    </xf>
    <xf numFmtId="192" fontId="56" fillId="18" borderId="1" xfId="14" applyNumberFormat="1" applyFont="1" applyFill="1" applyBorder="1" applyAlignment="1">
      <alignment horizontal="center" vertical="center" shrinkToFit="1"/>
    </xf>
    <xf numFmtId="0" fontId="4" fillId="6" borderId="1" xfId="0" applyFont="1" applyFill="1" applyBorder="1" applyAlignment="1" applyProtection="1">
      <alignment horizontal="center" vertical="center" shrinkToFit="1"/>
      <protection locked="0"/>
    </xf>
    <xf numFmtId="0" fontId="54" fillId="0" borderId="1" xfId="0" applyFont="1" applyBorder="1" applyAlignment="1">
      <alignment horizontal="center" vertical="center" shrinkToFit="1"/>
    </xf>
    <xf numFmtId="0" fontId="56" fillId="0" borderId="1" xfId="14" applyFont="1" applyBorder="1" applyAlignment="1" applyProtection="1">
      <alignment horizontal="center" vertical="center" shrinkToFit="1"/>
      <protection locked="0"/>
    </xf>
    <xf numFmtId="0" fontId="60" fillId="6" borderId="33" xfId="0" applyFont="1" applyFill="1" applyBorder="1" applyAlignment="1" applyProtection="1">
      <alignment horizontal="center" vertical="center"/>
      <protection locked="0"/>
    </xf>
    <xf numFmtId="206" fontId="54" fillId="0" borderId="1" xfId="2" applyNumberFormat="1" applyFont="1" applyFill="1" applyBorder="1" applyAlignment="1" applyProtection="1">
      <alignment vertical="center" shrinkToFit="1"/>
      <protection locked="0"/>
    </xf>
    <xf numFmtId="0" fontId="56" fillId="18" borderId="1" xfId="14" applyFont="1" applyFill="1" applyBorder="1" applyAlignment="1">
      <alignment horizontal="distributed" vertical="center" shrinkToFit="1"/>
    </xf>
    <xf numFmtId="0" fontId="56" fillId="18" borderId="181" xfId="14" applyFont="1" applyFill="1" applyBorder="1" applyAlignment="1">
      <alignment horizontal="center" vertical="center" wrapText="1"/>
    </xf>
    <xf numFmtId="0" fontId="55" fillId="18" borderId="1" xfId="0" applyFont="1" applyFill="1" applyBorder="1" applyAlignment="1">
      <alignment horizontal="distributed" vertical="center" shrinkToFit="1"/>
    </xf>
    <xf numFmtId="0" fontId="55" fillId="18" borderId="181" xfId="0" applyFont="1" applyFill="1" applyBorder="1" applyAlignment="1">
      <alignment horizontal="center" vertical="center" wrapText="1"/>
    </xf>
    <xf numFmtId="0" fontId="66" fillId="18" borderId="1" xfId="0" applyFont="1" applyFill="1" applyBorder="1" applyAlignment="1">
      <alignment horizontal="center" vertical="center" wrapText="1"/>
    </xf>
    <xf numFmtId="0" fontId="56" fillId="18" borderId="1" xfId="0" applyFont="1" applyFill="1" applyBorder="1" applyAlignment="1">
      <alignment horizontal="center" vertical="center" wrapText="1"/>
    </xf>
    <xf numFmtId="0" fontId="58" fillId="18" borderId="180" xfId="0" applyFont="1" applyFill="1" applyBorder="1" applyAlignment="1">
      <alignment horizontal="center" vertical="center" textRotation="255"/>
    </xf>
    <xf numFmtId="0" fontId="60" fillId="0" borderId="1" xfId="0" applyFont="1" applyBorder="1" applyAlignment="1">
      <alignment horizontal="center" vertical="center"/>
    </xf>
    <xf numFmtId="0" fontId="55" fillId="0" borderId="60" xfId="0" applyFont="1" applyBorder="1" applyAlignment="1">
      <alignment horizontal="center" vertical="center" shrinkToFit="1"/>
    </xf>
    <xf numFmtId="0" fontId="55" fillId="18" borderId="185" xfId="0" applyFont="1" applyFill="1" applyBorder="1" applyAlignment="1">
      <alignment horizontal="center" vertical="center" wrapText="1"/>
    </xf>
    <xf numFmtId="0" fontId="55" fillId="18" borderId="182" xfId="0" applyFont="1" applyFill="1" applyBorder="1" applyAlignment="1">
      <alignment vertical="center" textRotation="255"/>
    </xf>
    <xf numFmtId="0" fontId="60" fillId="0" borderId="37" xfId="0" applyFont="1" applyBorder="1" applyAlignment="1">
      <alignment horizontal="center" vertical="center"/>
    </xf>
    <xf numFmtId="0" fontId="54" fillId="0" borderId="37" xfId="0" applyFont="1" applyBorder="1" applyAlignment="1" applyProtection="1">
      <alignment vertical="center" shrinkToFit="1"/>
      <protection locked="0"/>
    </xf>
    <xf numFmtId="0" fontId="54" fillId="0" borderId="84" xfId="0" applyFont="1" applyBorder="1" applyAlignment="1">
      <alignment vertical="center" shrinkToFit="1"/>
    </xf>
    <xf numFmtId="0" fontId="54" fillId="0" borderId="37" xfId="0" applyFont="1" applyBorder="1" applyAlignment="1">
      <alignment vertical="center" shrinkToFit="1"/>
    </xf>
    <xf numFmtId="0" fontId="54" fillId="21" borderId="37" xfId="0" applyFont="1" applyFill="1" applyBorder="1" applyAlignment="1">
      <alignment horizontal="center" vertical="center" shrinkToFit="1"/>
    </xf>
    <xf numFmtId="0" fontId="55" fillId="0" borderId="84" xfId="0" applyFont="1" applyBorder="1" applyAlignment="1">
      <alignment horizontal="center" vertical="center" shrinkToFit="1"/>
    </xf>
    <xf numFmtId="0" fontId="55" fillId="18" borderId="186" xfId="0" applyFont="1" applyFill="1" applyBorder="1" applyAlignment="1">
      <alignment horizontal="center" vertical="center" wrapText="1"/>
    </xf>
    <xf numFmtId="0" fontId="54" fillId="18" borderId="180" xfId="0" applyFont="1" applyFill="1" applyBorder="1" applyAlignment="1">
      <alignment horizontal="center" vertical="center"/>
    </xf>
    <xf numFmtId="0" fontId="71" fillId="18" borderId="1" xfId="0" applyFont="1" applyFill="1" applyBorder="1" applyAlignment="1">
      <alignment horizontal="center" vertical="center"/>
    </xf>
    <xf numFmtId="0" fontId="54" fillId="0" borderId="1" xfId="0" applyFont="1" applyBorder="1" applyProtection="1">
      <alignment vertical="center"/>
      <protection locked="0"/>
    </xf>
    <xf numFmtId="0" fontId="54" fillId="0" borderId="60" xfId="0" applyFont="1" applyBorder="1">
      <alignment vertical="center"/>
    </xf>
    <xf numFmtId="38" fontId="64" fillId="0" borderId="1" xfId="15" applyNumberFormat="1" applyFont="1" applyBorder="1" applyAlignment="1">
      <alignment vertical="center"/>
    </xf>
    <xf numFmtId="0" fontId="54" fillId="21" borderId="1" xfId="0" applyFont="1" applyFill="1" applyBorder="1" applyAlignment="1">
      <alignment horizontal="center" vertical="center"/>
    </xf>
    <xf numFmtId="0" fontId="55" fillId="18" borderId="60" xfId="0" applyFont="1" applyFill="1" applyBorder="1" applyAlignment="1">
      <alignment horizontal="center" vertical="center"/>
    </xf>
    <xf numFmtId="0" fontId="55" fillId="18" borderId="185" xfId="0" applyFont="1" applyFill="1" applyBorder="1" applyAlignment="1">
      <alignment horizontal="center" vertical="center"/>
    </xf>
    <xf numFmtId="0" fontId="54" fillId="18" borderId="187" xfId="0" applyFont="1" applyFill="1" applyBorder="1" applyAlignment="1">
      <alignment horizontal="center" vertical="center"/>
    </xf>
    <xf numFmtId="0" fontId="71" fillId="18" borderId="68" xfId="0" applyFont="1" applyFill="1" applyBorder="1" applyAlignment="1">
      <alignment horizontal="center" vertical="center"/>
    </xf>
    <xf numFmtId="0" fontId="54" fillId="0" borderId="68" xfId="0" applyFont="1" applyBorder="1" applyAlignment="1" applyProtection="1">
      <alignment vertical="center" shrinkToFit="1"/>
      <protection locked="0"/>
    </xf>
    <xf numFmtId="0" fontId="54" fillId="0" borderId="68" xfId="0" applyFont="1" applyBorder="1">
      <alignment vertical="center"/>
    </xf>
    <xf numFmtId="0" fontId="54" fillId="0" borderId="68" xfId="0" applyFont="1" applyBorder="1" applyProtection="1">
      <alignment vertical="center"/>
      <protection locked="0"/>
    </xf>
    <xf numFmtId="0" fontId="54" fillId="0" borderId="67" xfId="0" applyFont="1" applyBorder="1">
      <alignment vertical="center"/>
    </xf>
    <xf numFmtId="0" fontId="54" fillId="0" borderId="67" xfId="0" applyFont="1" applyBorder="1" applyAlignment="1">
      <alignment vertical="center" shrinkToFit="1"/>
    </xf>
    <xf numFmtId="38" fontId="64" fillId="0" borderId="68" xfId="15" applyNumberFormat="1" applyFont="1" applyBorder="1" applyAlignment="1">
      <alignment vertical="center"/>
    </xf>
    <xf numFmtId="0" fontId="54" fillId="21" borderId="68" xfId="0" applyFont="1" applyFill="1" applyBorder="1" applyAlignment="1">
      <alignment horizontal="center" vertical="center"/>
    </xf>
    <xf numFmtId="0" fontId="54" fillId="0" borderId="68" xfId="0" applyFont="1" applyBorder="1" applyAlignment="1">
      <alignment vertical="center" shrinkToFit="1"/>
    </xf>
    <xf numFmtId="206" fontId="54" fillId="0" borderId="68" xfId="2" applyNumberFormat="1" applyFont="1" applyFill="1" applyBorder="1" applyAlignment="1" applyProtection="1">
      <alignment vertical="center" shrinkToFit="1"/>
    </xf>
    <xf numFmtId="0" fontId="55" fillId="18" borderId="67" xfId="0" applyFont="1" applyFill="1" applyBorder="1" applyAlignment="1">
      <alignment horizontal="center" vertical="center"/>
    </xf>
    <xf numFmtId="0" fontId="55" fillId="18" borderId="188" xfId="0" applyFont="1" applyFill="1" applyBorder="1" applyAlignment="1">
      <alignment horizontal="center" vertical="center"/>
    </xf>
    <xf numFmtId="0" fontId="54" fillId="0" borderId="122" xfId="0" applyFont="1" applyBorder="1">
      <alignment vertical="center"/>
    </xf>
    <xf numFmtId="0" fontId="54" fillId="18" borderId="118" xfId="0" applyFont="1" applyFill="1" applyBorder="1">
      <alignment vertical="center"/>
    </xf>
    <xf numFmtId="0" fontId="54" fillId="0" borderId="111" xfId="0" applyFont="1" applyBorder="1">
      <alignment vertical="center"/>
    </xf>
    <xf numFmtId="0" fontId="54" fillId="0" borderId="111" xfId="0" applyFont="1" applyBorder="1" applyAlignment="1">
      <alignment vertical="center" shrinkToFit="1"/>
    </xf>
    <xf numFmtId="0" fontId="54" fillId="0" borderId="118" xfId="0" applyFont="1" applyBorder="1">
      <alignment vertical="center"/>
    </xf>
    <xf numFmtId="0" fontId="54" fillId="0" borderId="123" xfId="0" applyFont="1" applyBorder="1">
      <alignment vertical="center"/>
    </xf>
    <xf numFmtId="0" fontId="72" fillId="18" borderId="0" xfId="0" applyFont="1" applyFill="1">
      <alignment vertical="center"/>
    </xf>
    <xf numFmtId="0" fontId="74" fillId="18" borderId="0" xfId="0" applyFont="1" applyFill="1">
      <alignment vertical="center"/>
    </xf>
    <xf numFmtId="14" fontId="74" fillId="18" borderId="0" xfId="0" applyNumberFormat="1" applyFont="1" applyFill="1">
      <alignment vertical="center"/>
    </xf>
    <xf numFmtId="177" fontId="75" fillId="18" borderId="0" xfId="0" applyNumberFormat="1" applyFont="1" applyFill="1">
      <alignment vertical="center"/>
    </xf>
    <xf numFmtId="191" fontId="74" fillId="18" borderId="0" xfId="0" applyNumberFormat="1" applyFont="1" applyFill="1">
      <alignment vertical="center"/>
    </xf>
    <xf numFmtId="0" fontId="74" fillId="18" borderId="0" xfId="0" applyFont="1" applyFill="1" applyAlignment="1">
      <alignment horizontal="right" vertical="center"/>
    </xf>
    <xf numFmtId="0" fontId="74" fillId="18" borderId="0" xfId="0" applyFont="1" applyFill="1" applyAlignment="1">
      <alignment horizontal="left" vertical="center"/>
    </xf>
    <xf numFmtId="0" fontId="0" fillId="0" borderId="0" xfId="0" applyAlignment="1">
      <alignment horizontal="left" vertical="center"/>
    </xf>
    <xf numFmtId="0" fontId="76" fillId="18" borderId="0" xfId="0" applyFont="1" applyFill="1" applyAlignment="1">
      <alignment vertical="top"/>
    </xf>
    <xf numFmtId="0" fontId="76" fillId="18" borderId="29" xfId="0" applyFont="1" applyFill="1" applyBorder="1" applyAlignment="1">
      <alignment horizontal="center" vertical="center"/>
    </xf>
    <xf numFmtId="0" fontId="74" fillId="18" borderId="29" xfId="0" applyFont="1" applyFill="1" applyBorder="1">
      <alignment vertical="center"/>
    </xf>
    <xf numFmtId="0" fontId="76" fillId="18" borderId="56" xfId="0" applyFont="1" applyFill="1" applyBorder="1" applyAlignment="1">
      <alignment horizontal="left" vertical="center"/>
    </xf>
    <xf numFmtId="0" fontId="76" fillId="18" borderId="4" xfId="0" applyFont="1" applyFill="1" applyBorder="1" applyAlignment="1">
      <alignment horizontal="left" vertical="center"/>
    </xf>
    <xf numFmtId="0" fontId="76" fillId="18" borderId="0" xfId="0" applyFont="1" applyFill="1" applyAlignment="1">
      <alignment horizontal="left" vertical="center"/>
    </xf>
    <xf numFmtId="0" fontId="74" fillId="18" borderId="0" xfId="0" applyFont="1" applyFill="1" applyAlignment="1"/>
    <xf numFmtId="0" fontId="76" fillId="8" borderId="0" xfId="0" applyFont="1" applyFill="1" applyAlignment="1" applyProtection="1">
      <alignment horizontal="center" vertical="center"/>
      <protection locked="0"/>
    </xf>
    <xf numFmtId="0" fontId="77" fillId="18" borderId="1" xfId="14" applyFont="1" applyFill="1" applyBorder="1">
      <alignment vertical="center"/>
    </xf>
    <xf numFmtId="0" fontId="77" fillId="0" borderId="1" xfId="14" applyFont="1" applyBorder="1" applyAlignment="1">
      <alignment vertical="center" wrapText="1"/>
    </xf>
    <xf numFmtId="0" fontId="77" fillId="22" borderId="1" xfId="14" applyFont="1" applyFill="1" applyBorder="1" applyAlignment="1">
      <alignment vertical="center" wrapText="1"/>
    </xf>
    <xf numFmtId="0" fontId="77" fillId="18" borderId="1" xfId="14" applyFont="1" applyFill="1" applyBorder="1" applyAlignment="1">
      <alignment horizontal="center" vertical="center" wrapText="1"/>
    </xf>
    <xf numFmtId="0" fontId="77" fillId="22" borderId="1" xfId="14" applyFont="1" applyFill="1" applyBorder="1" applyAlignment="1">
      <alignment horizontal="center" vertical="center" wrapText="1"/>
    </xf>
    <xf numFmtId="0" fontId="77" fillId="18" borderId="1" xfId="14" applyFont="1" applyFill="1" applyBorder="1" applyAlignment="1">
      <alignment horizontal="center" vertical="center"/>
    </xf>
    <xf numFmtId="0" fontId="77" fillId="18" borderId="33" xfId="14" applyFont="1" applyFill="1" applyBorder="1" applyAlignment="1">
      <alignment horizontal="center" vertical="center" wrapText="1"/>
    </xf>
    <xf numFmtId="0" fontId="78" fillId="0" borderId="33" xfId="0" applyFont="1" applyBorder="1">
      <alignment vertical="center"/>
    </xf>
    <xf numFmtId="0" fontId="0" fillId="7" borderId="0" xfId="0" applyFill="1">
      <alignment vertical="center"/>
    </xf>
    <xf numFmtId="0" fontId="77" fillId="18" borderId="1" xfId="14" applyFont="1" applyFill="1" applyBorder="1" applyAlignment="1" applyProtection="1">
      <alignment horizontal="center" vertical="center"/>
      <protection locked="0"/>
    </xf>
    <xf numFmtId="0" fontId="77" fillId="18" borderId="1" xfId="14" applyFont="1" applyFill="1" applyBorder="1" applyAlignment="1" applyProtection="1">
      <alignment horizontal="center" vertical="center" wrapText="1"/>
      <protection locked="0"/>
    </xf>
    <xf numFmtId="0" fontId="77" fillId="7" borderId="1" xfId="14" applyFont="1" applyFill="1" applyBorder="1" applyAlignment="1" applyProtection="1">
      <alignment horizontal="center" vertical="center" wrapText="1"/>
      <protection locked="0"/>
    </xf>
    <xf numFmtId="0" fontId="77" fillId="7" borderId="1" xfId="14" applyFont="1" applyFill="1" applyBorder="1" applyAlignment="1" applyProtection="1">
      <alignment horizontal="center" vertical="center"/>
      <protection locked="0"/>
    </xf>
    <xf numFmtId="0" fontId="80" fillId="18" borderId="1" xfId="14" applyFont="1" applyFill="1" applyBorder="1" applyAlignment="1">
      <alignment horizontal="center" vertical="center" shrinkToFit="1"/>
    </xf>
    <xf numFmtId="179" fontId="80" fillId="18" borderId="1" xfId="2" applyNumberFormat="1" applyFont="1" applyFill="1" applyBorder="1" applyAlignment="1">
      <alignment horizontal="center" vertical="center" shrinkToFit="1"/>
    </xf>
    <xf numFmtId="179" fontId="80" fillId="18" borderId="1" xfId="14" applyNumberFormat="1" applyFont="1" applyFill="1" applyBorder="1" applyAlignment="1">
      <alignment horizontal="center" vertical="center" shrinkToFit="1"/>
    </xf>
    <xf numFmtId="207" fontId="80" fillId="18" borderId="1" xfId="14" applyNumberFormat="1" applyFont="1" applyFill="1" applyBorder="1" applyAlignment="1">
      <alignment horizontal="center" vertical="center" shrinkToFit="1"/>
    </xf>
    <xf numFmtId="0" fontId="80" fillId="18" borderId="1" xfId="14" quotePrefix="1" applyFont="1" applyFill="1" applyBorder="1" applyAlignment="1">
      <alignment horizontal="center" vertical="center" shrinkToFit="1"/>
    </xf>
    <xf numFmtId="198" fontId="80" fillId="18" borderId="1" xfId="14" applyNumberFormat="1" applyFont="1" applyFill="1" applyBorder="1" applyAlignment="1">
      <alignment horizontal="center" vertical="center" shrinkToFit="1"/>
    </xf>
    <xf numFmtId="0" fontId="81" fillId="0" borderId="1" xfId="0" applyFont="1" applyBorder="1">
      <alignment vertical="center"/>
    </xf>
    <xf numFmtId="0" fontId="77" fillId="18" borderId="1" xfId="14" applyFont="1" applyFill="1" applyBorder="1" applyAlignment="1">
      <alignment horizontal="center" vertical="center" shrinkToFit="1"/>
    </xf>
    <xf numFmtId="40" fontId="77" fillId="17" borderId="1" xfId="2" applyNumberFormat="1" applyFont="1" applyFill="1" applyBorder="1" applyAlignment="1" applyProtection="1">
      <alignment horizontal="center" vertical="center" shrinkToFit="1"/>
      <protection locked="0"/>
    </xf>
    <xf numFmtId="40" fontId="77" fillId="18" borderId="1" xfId="2" applyNumberFormat="1" applyFont="1" applyFill="1" applyBorder="1" applyAlignment="1" applyProtection="1">
      <alignment horizontal="center" vertical="center" shrinkToFit="1"/>
    </xf>
    <xf numFmtId="0" fontId="85" fillId="18" borderId="1" xfId="0" applyFont="1" applyFill="1" applyBorder="1">
      <alignment vertical="center"/>
    </xf>
    <xf numFmtId="177" fontId="85" fillId="18" borderId="1" xfId="0" applyNumberFormat="1" applyFont="1" applyFill="1" applyBorder="1" applyAlignment="1">
      <alignment vertical="center" shrinkToFit="1"/>
    </xf>
    <xf numFmtId="179" fontId="77" fillId="18" borderId="1" xfId="14" applyNumberFormat="1" applyFont="1" applyFill="1" applyBorder="1" applyAlignment="1">
      <alignment horizontal="center" vertical="center" shrinkToFit="1"/>
    </xf>
    <xf numFmtId="197" fontId="80" fillId="18" borderId="1" xfId="2" applyNumberFormat="1" applyFont="1" applyFill="1" applyBorder="1" applyAlignment="1">
      <alignment horizontal="center" vertical="center" shrinkToFit="1"/>
    </xf>
    <xf numFmtId="194" fontId="80" fillId="18" borderId="1" xfId="14" applyNumberFormat="1" applyFont="1" applyFill="1" applyBorder="1" applyAlignment="1">
      <alignment horizontal="center" vertical="center" shrinkToFit="1"/>
    </xf>
    <xf numFmtId="180" fontId="77" fillId="18" borderId="60" xfId="2" applyNumberFormat="1" applyFont="1" applyFill="1" applyBorder="1" applyAlignment="1">
      <alignment vertical="center" shrinkToFit="1"/>
    </xf>
    <xf numFmtId="40" fontId="77" fillId="17" borderId="60" xfId="2" applyNumberFormat="1" applyFont="1" applyFill="1" applyBorder="1" applyAlignment="1" applyProtection="1">
      <alignment vertical="center" shrinkToFit="1"/>
      <protection locked="0"/>
    </xf>
    <xf numFmtId="0" fontId="82" fillId="18" borderId="60" xfId="0" applyFont="1" applyFill="1" applyBorder="1" applyAlignment="1">
      <alignment vertical="center" shrinkToFit="1"/>
    </xf>
    <xf numFmtId="189" fontId="80" fillId="18" borderId="60" xfId="14" applyNumberFormat="1" applyFont="1" applyFill="1" applyBorder="1" applyAlignment="1">
      <alignment horizontal="center" vertical="center" shrinkToFit="1"/>
    </xf>
    <xf numFmtId="179" fontId="82" fillId="18" borderId="1" xfId="0" applyNumberFormat="1" applyFont="1" applyFill="1" applyBorder="1" applyAlignment="1">
      <alignment horizontal="center" vertical="center" shrinkToFit="1"/>
    </xf>
    <xf numFmtId="0" fontId="80" fillId="18" borderId="60" xfId="14" quotePrefix="1" applyFont="1" applyFill="1" applyBorder="1" applyAlignment="1">
      <alignment horizontal="center" vertical="center" shrinkToFit="1"/>
    </xf>
    <xf numFmtId="198" fontId="80" fillId="18" borderId="60" xfId="14" applyNumberFormat="1" applyFont="1" applyFill="1" applyBorder="1" applyAlignment="1">
      <alignment horizontal="center" vertical="center" shrinkToFit="1"/>
    </xf>
    <xf numFmtId="4" fontId="80" fillId="18" borderId="1" xfId="14" applyNumberFormat="1" applyFont="1" applyFill="1" applyBorder="1" applyAlignment="1">
      <alignment horizontal="center" vertical="center" shrinkToFit="1"/>
    </xf>
    <xf numFmtId="0" fontId="82" fillId="18" borderId="1" xfId="0" applyFont="1" applyFill="1" applyBorder="1" applyAlignment="1">
      <alignment vertical="center" shrinkToFit="1"/>
    </xf>
    <xf numFmtId="189" fontId="80" fillId="18" borderId="1" xfId="14" applyNumberFormat="1" applyFont="1" applyFill="1" applyBorder="1" applyAlignment="1">
      <alignment horizontal="center" vertical="center" shrinkToFit="1"/>
    </xf>
    <xf numFmtId="208" fontId="80" fillId="18" borderId="1" xfId="14" applyNumberFormat="1" applyFont="1" applyFill="1" applyBorder="1" applyAlignment="1">
      <alignment horizontal="center" vertical="center" shrinkToFit="1"/>
    </xf>
    <xf numFmtId="191" fontId="80" fillId="18" borderId="1" xfId="14" applyNumberFormat="1" applyFont="1" applyFill="1" applyBorder="1" applyAlignment="1">
      <alignment horizontal="center" vertical="center" shrinkToFit="1"/>
    </xf>
    <xf numFmtId="0" fontId="87" fillId="18" borderId="1" xfId="14" applyFont="1" applyFill="1" applyBorder="1" applyAlignment="1" applyProtection="1">
      <alignment horizontal="center" vertical="center" shrinkToFit="1"/>
      <protection locked="0"/>
    </xf>
    <xf numFmtId="40" fontId="77" fillId="18" borderId="1" xfId="2" applyNumberFormat="1" applyFont="1" applyFill="1" applyBorder="1" applyAlignment="1">
      <alignment horizontal="center" vertical="center" shrinkToFit="1"/>
    </xf>
    <xf numFmtId="179" fontId="80" fillId="18" borderId="1" xfId="2" applyNumberFormat="1" applyFont="1" applyFill="1" applyBorder="1" applyAlignment="1" applyProtection="1">
      <alignment horizontal="center" vertical="center" shrinkToFit="1"/>
      <protection locked="0"/>
    </xf>
    <xf numFmtId="179" fontId="80" fillId="18" borderId="60" xfId="14" applyNumberFormat="1" applyFont="1" applyFill="1" applyBorder="1" applyAlignment="1">
      <alignment horizontal="center" vertical="center" shrinkToFit="1"/>
    </xf>
    <xf numFmtId="194" fontId="80" fillId="18" borderId="60" xfId="14" applyNumberFormat="1" applyFont="1" applyFill="1" applyBorder="1" applyAlignment="1">
      <alignment horizontal="center" vertical="center" shrinkToFit="1"/>
    </xf>
    <xf numFmtId="40" fontId="80" fillId="18" borderId="1" xfId="2" applyNumberFormat="1" applyFont="1" applyFill="1" applyBorder="1" applyAlignment="1">
      <alignment horizontal="center" vertical="center" shrinkToFit="1"/>
    </xf>
    <xf numFmtId="0" fontId="0" fillId="0" borderId="1" xfId="0" applyBorder="1" applyAlignment="1">
      <alignment vertical="center" shrinkToFit="1"/>
    </xf>
    <xf numFmtId="179" fontId="80" fillId="18" borderId="68" xfId="2" applyNumberFormat="1" applyFont="1" applyFill="1" applyBorder="1" applyAlignment="1" applyProtection="1">
      <alignment horizontal="center" vertical="center" shrinkToFit="1"/>
      <protection locked="0"/>
    </xf>
    <xf numFmtId="179" fontId="80" fillId="18" borderId="67" xfId="14" applyNumberFormat="1" applyFont="1" applyFill="1" applyBorder="1" applyAlignment="1">
      <alignment horizontal="center" vertical="center" shrinkToFit="1"/>
    </xf>
    <xf numFmtId="194" fontId="80" fillId="18" borderId="67" xfId="14" applyNumberFormat="1" applyFont="1" applyFill="1" applyBorder="1" applyAlignment="1">
      <alignment horizontal="center" vertical="center" shrinkToFit="1"/>
    </xf>
    <xf numFmtId="0" fontId="80" fillId="18" borderId="68" xfId="14" applyFont="1" applyFill="1" applyBorder="1" applyAlignment="1">
      <alignment horizontal="center" vertical="center" shrinkToFit="1"/>
    </xf>
    <xf numFmtId="0" fontId="80" fillId="18" borderId="68" xfId="14" quotePrefix="1" applyFont="1" applyFill="1" applyBorder="1" applyAlignment="1">
      <alignment horizontal="center" vertical="center" shrinkToFit="1"/>
    </xf>
    <xf numFmtId="198" fontId="80" fillId="18" borderId="68" xfId="14" applyNumberFormat="1" applyFont="1" applyFill="1" applyBorder="1" applyAlignment="1">
      <alignment horizontal="center" vertical="center" shrinkToFit="1"/>
    </xf>
    <xf numFmtId="40" fontId="80" fillId="18" borderId="68" xfId="2" applyNumberFormat="1" applyFont="1" applyFill="1" applyBorder="1" applyAlignment="1">
      <alignment horizontal="center" vertical="center" shrinkToFit="1"/>
    </xf>
    <xf numFmtId="180" fontId="80" fillId="18" borderId="61" xfId="2" applyNumberFormat="1" applyFont="1" applyFill="1" applyBorder="1" applyAlignment="1">
      <alignment vertical="center" shrinkToFit="1"/>
    </xf>
    <xf numFmtId="179" fontId="80" fillId="18" borderId="33" xfId="14" applyNumberFormat="1" applyFont="1" applyFill="1" applyBorder="1" applyAlignment="1">
      <alignment horizontal="center" vertical="center" shrinkToFit="1"/>
    </xf>
    <xf numFmtId="0" fontId="80" fillId="18" borderId="61" xfId="14" applyFont="1" applyFill="1" applyBorder="1" applyAlignment="1">
      <alignment vertical="center" shrinkToFit="1"/>
    </xf>
    <xf numFmtId="189" fontId="80" fillId="18" borderId="61" xfId="14" applyNumberFormat="1" applyFont="1" applyFill="1" applyBorder="1" applyAlignment="1">
      <alignment horizontal="center" vertical="center" shrinkToFit="1"/>
    </xf>
    <xf numFmtId="179" fontId="82" fillId="18" borderId="33" xfId="0" applyNumberFormat="1" applyFont="1" applyFill="1" applyBorder="1" applyAlignment="1">
      <alignment horizontal="center" vertical="center" shrinkToFit="1"/>
    </xf>
    <xf numFmtId="0" fontId="80" fillId="18" borderId="61" xfId="14" applyFont="1" applyFill="1" applyBorder="1" applyAlignment="1">
      <alignment horizontal="center" vertical="center" shrinkToFit="1"/>
    </xf>
    <xf numFmtId="198" fontId="80" fillId="18" borderId="61" xfId="14" applyNumberFormat="1" applyFont="1" applyFill="1" applyBorder="1" applyAlignment="1">
      <alignment horizontal="center" vertical="center" shrinkToFit="1"/>
    </xf>
    <xf numFmtId="40" fontId="80" fillId="18" borderId="33" xfId="2" applyNumberFormat="1" applyFont="1" applyFill="1" applyBorder="1" applyAlignment="1">
      <alignment horizontal="center" vertical="center" shrinkToFit="1"/>
    </xf>
    <xf numFmtId="0" fontId="80" fillId="18" borderId="60" xfId="14" applyFont="1" applyFill="1" applyBorder="1" applyAlignment="1">
      <alignment horizontal="center" vertical="center" shrinkToFit="1"/>
    </xf>
    <xf numFmtId="179" fontId="82" fillId="18" borderId="60" xfId="0" applyNumberFormat="1" applyFont="1" applyFill="1" applyBorder="1" applyAlignment="1">
      <alignment horizontal="center" vertical="center" shrinkToFit="1"/>
    </xf>
    <xf numFmtId="182" fontId="80" fillId="18" borderId="1" xfId="14" applyNumberFormat="1" applyFont="1" applyFill="1" applyBorder="1" applyAlignment="1">
      <alignment horizontal="center" vertical="center" shrinkToFit="1"/>
    </xf>
    <xf numFmtId="179" fontId="81" fillId="0" borderId="60" xfId="0" applyNumberFormat="1" applyFont="1" applyBorder="1" applyAlignment="1">
      <alignment horizontal="center" vertical="center" shrinkToFit="1"/>
    </xf>
    <xf numFmtId="0" fontId="81" fillId="0" borderId="60" xfId="0" applyFont="1" applyBorder="1" applyAlignment="1">
      <alignment vertical="center" shrinkToFit="1"/>
    </xf>
    <xf numFmtId="180" fontId="80" fillId="18" borderId="60" xfId="2" applyNumberFormat="1" applyFont="1" applyFill="1" applyBorder="1" applyAlignment="1">
      <alignment vertical="center" shrinkToFit="1"/>
    </xf>
    <xf numFmtId="189" fontId="80" fillId="18" borderId="60" xfId="14" applyNumberFormat="1" applyFont="1" applyFill="1" applyBorder="1" applyAlignment="1">
      <alignment vertical="center" shrinkToFit="1"/>
    </xf>
    <xf numFmtId="179" fontId="81" fillId="0" borderId="60" xfId="0" applyNumberFormat="1" applyFont="1" applyBorder="1" applyAlignment="1">
      <alignment vertical="center" shrinkToFit="1"/>
    </xf>
    <xf numFmtId="179" fontId="81" fillId="0" borderId="84" xfId="0" applyNumberFormat="1" applyFont="1" applyBorder="1" applyAlignment="1">
      <alignment vertical="center" shrinkToFit="1"/>
    </xf>
    <xf numFmtId="179" fontId="80" fillId="18" borderId="84" xfId="14" applyNumberFormat="1" applyFont="1" applyFill="1" applyBorder="1" applyAlignment="1">
      <alignment vertical="center" shrinkToFit="1"/>
    </xf>
    <xf numFmtId="179" fontId="80" fillId="18" borderId="84" xfId="14" applyNumberFormat="1" applyFont="1" applyFill="1" applyBorder="1" applyAlignment="1">
      <alignment horizontal="center" vertical="center" shrinkToFit="1"/>
    </xf>
    <xf numFmtId="3" fontId="80" fillId="18" borderId="84" xfId="14" applyNumberFormat="1" applyFont="1" applyFill="1" applyBorder="1" applyAlignment="1">
      <alignment vertical="center" shrinkToFit="1"/>
    </xf>
    <xf numFmtId="40" fontId="80" fillId="18" borderId="37" xfId="2" applyNumberFormat="1" applyFont="1" applyFill="1" applyBorder="1" applyAlignment="1">
      <alignment horizontal="center" vertical="center" shrinkToFit="1"/>
    </xf>
    <xf numFmtId="179" fontId="81" fillId="0" borderId="72" xfId="0" applyNumberFormat="1" applyFont="1" applyBorder="1" applyAlignment="1">
      <alignment vertical="center" shrinkToFit="1"/>
    </xf>
    <xf numFmtId="179" fontId="80" fillId="18" borderId="72" xfId="14" applyNumberFormat="1" applyFont="1" applyFill="1" applyBorder="1" applyAlignment="1">
      <alignment vertical="center" shrinkToFit="1"/>
    </xf>
    <xf numFmtId="179" fontId="80" fillId="18" borderId="55" xfId="14" applyNumberFormat="1" applyFont="1" applyFill="1" applyBorder="1" applyAlignment="1">
      <alignment horizontal="center" vertical="center" shrinkToFit="1"/>
    </xf>
    <xf numFmtId="0" fontId="81" fillId="0" borderId="55" xfId="0" applyFont="1" applyBorder="1" applyAlignment="1">
      <alignment vertical="center" shrinkToFit="1"/>
    </xf>
    <xf numFmtId="0" fontId="81" fillId="0" borderId="72" xfId="0" applyFont="1" applyBorder="1" applyAlignment="1">
      <alignment vertical="center" shrinkToFit="1"/>
    </xf>
    <xf numFmtId="179" fontId="82" fillId="18" borderId="55" xfId="0" applyNumberFormat="1" applyFont="1" applyFill="1" applyBorder="1" applyAlignment="1">
      <alignment horizontal="center" vertical="center" shrinkToFit="1"/>
    </xf>
    <xf numFmtId="179" fontId="80" fillId="18" borderId="72" xfId="14" applyNumberFormat="1" applyFont="1" applyFill="1" applyBorder="1" applyAlignment="1">
      <alignment horizontal="center" vertical="center" shrinkToFit="1"/>
    </xf>
    <xf numFmtId="40" fontId="88" fillId="18" borderId="55" xfId="2" applyNumberFormat="1" applyFont="1" applyFill="1" applyBorder="1" applyAlignment="1">
      <alignment horizontal="center" vertical="center" shrinkToFit="1"/>
    </xf>
    <xf numFmtId="0" fontId="0" fillId="0" borderId="0" xfId="0" applyAlignment="1">
      <alignment vertical="top"/>
    </xf>
    <xf numFmtId="0" fontId="89" fillId="0" borderId="0" xfId="0" applyFont="1" applyAlignment="1">
      <alignment horizontal="left" vertical="center"/>
    </xf>
    <xf numFmtId="0" fontId="77" fillId="18" borderId="1" xfId="14" applyFont="1" applyFill="1" applyBorder="1" applyAlignment="1" applyProtection="1">
      <alignment horizontal="center" vertical="center" shrinkToFit="1"/>
      <protection locked="0"/>
    </xf>
    <xf numFmtId="40" fontId="77" fillId="17" borderId="0" xfId="2" applyNumberFormat="1" applyFont="1" applyFill="1" applyBorder="1" applyAlignment="1" applyProtection="1">
      <alignment horizontal="center" vertical="center" shrinkToFit="1"/>
      <protection locked="0"/>
    </xf>
    <xf numFmtId="0" fontId="80" fillId="18" borderId="0" xfId="14" applyFont="1" applyFill="1" applyAlignment="1">
      <alignment horizontal="center" vertical="center" shrinkToFit="1"/>
    </xf>
    <xf numFmtId="179" fontId="80" fillId="18" borderId="0" xfId="14" applyNumberFormat="1" applyFont="1" applyFill="1" applyAlignment="1">
      <alignment horizontal="center" vertical="center" shrinkToFit="1"/>
    </xf>
    <xf numFmtId="207" fontId="80" fillId="18" borderId="0" xfId="14" applyNumberFormat="1" applyFont="1" applyFill="1" applyAlignment="1">
      <alignment horizontal="center" vertical="center" shrinkToFit="1"/>
    </xf>
    <xf numFmtId="0" fontId="80" fillId="18" borderId="0" xfId="14" quotePrefix="1" applyFont="1" applyFill="1" applyAlignment="1">
      <alignment horizontal="center" vertical="center" shrinkToFit="1"/>
    </xf>
    <xf numFmtId="198" fontId="80" fillId="18" borderId="0" xfId="14" applyNumberFormat="1" applyFont="1" applyFill="1" applyAlignment="1">
      <alignment horizontal="center" vertical="center" shrinkToFit="1"/>
    </xf>
    <xf numFmtId="40" fontId="77" fillId="18" borderId="0" xfId="2" applyNumberFormat="1" applyFont="1" applyFill="1" applyBorder="1" applyAlignment="1" applyProtection="1">
      <alignment horizontal="center" vertical="center" shrinkToFit="1"/>
    </xf>
    <xf numFmtId="38" fontId="58" fillId="0" borderId="60" xfId="2" applyFont="1" applyFill="1" applyBorder="1" applyAlignment="1" applyProtection="1">
      <alignment vertical="center" shrinkToFit="1"/>
    </xf>
    <xf numFmtId="0" fontId="53" fillId="0" borderId="0" xfId="0" applyFont="1">
      <alignment vertical="center"/>
    </xf>
    <xf numFmtId="0" fontId="54" fillId="0" borderId="56" xfId="0" applyFont="1" applyBorder="1">
      <alignment vertical="center"/>
    </xf>
    <xf numFmtId="0" fontId="54" fillId="0" borderId="4" xfId="0" applyFont="1" applyBorder="1">
      <alignment vertical="center"/>
    </xf>
    <xf numFmtId="0" fontId="54" fillId="8" borderId="4" xfId="0" applyFont="1" applyFill="1" applyBorder="1" applyAlignment="1">
      <alignment vertical="center" shrinkToFit="1"/>
    </xf>
    <xf numFmtId="0" fontId="54" fillId="8" borderId="4" xfId="0" applyFont="1" applyFill="1" applyBorder="1" applyAlignment="1">
      <alignment horizontal="center" vertical="center" shrinkToFit="1"/>
    </xf>
    <xf numFmtId="0" fontId="54" fillId="8" borderId="4" xfId="0" applyFont="1" applyFill="1" applyBorder="1">
      <alignment vertical="center"/>
    </xf>
    <xf numFmtId="0" fontId="54" fillId="0" borderId="38" xfId="0" applyFont="1" applyBorder="1">
      <alignment vertical="center"/>
    </xf>
    <xf numFmtId="0" fontId="58" fillId="18" borderId="15" xfId="0" applyFont="1" applyFill="1" applyBorder="1">
      <alignment vertical="center"/>
    </xf>
    <xf numFmtId="0" fontId="54" fillId="0" borderId="88" xfId="0" applyFont="1" applyBorder="1">
      <alignment vertical="center"/>
    </xf>
    <xf numFmtId="0" fontId="58" fillId="18" borderId="1" xfId="0" applyFont="1" applyFill="1" applyBorder="1" applyAlignment="1">
      <alignment horizontal="center" vertical="center" wrapText="1"/>
    </xf>
    <xf numFmtId="0" fontId="58" fillId="18" borderId="2" xfId="0" applyFont="1" applyFill="1" applyBorder="1" applyAlignment="1">
      <alignment horizontal="center" vertical="center" wrapText="1"/>
    </xf>
    <xf numFmtId="0" fontId="58" fillId="18" borderId="95" xfId="0" applyFont="1" applyFill="1" applyBorder="1" applyAlignment="1">
      <alignment horizontal="center" vertical="center" wrapText="1"/>
    </xf>
    <xf numFmtId="38" fontId="58" fillId="0" borderId="1" xfId="2" applyFont="1" applyFill="1" applyBorder="1" applyAlignment="1" applyProtection="1">
      <alignment horizontal="center" vertical="center" shrinkToFit="1"/>
    </xf>
    <xf numFmtId="38" fontId="58" fillId="6" borderId="37" xfId="2" applyFont="1" applyFill="1" applyBorder="1" applyAlignment="1" applyProtection="1">
      <alignment horizontal="center" vertical="center" shrinkToFit="1"/>
      <protection locked="0"/>
    </xf>
    <xf numFmtId="38" fontId="58" fillId="6" borderId="1" xfId="2" applyFont="1" applyFill="1" applyBorder="1" applyAlignment="1" applyProtection="1">
      <alignment horizontal="center" vertical="center" shrinkToFit="1"/>
      <protection locked="0"/>
    </xf>
    <xf numFmtId="199" fontId="58" fillId="18" borderId="1" xfId="2" applyNumberFormat="1" applyFont="1" applyFill="1" applyBorder="1" applyAlignment="1" applyProtection="1">
      <alignment horizontal="center" vertical="center" shrinkToFit="1"/>
    </xf>
    <xf numFmtId="195" fontId="58" fillId="0" borderId="1" xfId="2" applyNumberFormat="1" applyFont="1" applyFill="1" applyBorder="1" applyAlignment="1" applyProtection="1">
      <alignment horizontal="right" vertical="center" shrinkToFit="1"/>
    </xf>
    <xf numFmtId="195" fontId="58" fillId="0" borderId="2" xfId="2" applyNumberFormat="1" applyFont="1" applyFill="1" applyBorder="1" applyAlignment="1" applyProtection="1">
      <alignment horizontal="right" vertical="center" shrinkToFit="1"/>
    </xf>
    <xf numFmtId="195" fontId="58" fillId="0" borderId="95" xfId="2" applyNumberFormat="1" applyFont="1" applyFill="1" applyBorder="1" applyAlignment="1" applyProtection="1">
      <alignment horizontal="right" vertical="center" shrinkToFit="1"/>
      <protection locked="0"/>
    </xf>
    <xf numFmtId="195" fontId="58" fillId="0" borderId="1" xfId="2" applyNumberFormat="1" applyFont="1" applyFill="1" applyBorder="1" applyAlignment="1" applyProtection="1">
      <alignment horizontal="right" vertical="center" shrinkToFit="1"/>
      <protection locked="0"/>
    </xf>
    <xf numFmtId="199" fontId="58" fillId="18" borderId="37" xfId="2" applyNumberFormat="1" applyFont="1" applyFill="1" applyBorder="1" applyAlignment="1" applyProtection="1">
      <alignment horizontal="center" vertical="center" shrinkToFit="1"/>
    </xf>
    <xf numFmtId="195" fontId="58" fillId="0" borderId="37" xfId="2" applyNumberFormat="1" applyFont="1" applyFill="1" applyBorder="1" applyAlignment="1" applyProtection="1">
      <alignment horizontal="right" vertical="center" shrinkToFit="1"/>
    </xf>
    <xf numFmtId="195" fontId="58" fillId="0" borderId="56" xfId="2" applyNumberFormat="1" applyFont="1" applyFill="1" applyBorder="1" applyAlignment="1" applyProtection="1">
      <alignment horizontal="right" vertical="center" shrinkToFit="1"/>
    </xf>
    <xf numFmtId="195" fontId="58" fillId="0" borderId="103" xfId="2" applyNumberFormat="1" applyFont="1" applyFill="1" applyBorder="1" applyAlignment="1" applyProtection="1">
      <alignment horizontal="right" vertical="center" shrinkToFit="1"/>
      <protection locked="0"/>
    </xf>
    <xf numFmtId="195" fontId="58" fillId="0" borderId="37" xfId="2" applyNumberFormat="1" applyFont="1" applyFill="1" applyBorder="1" applyAlignment="1" applyProtection="1">
      <alignment horizontal="right" vertical="center" shrinkToFit="1"/>
      <protection locked="0"/>
    </xf>
    <xf numFmtId="199" fontId="58" fillId="18" borderId="50" xfId="2" applyNumberFormat="1" applyFont="1" applyFill="1" applyBorder="1" applyAlignment="1" applyProtection="1">
      <alignment horizontal="center" vertical="center" shrinkToFit="1"/>
    </xf>
    <xf numFmtId="195" fontId="98" fillId="0" borderId="55" xfId="2" applyNumberFormat="1" applyFont="1" applyFill="1" applyBorder="1" applyAlignment="1" applyProtection="1">
      <alignment horizontal="center" vertical="center" shrinkToFit="1"/>
    </xf>
    <xf numFmtId="199" fontId="58" fillId="0" borderId="55" xfId="2" applyNumberFormat="1" applyFont="1" applyFill="1" applyBorder="1" applyAlignment="1" applyProtection="1">
      <alignment horizontal="center" vertical="center" shrinkToFit="1"/>
    </xf>
    <xf numFmtId="0" fontId="54" fillId="0" borderId="55" xfId="0" applyFont="1" applyBorder="1" applyAlignment="1">
      <alignment horizontal="center" vertical="center"/>
    </xf>
    <xf numFmtId="199" fontId="58" fillId="18" borderId="55" xfId="2" applyNumberFormat="1" applyFont="1" applyFill="1" applyBorder="1" applyAlignment="1" applyProtection="1">
      <alignment horizontal="right" vertical="center" shrinkToFit="1"/>
    </xf>
    <xf numFmtId="199" fontId="58" fillId="18" borderId="54" xfId="2" applyNumberFormat="1" applyFont="1" applyFill="1" applyBorder="1" applyAlignment="1" applyProtection="1">
      <alignment horizontal="right" vertical="center" shrinkToFit="1"/>
    </xf>
    <xf numFmtId="0" fontId="54" fillId="0" borderId="72" xfId="0" applyFont="1" applyBorder="1">
      <alignment vertical="center"/>
    </xf>
    <xf numFmtId="199" fontId="58" fillId="18" borderId="68" xfId="2" applyNumberFormat="1" applyFont="1" applyFill="1" applyBorder="1" applyAlignment="1" applyProtection="1">
      <alignment horizontal="center" vertical="center" shrinkToFit="1"/>
    </xf>
    <xf numFmtId="195" fontId="98" fillId="0" borderId="68" xfId="2" applyNumberFormat="1" applyFont="1" applyFill="1" applyBorder="1" applyAlignment="1" applyProtection="1">
      <alignment horizontal="center" vertical="center" shrinkToFit="1"/>
    </xf>
    <xf numFmtId="199" fontId="58" fillId="0" borderId="68" xfId="2" applyNumberFormat="1" applyFont="1" applyFill="1" applyBorder="1" applyAlignment="1" applyProtection="1">
      <alignment horizontal="center" vertical="center" shrinkToFit="1"/>
    </xf>
    <xf numFmtId="0" fontId="54" fillId="0" borderId="68" xfId="0" applyFont="1" applyBorder="1" applyAlignment="1">
      <alignment horizontal="center" vertical="center"/>
    </xf>
    <xf numFmtId="199" fontId="58" fillId="18" borderId="68" xfId="2" applyNumberFormat="1" applyFont="1" applyFill="1" applyBorder="1" applyAlignment="1" applyProtection="1">
      <alignment horizontal="right" vertical="center" shrinkToFit="1"/>
    </xf>
    <xf numFmtId="199" fontId="58" fillId="18" borderId="62" xfId="2" applyNumberFormat="1" applyFont="1" applyFill="1" applyBorder="1" applyAlignment="1" applyProtection="1">
      <alignment horizontal="right" vertical="center" shrinkToFit="1"/>
    </xf>
    <xf numFmtId="199" fontId="58" fillId="18" borderId="55" xfId="2" applyNumberFormat="1" applyFont="1" applyFill="1" applyBorder="1" applyAlignment="1" applyProtection="1">
      <alignment horizontal="center" vertical="center" shrinkToFit="1"/>
    </xf>
    <xf numFmtId="195" fontId="58" fillId="0" borderId="55" xfId="2" applyNumberFormat="1" applyFont="1" applyFill="1" applyBorder="1" applyAlignment="1" applyProtection="1">
      <alignment horizontal="right" vertical="center" shrinkToFit="1"/>
    </xf>
    <xf numFmtId="209" fontId="58" fillId="0" borderId="55" xfId="2" applyNumberFormat="1" applyFont="1" applyFill="1" applyBorder="1" applyAlignment="1" applyProtection="1">
      <alignment horizontal="right" vertical="center" shrinkToFit="1"/>
    </xf>
    <xf numFmtId="209" fontId="58" fillId="0" borderId="54" xfId="2" applyNumberFormat="1" applyFont="1" applyFill="1" applyBorder="1" applyAlignment="1" applyProtection="1">
      <alignment horizontal="right" vertical="center" shrinkToFit="1"/>
    </xf>
    <xf numFmtId="195" fontId="58" fillId="0" borderId="72" xfId="2" applyNumberFormat="1" applyFont="1" applyFill="1" applyBorder="1" applyAlignment="1" applyProtection="1">
      <alignment horizontal="right" vertical="center" shrinkToFit="1"/>
      <protection locked="0"/>
    </xf>
    <xf numFmtId="195" fontId="98" fillId="0" borderId="1" xfId="2" applyNumberFormat="1" applyFont="1" applyFill="1" applyBorder="1" applyAlignment="1" applyProtection="1">
      <alignment horizontal="center" vertical="center" shrinkToFit="1"/>
    </xf>
    <xf numFmtId="0" fontId="54" fillId="0" borderId="84" xfId="0" applyFont="1" applyBorder="1" applyProtection="1">
      <alignment vertical="center"/>
      <protection locked="0"/>
    </xf>
    <xf numFmtId="195" fontId="98" fillId="0" borderId="60" xfId="2" applyNumberFormat="1" applyFont="1" applyFill="1" applyBorder="1" applyAlignment="1" applyProtection="1">
      <alignment horizontal="center" vertical="center" shrinkToFit="1"/>
    </xf>
    <xf numFmtId="199" fontId="58" fillId="0" borderId="60" xfId="2" applyNumberFormat="1" applyFont="1" applyFill="1" applyBorder="1" applyAlignment="1" applyProtection="1">
      <alignment horizontal="center" vertical="center" shrinkToFit="1"/>
    </xf>
    <xf numFmtId="209" fontId="54" fillId="0" borderId="60" xfId="0" applyNumberFormat="1" applyFont="1" applyBorder="1">
      <alignment vertical="center"/>
    </xf>
    <xf numFmtId="199" fontId="58" fillId="18" borderId="24" xfId="2" applyNumberFormat="1" applyFont="1" applyFill="1" applyBorder="1" applyAlignment="1" applyProtection="1">
      <alignment horizontal="center" vertical="center" shrinkToFit="1"/>
    </xf>
    <xf numFmtId="195" fontId="98" fillId="0" borderId="91" xfId="2" applyNumberFormat="1" applyFont="1" applyFill="1" applyBorder="1" applyAlignment="1" applyProtection="1">
      <alignment horizontal="center" vertical="center" shrinkToFit="1"/>
    </xf>
    <xf numFmtId="199" fontId="58" fillId="0" borderId="91" xfId="2" applyNumberFormat="1" applyFont="1" applyFill="1" applyBorder="1" applyAlignment="1" applyProtection="1">
      <alignment horizontal="center" vertical="center" shrinkToFit="1"/>
    </xf>
    <xf numFmtId="0" fontId="54" fillId="0" borderId="91" xfId="0" applyFont="1" applyBorder="1">
      <alignment vertical="center"/>
    </xf>
    <xf numFmtId="209" fontId="54" fillId="0" borderId="91" xfId="0" applyNumberFormat="1" applyFont="1" applyBorder="1">
      <alignment vertical="center"/>
    </xf>
    <xf numFmtId="199" fontId="58" fillId="18" borderId="124" xfId="2" applyNumberFormat="1" applyFont="1" applyFill="1" applyBorder="1" applyAlignment="1" applyProtection="1">
      <alignment horizontal="center" vertical="center" shrinkToFit="1"/>
    </xf>
    <xf numFmtId="195" fontId="58" fillId="0" borderId="125" xfId="2" applyNumberFormat="1" applyFont="1" applyFill="1" applyBorder="1" applyAlignment="1" applyProtection="1">
      <alignment horizontal="right" vertical="center" shrinkToFit="1"/>
    </xf>
    <xf numFmtId="195" fontId="58" fillId="0" borderId="197" xfId="2" applyNumberFormat="1" applyFont="1" applyFill="1" applyBorder="1" applyAlignment="1" applyProtection="1">
      <alignment horizontal="right" vertical="center" shrinkToFit="1"/>
    </xf>
    <xf numFmtId="195" fontId="98" fillId="24" borderId="4" xfId="2" applyNumberFormat="1" applyFont="1" applyFill="1" applyBorder="1" applyAlignment="1" applyProtection="1">
      <alignment vertical="center" shrinkToFit="1"/>
    </xf>
    <xf numFmtId="199" fontId="58" fillId="18" borderId="0" xfId="2" applyNumberFormat="1" applyFont="1" applyFill="1" applyBorder="1" applyAlignment="1" applyProtection="1">
      <alignment horizontal="right" vertical="center" shrinkToFit="1"/>
    </xf>
    <xf numFmtId="195" fontId="58" fillId="0" borderId="124" xfId="2" applyNumberFormat="1" applyFont="1" applyFill="1" applyBorder="1" applyAlignment="1" applyProtection="1">
      <alignment horizontal="right" vertical="center" shrinkToFit="1"/>
    </xf>
    <xf numFmtId="195" fontId="98" fillId="24" borderId="29" xfId="2" applyNumberFormat="1" applyFont="1" applyFill="1" applyBorder="1" applyAlignment="1" applyProtection="1">
      <alignment vertical="center" shrinkToFit="1"/>
    </xf>
    <xf numFmtId="199" fontId="101" fillId="18" borderId="0" xfId="2" applyNumberFormat="1" applyFont="1" applyFill="1" applyBorder="1" applyAlignment="1" applyProtection="1">
      <alignment horizontal="right" vertical="center"/>
    </xf>
    <xf numFmtId="199" fontId="58" fillId="18" borderId="43" xfId="2" applyNumberFormat="1" applyFont="1" applyFill="1" applyBorder="1" applyAlignment="1" applyProtection="1">
      <alignment horizontal="center" vertical="center" shrinkToFit="1"/>
    </xf>
    <xf numFmtId="190" fontId="104" fillId="5" borderId="21" xfId="0" applyNumberFormat="1" applyFont="1" applyFill="1" applyBorder="1" applyProtection="1">
      <alignment vertical="center"/>
      <protection locked="0"/>
    </xf>
    <xf numFmtId="199" fontId="58" fillId="18" borderId="29" xfId="2" applyNumberFormat="1" applyFont="1" applyFill="1" applyBorder="1" applyAlignment="1" applyProtection="1">
      <alignment horizontal="center" vertical="center" shrinkToFit="1"/>
    </xf>
    <xf numFmtId="199" fontId="58" fillId="18" borderId="32" xfId="2" applyNumberFormat="1" applyFont="1" applyFill="1" applyBorder="1" applyAlignment="1" applyProtection="1">
      <alignment horizontal="center" vertical="center" shrinkToFit="1"/>
    </xf>
    <xf numFmtId="0" fontId="103" fillId="25" borderId="32" xfId="0" applyFont="1" applyFill="1" applyBorder="1" applyAlignment="1">
      <alignment horizontal="center" vertical="center"/>
    </xf>
    <xf numFmtId="0" fontId="55" fillId="0" borderId="1" xfId="0" applyFont="1" applyBorder="1" applyAlignment="1" applyProtection="1">
      <alignment horizontal="distributed" vertical="center" wrapText="1" indent="1"/>
      <protection locked="0"/>
    </xf>
    <xf numFmtId="0" fontId="60" fillId="19" borderId="1" xfId="0" applyFont="1" applyFill="1" applyBorder="1" applyAlignment="1" applyProtection="1">
      <alignment horizontal="distributed" vertical="center" wrapText="1" indent="1"/>
      <protection locked="0"/>
    </xf>
    <xf numFmtId="0" fontId="70" fillId="0" borderId="1" xfId="0" applyFont="1" applyBorder="1" applyAlignment="1">
      <alignment horizontal="center" vertical="center" shrinkToFit="1"/>
    </xf>
    <xf numFmtId="199" fontId="58" fillId="18" borderId="41" xfId="2" applyNumberFormat="1" applyFont="1" applyFill="1" applyBorder="1" applyAlignment="1" applyProtection="1">
      <alignment horizontal="right" vertical="center" shrinkToFit="1"/>
    </xf>
    <xf numFmtId="0" fontId="58" fillId="5" borderId="1" xfId="0" applyFont="1" applyFill="1" applyBorder="1" applyAlignment="1" applyProtection="1">
      <alignment vertical="center" shrinkToFit="1"/>
      <protection locked="0"/>
    </xf>
    <xf numFmtId="0" fontId="58" fillId="0" borderId="1" xfId="0" applyFont="1" applyBorder="1" applyAlignment="1" applyProtection="1">
      <alignment vertical="center" shrinkToFit="1"/>
      <protection locked="0"/>
    </xf>
    <xf numFmtId="0" fontId="70" fillId="0" borderId="1" xfId="0" applyFont="1" applyBorder="1" applyAlignment="1" applyProtection="1">
      <alignment horizontal="center" vertical="center" shrinkToFit="1"/>
      <protection locked="0"/>
    </xf>
    <xf numFmtId="210" fontId="98" fillId="24" borderId="0" xfId="2" applyNumberFormat="1" applyFont="1" applyFill="1" applyBorder="1" applyAlignment="1" applyProtection="1">
      <alignment horizontal="center" vertical="center" shrinkToFit="1"/>
    </xf>
    <xf numFmtId="199" fontId="58" fillId="18" borderId="29" xfId="2" applyNumberFormat="1" applyFont="1" applyFill="1" applyBorder="1" applyAlignment="1" applyProtection="1">
      <alignment horizontal="right" vertical="center" shrinkToFit="1"/>
    </xf>
    <xf numFmtId="199" fontId="58" fillId="18" borderId="36" xfId="2" applyNumberFormat="1" applyFont="1" applyFill="1" applyBorder="1" applyAlignment="1" applyProtection="1">
      <alignment horizontal="center" vertical="center" wrapText="1" shrinkToFit="1"/>
    </xf>
    <xf numFmtId="0" fontId="103" fillId="25" borderId="1" xfId="0" applyFont="1" applyFill="1" applyBorder="1" applyAlignment="1">
      <alignment horizontal="center" vertical="center"/>
    </xf>
    <xf numFmtId="210" fontId="98" fillId="24" borderId="36" xfId="2" applyNumberFormat="1" applyFont="1" applyFill="1" applyBorder="1" applyAlignment="1" applyProtection="1">
      <alignment vertical="center" shrinkToFit="1"/>
    </xf>
    <xf numFmtId="0" fontId="54" fillId="0" borderId="15" xfId="0" applyFont="1" applyBorder="1">
      <alignment vertical="center"/>
    </xf>
    <xf numFmtId="195" fontId="58" fillId="0" borderId="0" xfId="2" applyNumberFormat="1" applyFont="1" applyFill="1" applyBorder="1" applyAlignment="1" applyProtection="1">
      <alignment horizontal="right" vertical="center" shrinkToFit="1"/>
      <protection locked="0"/>
    </xf>
    <xf numFmtId="195" fontId="58" fillId="0" borderId="0" xfId="2" applyNumberFormat="1" applyFont="1" applyFill="1" applyBorder="1" applyAlignment="1" applyProtection="1">
      <alignment horizontal="right" vertical="center" shrinkToFit="1"/>
    </xf>
    <xf numFmtId="212" fontId="58" fillId="0" borderId="0" xfId="2" applyNumberFormat="1" applyFont="1" applyFill="1" applyBorder="1" applyAlignment="1" applyProtection="1">
      <alignment horizontal="right" vertical="center" shrinkToFit="1"/>
      <protection locked="0"/>
    </xf>
    <xf numFmtId="212" fontId="58" fillId="0" borderId="0" xfId="2" applyNumberFormat="1" applyFont="1" applyFill="1" applyBorder="1" applyAlignment="1" applyProtection="1">
      <alignment horizontal="right" vertical="center" shrinkToFit="1"/>
    </xf>
    <xf numFmtId="0" fontId="54" fillId="0" borderId="160" xfId="0" applyFont="1" applyBorder="1" applyProtection="1">
      <alignment vertical="center"/>
      <protection locked="0"/>
    </xf>
    <xf numFmtId="0" fontId="54" fillId="0" borderId="4" xfId="0" applyFont="1" applyBorder="1" applyAlignment="1">
      <alignment horizontal="right" vertical="center"/>
    </xf>
    <xf numFmtId="0" fontId="107" fillId="0" borderId="0" xfId="0" quotePrefix="1" applyFont="1">
      <alignment vertical="center"/>
    </xf>
    <xf numFmtId="0" fontId="58" fillId="18" borderId="1" xfId="2" applyNumberFormat="1" applyFont="1" applyFill="1" applyBorder="1" applyAlignment="1" applyProtection="1">
      <alignment horizontal="left" vertical="center" shrinkToFit="1"/>
    </xf>
    <xf numFmtId="0" fontId="54" fillId="27" borderId="160" xfId="0" applyFont="1" applyFill="1" applyBorder="1">
      <alignment vertical="center"/>
    </xf>
    <xf numFmtId="0" fontId="54" fillId="28" borderId="3" xfId="0" applyFont="1" applyFill="1" applyBorder="1">
      <alignment vertical="center"/>
    </xf>
    <xf numFmtId="206" fontId="54" fillId="26" borderId="160" xfId="2" applyNumberFormat="1" applyFont="1" applyFill="1" applyBorder="1" applyProtection="1">
      <alignment vertical="center"/>
    </xf>
    <xf numFmtId="213" fontId="0" fillId="0" borderId="0" xfId="0" applyNumberFormat="1" applyAlignment="1">
      <alignment horizontal="center" vertical="center"/>
    </xf>
    <xf numFmtId="0" fontId="110" fillId="0" borderId="0" xfId="0" applyFont="1">
      <alignment vertical="center"/>
    </xf>
    <xf numFmtId="213" fontId="111" fillId="0" borderId="0" xfId="0" applyNumberFormat="1" applyFont="1" applyAlignment="1">
      <alignment vertical="center" wrapText="1"/>
    </xf>
    <xf numFmtId="213" fontId="112" fillId="0" borderId="0" xfId="0" applyNumberFormat="1" applyFont="1" applyAlignment="1">
      <alignment horizontal="right" vertical="center"/>
    </xf>
    <xf numFmtId="0" fontId="112" fillId="0" borderId="0" xfId="0" applyFont="1">
      <alignment vertical="center"/>
    </xf>
    <xf numFmtId="0" fontId="0" fillId="0" borderId="1" xfId="0" applyBorder="1" applyProtection="1">
      <alignment vertical="center"/>
      <protection locked="0"/>
    </xf>
    <xf numFmtId="0" fontId="113" fillId="0" borderId="0" xfId="0" applyFont="1">
      <alignment vertical="center"/>
    </xf>
    <xf numFmtId="0" fontId="45" fillId="0" borderId="0" xfId="0" applyFont="1" applyAlignment="1">
      <alignment horizontal="right" vertical="center"/>
    </xf>
    <xf numFmtId="0" fontId="45" fillId="29" borderId="160" xfId="0" applyFont="1" applyFill="1" applyBorder="1" applyAlignment="1" applyProtection="1">
      <alignment horizontal="center" vertical="center"/>
      <protection locked="0"/>
    </xf>
    <xf numFmtId="56" fontId="0" fillId="0" borderId="0" xfId="0" quotePrefix="1" applyNumberFormat="1" applyAlignment="1">
      <alignment horizontal="right" vertical="center"/>
    </xf>
    <xf numFmtId="0" fontId="0" fillId="0" borderId="88" xfId="0" applyBorder="1">
      <alignment vertical="center"/>
    </xf>
    <xf numFmtId="0" fontId="0" fillId="0" borderId="36" xfId="0" applyBorder="1">
      <alignment vertical="center"/>
    </xf>
    <xf numFmtId="0" fontId="0" fillId="0" borderId="3" xfId="0" applyBorder="1">
      <alignment vertical="center"/>
    </xf>
    <xf numFmtId="0" fontId="0" fillId="0" borderId="56" xfId="0" applyBorder="1" applyAlignment="1">
      <alignment horizontal="center" vertical="center"/>
    </xf>
    <xf numFmtId="0" fontId="0" fillId="0" borderId="37" xfId="0" applyBorder="1" applyAlignment="1" applyProtection="1">
      <alignment horizontal="center" vertical="center"/>
      <protection locked="0"/>
    </xf>
    <xf numFmtId="0" fontId="0" fillId="30" borderId="0" xfId="0" applyFill="1">
      <alignment vertical="center"/>
    </xf>
    <xf numFmtId="0" fontId="0" fillId="0" borderId="15" xfId="0" applyBorder="1" applyAlignment="1">
      <alignment horizontal="center" vertical="center"/>
    </xf>
    <xf numFmtId="0" fontId="0" fillId="0" borderId="33" xfId="0" applyBorder="1" applyAlignment="1">
      <alignment horizontal="center" vertical="center"/>
    </xf>
    <xf numFmtId="0" fontId="0" fillId="0" borderId="42" xfId="0" applyBorder="1" applyAlignment="1">
      <alignment horizontal="left" vertical="center"/>
    </xf>
    <xf numFmtId="0" fontId="0" fillId="0" borderId="30" xfId="0" applyBorder="1" applyAlignment="1">
      <alignment horizontal="center" vertical="center"/>
    </xf>
    <xf numFmtId="190" fontId="0" fillId="0" borderId="1" xfId="0" applyNumberFormat="1" applyBorder="1">
      <alignment vertical="center"/>
    </xf>
    <xf numFmtId="213" fontId="0" fillId="0" borderId="2" xfId="0" applyNumberFormat="1" applyBorder="1" applyAlignment="1">
      <alignment horizontal="left" vertical="center"/>
    </xf>
    <xf numFmtId="213" fontId="0" fillId="0" borderId="3" xfId="0" applyNumberFormat="1" applyBorder="1" applyAlignment="1">
      <alignment horizontal="center" vertical="center"/>
    </xf>
    <xf numFmtId="0" fontId="0" fillId="0" borderId="2" xfId="0" applyBorder="1" applyAlignment="1">
      <alignment horizontal="right" vertical="center"/>
    </xf>
    <xf numFmtId="213" fontId="0" fillId="0" borderId="3" xfId="0" applyNumberFormat="1" applyBorder="1" applyAlignment="1">
      <alignment horizontal="left" vertical="center"/>
    </xf>
    <xf numFmtId="194" fontId="0" fillId="0" borderId="1" xfId="0" applyNumberFormat="1" applyBorder="1">
      <alignment vertical="center"/>
    </xf>
    <xf numFmtId="0" fontId="114" fillId="0" borderId="0" xfId="11" applyFont="1">
      <alignment vertical="center"/>
    </xf>
    <xf numFmtId="213" fontId="0" fillId="29" borderId="1" xfId="0" applyNumberFormat="1" applyFill="1" applyBorder="1" applyAlignment="1" applyProtection="1">
      <alignment horizontal="center" vertical="center" shrinkToFit="1"/>
      <protection locked="0"/>
    </xf>
    <xf numFmtId="0" fontId="0" fillId="0" borderId="5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90" fontId="0" fillId="0" borderId="0" xfId="0" applyNumberFormat="1" applyAlignment="1">
      <alignment horizontal="center" vertical="center"/>
    </xf>
    <xf numFmtId="213" fontId="0" fillId="0" borderId="4" xfId="0" applyNumberFormat="1" applyBorder="1" applyAlignment="1">
      <alignment horizontal="center" vertical="center"/>
    </xf>
    <xf numFmtId="190" fontId="0" fillId="0" borderId="4" xfId="0" applyNumberFormat="1" applyBorder="1" applyAlignment="1">
      <alignment horizontal="center" vertical="center"/>
    </xf>
    <xf numFmtId="0" fontId="0" fillId="0" borderId="4" xfId="0" applyBorder="1" applyAlignment="1">
      <alignment horizontal="center" vertical="center"/>
    </xf>
    <xf numFmtId="213" fontId="0" fillId="0" borderId="0" xfId="0" applyNumberFormat="1" applyAlignment="1">
      <alignment horizontal="left" vertical="center"/>
    </xf>
    <xf numFmtId="0" fontId="0" fillId="0" borderId="37" xfId="0" applyBorder="1" applyAlignment="1">
      <alignment horizontal="center" vertical="center"/>
    </xf>
    <xf numFmtId="213" fontId="0" fillId="0" borderId="36" xfId="0" applyNumberFormat="1" applyBorder="1" applyAlignment="1">
      <alignment horizontal="center" vertical="center"/>
    </xf>
    <xf numFmtId="190" fontId="0" fillId="0" borderId="2" xfId="0" applyNumberFormat="1" applyBorder="1">
      <alignment vertical="center"/>
    </xf>
    <xf numFmtId="213" fontId="45" fillId="0" borderId="0" xfId="0" applyNumberFormat="1" applyFont="1" applyAlignment="1">
      <alignment horizontal="left" vertical="center"/>
    </xf>
    <xf numFmtId="0" fontId="0" fillId="0" borderId="38" xfId="0" applyBorder="1" applyAlignment="1">
      <alignment horizontal="center" vertical="center"/>
    </xf>
    <xf numFmtId="0" fontId="0" fillId="0" borderId="182" xfId="0" applyBorder="1" applyAlignment="1">
      <alignment horizontal="center" vertical="center"/>
    </xf>
    <xf numFmtId="0" fontId="0" fillId="0" borderId="15" xfId="0" applyBorder="1">
      <alignment vertical="center"/>
    </xf>
    <xf numFmtId="213" fontId="0" fillId="0" borderId="183" xfId="0" applyNumberFormat="1" applyBorder="1" applyAlignment="1">
      <alignment vertical="center" shrinkToFit="1"/>
    </xf>
    <xf numFmtId="0" fontId="0" fillId="0" borderId="35" xfId="0" applyBorder="1" applyAlignment="1">
      <alignment vertical="center" shrinkToFit="1"/>
    </xf>
    <xf numFmtId="0" fontId="0" fillId="0" borderId="42" xfId="0" applyBorder="1">
      <alignment vertical="center"/>
    </xf>
    <xf numFmtId="0" fontId="0" fillId="0" borderId="30" xfId="0" applyBorder="1">
      <alignment vertical="center"/>
    </xf>
    <xf numFmtId="214" fontId="0" fillId="0" borderId="184" xfId="0" applyNumberFormat="1" applyBorder="1" applyAlignment="1">
      <alignment vertical="center" shrinkToFit="1"/>
    </xf>
    <xf numFmtId="0" fontId="0" fillId="0" borderId="33" xfId="0" applyBorder="1" applyAlignment="1">
      <alignment vertical="center" shrinkToFit="1"/>
    </xf>
    <xf numFmtId="0" fontId="0" fillId="0" borderId="60" xfId="0" applyBorder="1" applyAlignment="1">
      <alignment horizontal="center" vertical="center"/>
    </xf>
    <xf numFmtId="0" fontId="0" fillId="0" borderId="41" xfId="0" applyBorder="1" applyAlignment="1">
      <alignment horizontal="center" vertical="center"/>
    </xf>
    <xf numFmtId="194" fontId="0" fillId="0" borderId="180" xfId="0" applyNumberFormat="1" applyBorder="1" applyAlignment="1" applyProtection="1">
      <alignment horizontal="center" vertical="center"/>
      <protection locked="0"/>
    </xf>
    <xf numFmtId="215" fontId="0" fillId="0" borderId="1" xfId="0" applyNumberFormat="1" applyBorder="1">
      <alignment vertical="center"/>
    </xf>
    <xf numFmtId="216" fontId="0" fillId="0" borderId="2" xfId="0" applyNumberFormat="1" applyBorder="1">
      <alignment vertical="center"/>
    </xf>
    <xf numFmtId="212" fontId="0" fillId="0" borderId="180" xfId="0" applyNumberFormat="1" applyBorder="1">
      <alignment vertical="center"/>
    </xf>
    <xf numFmtId="217" fontId="0" fillId="0" borderId="1" xfId="0" applyNumberFormat="1" applyBorder="1">
      <alignment vertical="center"/>
    </xf>
    <xf numFmtId="216" fontId="0" fillId="0" borderId="1" xfId="0" applyNumberFormat="1" applyBorder="1">
      <alignment vertical="center"/>
    </xf>
    <xf numFmtId="0" fontId="0" fillId="0" borderId="2" xfId="0" applyBorder="1" applyAlignment="1">
      <alignment horizontal="center" vertical="center"/>
    </xf>
    <xf numFmtId="216" fontId="0" fillId="0" borderId="0" xfId="0" applyNumberFormat="1">
      <alignment vertical="center"/>
    </xf>
    <xf numFmtId="0" fontId="0" fillId="0" borderId="41" xfId="0" applyBorder="1">
      <alignment vertical="center"/>
    </xf>
    <xf numFmtId="216" fontId="0" fillId="0" borderId="194" xfId="0" applyNumberFormat="1" applyBorder="1">
      <alignment vertical="center"/>
    </xf>
    <xf numFmtId="0" fontId="0" fillId="0" borderId="198" xfId="0" applyBorder="1">
      <alignment vertical="center"/>
    </xf>
    <xf numFmtId="216" fontId="0" fillId="0" borderId="160" xfId="0" applyNumberFormat="1" applyBorder="1">
      <alignment vertical="center"/>
    </xf>
    <xf numFmtId="0" fontId="0" fillId="0" borderId="0" xfId="0" applyAlignment="1">
      <alignment horizontal="right" vertical="center"/>
    </xf>
    <xf numFmtId="0" fontId="44" fillId="0" borderId="2" xfId="0" applyFont="1" applyBorder="1" applyAlignment="1">
      <alignment horizontal="center" vertical="center"/>
    </xf>
    <xf numFmtId="0" fontId="44" fillId="5" borderId="2" xfId="0" applyFont="1" applyFill="1" applyBorder="1" applyProtection="1">
      <alignment vertical="center"/>
      <protection locked="0"/>
    </xf>
    <xf numFmtId="0" fontId="44" fillId="0" borderId="2" xfId="0" applyFont="1" applyBorder="1">
      <alignment vertical="center"/>
    </xf>
    <xf numFmtId="0" fontId="0" fillId="0" borderId="2" xfId="0" applyBorder="1" applyAlignment="1" applyProtection="1">
      <alignment horizontal="center" vertical="center"/>
      <protection locked="0"/>
    </xf>
    <xf numFmtId="49" fontId="0" fillId="0" borderId="0" xfId="0" quotePrefix="1" applyNumberFormat="1" applyAlignment="1">
      <alignment horizontal="right" vertical="center"/>
    </xf>
    <xf numFmtId="0" fontId="45" fillId="0" borderId="0" xfId="0" applyFont="1" applyAlignment="1">
      <alignment horizontal="left" vertical="center" indent="1"/>
    </xf>
    <xf numFmtId="0" fontId="0" fillId="31" borderId="172" xfId="0" applyFill="1" applyBorder="1">
      <alignment vertical="center"/>
    </xf>
    <xf numFmtId="0" fontId="0" fillId="31" borderId="173" xfId="0" applyFill="1" applyBorder="1">
      <alignment vertical="center"/>
    </xf>
    <xf numFmtId="49" fontId="46" fillId="0" borderId="0" xfId="0" applyNumberFormat="1" applyFont="1">
      <alignment vertical="center"/>
    </xf>
    <xf numFmtId="0" fontId="0" fillId="5" borderId="0" xfId="0" applyFill="1">
      <alignment vertical="center"/>
    </xf>
    <xf numFmtId="0" fontId="50" fillId="0" borderId="117" xfId="0" applyFont="1" applyBorder="1">
      <alignment vertical="center"/>
    </xf>
    <xf numFmtId="0" fontId="119" fillId="0" borderId="32" xfId="0" applyFont="1" applyBorder="1" applyAlignment="1">
      <alignment horizontal="center" vertical="center" wrapText="1"/>
    </xf>
    <xf numFmtId="0" fontId="119" fillId="0" borderId="68" xfId="0" applyFont="1" applyBorder="1" applyAlignment="1">
      <alignment horizontal="center" vertical="center" wrapText="1"/>
    </xf>
    <xf numFmtId="0" fontId="119" fillId="0" borderId="62" xfId="0" applyFont="1" applyBorder="1" applyAlignment="1">
      <alignment horizontal="center" vertical="center" wrapText="1"/>
    </xf>
    <xf numFmtId="0" fontId="121" fillId="0" borderId="68" xfId="0" applyFont="1" applyBorder="1" applyAlignment="1">
      <alignment horizontal="center" vertical="center" wrapText="1"/>
    </xf>
    <xf numFmtId="38" fontId="123" fillId="6" borderId="1" xfId="2" applyFont="1" applyFill="1" applyBorder="1" applyAlignment="1" applyProtection="1">
      <alignment horizontal="center" vertical="center" shrinkToFit="1"/>
      <protection locked="0"/>
    </xf>
    <xf numFmtId="38" fontId="123" fillId="6" borderId="2" xfId="2" applyFont="1" applyFill="1" applyBorder="1" applyAlignment="1" applyProtection="1">
      <alignment horizontal="center" vertical="center" shrinkToFit="1"/>
      <protection locked="0"/>
    </xf>
    <xf numFmtId="38" fontId="123" fillId="6" borderId="95" xfId="2" applyFont="1" applyFill="1" applyBorder="1" applyAlignment="1" applyProtection="1">
      <alignment horizontal="center" vertical="center" shrinkToFit="1"/>
      <protection locked="0"/>
    </xf>
    <xf numFmtId="0" fontId="125" fillId="6" borderId="0" xfId="1" applyFont="1" applyFill="1" applyProtection="1">
      <alignment vertical="center"/>
      <protection hidden="1"/>
    </xf>
    <xf numFmtId="0" fontId="125" fillId="12" borderId="0" xfId="1" applyFont="1" applyFill="1" applyProtection="1">
      <alignment vertical="center"/>
      <protection hidden="1"/>
    </xf>
    <xf numFmtId="0" fontId="125" fillId="13" borderId="0" xfId="1" applyFont="1" applyFill="1" applyProtection="1">
      <alignment vertical="center"/>
      <protection hidden="1"/>
    </xf>
    <xf numFmtId="188" fontId="16" fillId="0" borderId="0" xfId="2" applyNumberFormat="1" applyFont="1" applyFill="1" applyBorder="1" applyAlignment="1" applyProtection="1">
      <alignment horizontal="right" vertical="center" shrinkToFit="1"/>
      <protection hidden="1"/>
    </xf>
    <xf numFmtId="0" fontId="0" fillId="0" borderId="176" xfId="0" applyBorder="1">
      <alignment vertical="center"/>
    </xf>
    <xf numFmtId="0" fontId="58" fillId="18" borderId="56" xfId="0" applyFont="1" applyFill="1" applyBorder="1">
      <alignment vertical="center"/>
    </xf>
    <xf numFmtId="0" fontId="91" fillId="18" borderId="4" xfId="0" applyFont="1" applyFill="1" applyBorder="1">
      <alignment vertical="center"/>
    </xf>
    <xf numFmtId="0" fontId="58" fillId="18" borderId="4" xfId="0" applyFont="1" applyFill="1" applyBorder="1">
      <alignment vertical="center"/>
    </xf>
    <xf numFmtId="0" fontId="58" fillId="18" borderId="4" xfId="0" applyFont="1" applyFill="1" applyBorder="1" applyAlignment="1">
      <alignment horizontal="right" vertical="center"/>
    </xf>
    <xf numFmtId="0" fontId="92" fillId="0" borderId="4" xfId="0" applyFont="1" applyBorder="1" applyAlignment="1"/>
    <xf numFmtId="0" fontId="93" fillId="0" borderId="4" xfId="0" applyFont="1" applyBorder="1" applyAlignment="1">
      <alignment horizontal="left" vertical="center" indent="2"/>
    </xf>
    <xf numFmtId="0" fontId="94" fillId="0" borderId="4" xfId="0" applyFont="1" applyBorder="1">
      <alignment vertical="center"/>
    </xf>
    <xf numFmtId="0" fontId="58" fillId="18" borderId="0" xfId="0" applyFont="1" applyFill="1">
      <alignment vertical="center"/>
    </xf>
    <xf numFmtId="0" fontId="92" fillId="0" borderId="0" xfId="0" applyFont="1">
      <alignment vertical="center"/>
    </xf>
    <xf numFmtId="0" fontId="95" fillId="8" borderId="0" xfId="0" applyFont="1" applyFill="1">
      <alignment vertical="center"/>
    </xf>
    <xf numFmtId="0" fontId="58" fillId="8" borderId="0" xfId="0" applyFont="1" applyFill="1">
      <alignment vertical="center"/>
    </xf>
    <xf numFmtId="0" fontId="93" fillId="0" borderId="0" xfId="0" applyFont="1" applyAlignment="1">
      <alignment horizontal="left" vertical="center" indent="2"/>
    </xf>
    <xf numFmtId="0" fontId="58" fillId="18" borderId="0" xfId="0" applyFont="1" applyFill="1" applyAlignment="1">
      <alignment horizontal="right" vertical="center"/>
    </xf>
    <xf numFmtId="0" fontId="96" fillId="0" borderId="0" xfId="0" applyFont="1">
      <alignment vertical="center"/>
    </xf>
    <xf numFmtId="0" fontId="54" fillId="0" borderId="0" xfId="0" applyFont="1" applyAlignment="1">
      <alignment horizontal="center" vertical="center"/>
    </xf>
    <xf numFmtId="0" fontId="57" fillId="18" borderId="0" xfId="0" applyFont="1" applyFill="1">
      <alignment vertical="center"/>
    </xf>
    <xf numFmtId="0" fontId="95" fillId="18" borderId="0" xfId="0" applyFont="1" applyFill="1">
      <alignment vertical="center"/>
    </xf>
    <xf numFmtId="0" fontId="58" fillId="0" borderId="0" xfId="0" applyFont="1" applyAlignment="1" applyProtection="1">
      <alignment vertical="center" shrinkToFit="1"/>
      <protection locked="0"/>
    </xf>
    <xf numFmtId="0" fontId="106" fillId="0" borderId="0" xfId="0" applyFont="1">
      <alignment vertical="center"/>
    </xf>
    <xf numFmtId="0" fontId="58" fillId="0" borderId="0" xfId="0" applyFont="1" applyAlignment="1">
      <alignment vertical="center" wrapText="1"/>
    </xf>
    <xf numFmtId="0" fontId="58" fillId="0" borderId="0" xfId="0" applyFont="1" applyAlignment="1">
      <alignment horizontal="center" vertical="center"/>
    </xf>
    <xf numFmtId="0" fontId="58" fillId="0" borderId="0" xfId="0" applyFont="1" applyAlignment="1">
      <alignment horizontal="center" vertical="center" wrapText="1"/>
    </xf>
    <xf numFmtId="195" fontId="58" fillId="0" borderId="0" xfId="0" applyNumberFormat="1" applyFont="1" applyAlignment="1">
      <alignment vertical="center" wrapText="1"/>
    </xf>
    <xf numFmtId="0" fontId="58" fillId="0" borderId="0" xfId="0" applyFont="1" applyAlignment="1">
      <alignment horizontal="left" vertical="center" indent="1"/>
    </xf>
    <xf numFmtId="210" fontId="58" fillId="0" borderId="0" xfId="0" applyNumberFormat="1" applyFont="1" applyAlignment="1">
      <alignment vertical="center" wrapText="1"/>
    </xf>
    <xf numFmtId="0" fontId="54" fillId="0" borderId="42" xfId="0" applyFont="1" applyBorder="1">
      <alignment vertical="center"/>
    </xf>
    <xf numFmtId="0" fontId="54" fillId="0" borderId="29" xfId="0" applyFont="1" applyBorder="1">
      <alignment vertical="center"/>
    </xf>
    <xf numFmtId="0" fontId="54" fillId="0" borderId="30" xfId="0" applyFont="1" applyBorder="1">
      <alignment vertical="center"/>
    </xf>
    <xf numFmtId="38" fontId="124" fillId="0" borderId="1" xfId="0" applyNumberFormat="1" applyFont="1" applyBorder="1" applyAlignment="1">
      <alignment horizontal="center" vertical="center" shrinkToFit="1"/>
    </xf>
    <xf numFmtId="38" fontId="124" fillId="0" borderId="95" xfId="0" applyNumberFormat="1" applyFont="1" applyBorder="1" applyAlignment="1">
      <alignment horizontal="center" vertical="center" shrinkToFit="1"/>
    </xf>
    <xf numFmtId="209" fontId="54" fillId="0" borderId="129" xfId="0" applyNumberFormat="1" applyFont="1" applyBorder="1">
      <alignment vertical="center"/>
    </xf>
    <xf numFmtId="0" fontId="54" fillId="0" borderId="41" xfId="0" applyFont="1" applyBorder="1">
      <alignment vertical="center"/>
    </xf>
    <xf numFmtId="209" fontId="54" fillId="0" borderId="128" xfId="0" applyNumberFormat="1" applyFont="1" applyBorder="1">
      <alignment vertical="center"/>
    </xf>
    <xf numFmtId="0" fontId="54" fillId="0" borderId="193" xfId="0" applyFont="1" applyBorder="1">
      <alignment vertical="center"/>
    </xf>
    <xf numFmtId="0" fontId="54" fillId="0" borderId="101" xfId="0" applyFont="1" applyBorder="1">
      <alignment vertical="center"/>
    </xf>
    <xf numFmtId="209" fontId="54" fillId="0" borderId="1" xfId="0" applyNumberFormat="1" applyFont="1" applyBorder="1">
      <alignment vertical="center"/>
    </xf>
    <xf numFmtId="209" fontId="54" fillId="0" borderId="2" xfId="0" applyNumberFormat="1" applyFont="1" applyBorder="1">
      <alignment vertical="center"/>
    </xf>
    <xf numFmtId="38" fontId="54" fillId="0" borderId="115" xfId="2" applyFont="1" applyBorder="1" applyProtection="1">
      <alignment vertical="center"/>
      <protection locked="0"/>
    </xf>
    <xf numFmtId="38" fontId="54" fillId="0" borderId="55" xfId="2" applyFont="1" applyBorder="1" applyProtection="1">
      <alignment vertical="center"/>
      <protection locked="0"/>
    </xf>
    <xf numFmtId="38" fontId="54" fillId="0" borderId="116" xfId="2" applyFont="1" applyBorder="1" applyProtection="1">
      <alignment vertical="center"/>
      <protection locked="0"/>
    </xf>
    <xf numFmtId="38" fontId="54" fillId="0" borderId="68" xfId="2" applyFont="1" applyBorder="1" applyProtection="1">
      <alignment vertical="center"/>
      <protection locked="0"/>
    </xf>
    <xf numFmtId="218" fontId="54" fillId="26" borderId="160" xfId="0" applyNumberFormat="1" applyFont="1" applyFill="1" applyBorder="1">
      <alignment vertical="center"/>
    </xf>
    <xf numFmtId="0" fontId="126" fillId="25" borderId="1" xfId="0" applyFont="1" applyFill="1" applyBorder="1" applyAlignment="1">
      <alignment horizontal="center" vertical="center"/>
    </xf>
    <xf numFmtId="0" fontId="126" fillId="25" borderId="126" xfId="0" applyFont="1" applyFill="1" applyBorder="1" applyAlignment="1">
      <alignment horizontal="center" vertical="center"/>
    </xf>
    <xf numFmtId="0" fontId="127" fillId="0" borderId="0" xfId="0" applyFont="1">
      <alignment vertical="center"/>
    </xf>
    <xf numFmtId="201" fontId="58" fillId="2" borderId="58" xfId="2" applyNumberFormat="1" applyFont="1" applyFill="1" applyBorder="1" applyAlignment="1" applyProtection="1">
      <alignment horizontal="right" vertical="center" shrinkToFit="1"/>
    </xf>
    <xf numFmtId="201" fontId="58" fillId="2" borderId="2" xfId="2" applyNumberFormat="1" applyFont="1" applyFill="1" applyBorder="1" applyAlignment="1" applyProtection="1">
      <alignment horizontal="right" vertical="center" shrinkToFit="1"/>
    </xf>
    <xf numFmtId="201" fontId="58" fillId="2" borderId="1" xfId="2" applyNumberFormat="1" applyFont="1" applyFill="1" applyBorder="1" applyAlignment="1" applyProtection="1">
      <alignment horizontal="right" vertical="center" shrinkToFit="1"/>
    </xf>
    <xf numFmtId="201" fontId="58" fillId="2" borderId="100" xfId="2" applyNumberFormat="1" applyFont="1" applyFill="1" applyBorder="1" applyAlignment="1" applyProtection="1">
      <alignment horizontal="right" vertical="center" shrinkToFit="1"/>
    </xf>
    <xf numFmtId="201" fontId="58" fillId="2" borderId="23" xfId="2" applyNumberFormat="1" applyFont="1" applyFill="1" applyBorder="1" applyAlignment="1" applyProtection="1">
      <alignment horizontal="right" vertical="center" shrinkToFit="1"/>
    </xf>
    <xf numFmtId="201" fontId="58" fillId="2" borderId="24" xfId="2" applyNumberFormat="1" applyFont="1" applyFill="1" applyBorder="1" applyAlignment="1" applyProtection="1">
      <alignment horizontal="right" vertical="center" shrinkToFit="1"/>
    </xf>
    <xf numFmtId="201" fontId="58" fillId="0" borderId="125" xfId="2" applyNumberFormat="1" applyFont="1" applyFill="1" applyBorder="1" applyAlignment="1" applyProtection="1">
      <alignment horizontal="right" vertical="center" shrinkToFit="1"/>
    </xf>
    <xf numFmtId="201" fontId="58" fillId="0" borderId="124" xfId="2" applyNumberFormat="1" applyFont="1" applyFill="1" applyBorder="1" applyAlignment="1" applyProtection="1">
      <alignment horizontal="right" vertical="center" shrinkToFit="1"/>
    </xf>
    <xf numFmtId="201" fontId="58" fillId="0" borderId="115" xfId="2" applyNumberFormat="1" applyFont="1" applyFill="1" applyBorder="1" applyAlignment="1" applyProtection="1">
      <alignment horizontal="right" vertical="center" shrinkToFit="1"/>
    </xf>
    <xf numFmtId="201" fontId="58" fillId="0" borderId="55" xfId="2" applyNumberFormat="1" applyFont="1" applyFill="1" applyBorder="1" applyAlignment="1" applyProtection="1">
      <alignment horizontal="right" vertical="center" shrinkToFit="1"/>
    </xf>
    <xf numFmtId="201" fontId="58" fillId="0" borderId="95" xfId="2" applyNumberFormat="1" applyFont="1" applyFill="1" applyBorder="1" applyAlignment="1" applyProtection="1">
      <alignment horizontal="right" vertical="center" shrinkToFit="1"/>
    </xf>
    <xf numFmtId="201" fontId="58" fillId="0" borderId="1" xfId="2" applyNumberFormat="1" applyFont="1" applyFill="1" applyBorder="1" applyAlignment="1" applyProtection="1">
      <alignment horizontal="right" vertical="center" shrinkToFit="1"/>
    </xf>
    <xf numFmtId="195" fontId="58" fillId="9" borderId="125" xfId="2" applyNumberFormat="1" applyFont="1" applyFill="1" applyBorder="1" applyAlignment="1" applyProtection="1">
      <alignment horizontal="right" vertical="center" shrinkToFit="1"/>
    </xf>
    <xf numFmtId="195" fontId="58" fillId="9" borderId="126" xfId="2" applyNumberFormat="1" applyFont="1" applyFill="1" applyBorder="1" applyAlignment="1" applyProtection="1">
      <alignment horizontal="right" vertical="center" shrinkToFit="1"/>
    </xf>
    <xf numFmtId="201" fontId="58" fillId="9" borderId="194" xfId="2" applyNumberFormat="1" applyFont="1" applyFill="1" applyBorder="1" applyAlignment="1" applyProtection="1">
      <alignment horizontal="right" vertical="center" shrinkToFit="1"/>
    </xf>
    <xf numFmtId="201" fontId="58" fillId="9" borderId="197" xfId="2" applyNumberFormat="1" applyFont="1" applyFill="1" applyBorder="1" applyAlignment="1" applyProtection="1">
      <alignment horizontal="right" vertical="center" shrinkToFit="1"/>
    </xf>
    <xf numFmtId="201" fontId="58" fillId="9" borderId="126" xfId="2" applyNumberFormat="1" applyFont="1" applyFill="1" applyBorder="1" applyAlignment="1" applyProtection="1">
      <alignment horizontal="right" vertical="center" shrinkToFit="1"/>
    </xf>
    <xf numFmtId="0" fontId="45" fillId="5" borderId="0" xfId="0" applyFont="1" applyFill="1" applyAlignment="1">
      <alignment horizontal="left" vertical="center" indent="2"/>
    </xf>
    <xf numFmtId="0" fontId="45" fillId="5" borderId="160" xfId="0" applyFont="1" applyFill="1" applyBorder="1" applyAlignment="1" applyProtection="1">
      <alignment horizontal="center" vertical="center"/>
      <protection locked="0"/>
    </xf>
    <xf numFmtId="0" fontId="0" fillId="34" borderId="1" xfId="0" applyFill="1" applyBorder="1" applyProtection="1">
      <alignment vertical="center"/>
      <protection locked="0"/>
    </xf>
    <xf numFmtId="0" fontId="128" fillId="4" borderId="172" xfId="0" applyFont="1" applyFill="1" applyBorder="1">
      <alignment vertical="center"/>
    </xf>
    <xf numFmtId="0" fontId="128" fillId="0" borderId="42" xfId="0" applyFont="1" applyBorder="1">
      <alignment vertical="center"/>
    </xf>
    <xf numFmtId="0" fontId="128" fillId="0" borderId="17" xfId="0" applyFont="1" applyBorder="1">
      <alignment vertical="center"/>
    </xf>
    <xf numFmtId="0" fontId="128" fillId="0" borderId="175" xfId="0" applyFont="1" applyBorder="1">
      <alignment vertical="center"/>
    </xf>
    <xf numFmtId="0" fontId="129" fillId="12" borderId="172" xfId="0" applyFont="1" applyFill="1" applyBorder="1">
      <alignment vertical="center"/>
    </xf>
    <xf numFmtId="0" fontId="128" fillId="12" borderId="171" xfId="0" applyFont="1" applyFill="1" applyBorder="1">
      <alignment vertical="center"/>
    </xf>
    <xf numFmtId="0" fontId="128" fillId="12" borderId="172" xfId="0" applyFont="1" applyFill="1" applyBorder="1">
      <alignment vertical="center"/>
    </xf>
    <xf numFmtId="0" fontId="128" fillId="13" borderId="174" xfId="0" applyFont="1" applyFill="1" applyBorder="1">
      <alignment vertical="center"/>
    </xf>
    <xf numFmtId="0" fontId="128" fillId="13" borderId="172" xfId="0" applyFont="1" applyFill="1" applyBorder="1">
      <alignment vertical="center"/>
    </xf>
    <xf numFmtId="0" fontId="128" fillId="13" borderId="171" xfId="0" applyFont="1" applyFill="1" applyBorder="1">
      <alignment vertical="center"/>
    </xf>
    <xf numFmtId="0" fontId="128" fillId="17" borderId="171" xfId="0" applyFont="1" applyFill="1" applyBorder="1">
      <alignment vertical="center"/>
    </xf>
    <xf numFmtId="0" fontId="128" fillId="17" borderId="172" xfId="0" applyFont="1" applyFill="1" applyBorder="1">
      <alignment vertical="center"/>
    </xf>
    <xf numFmtId="0" fontId="128" fillId="17" borderId="173" xfId="0" applyFont="1" applyFill="1" applyBorder="1">
      <alignment vertical="center"/>
    </xf>
    <xf numFmtId="0" fontId="128" fillId="0" borderId="176" xfId="0" applyFont="1" applyBorder="1">
      <alignment vertical="center"/>
    </xf>
    <xf numFmtId="0" fontId="7" fillId="0" borderId="168" xfId="0" applyFont="1" applyBorder="1" applyAlignment="1">
      <alignment horizontal="left" vertical="center"/>
    </xf>
    <xf numFmtId="0" fontId="7" fillId="0" borderId="169" xfId="0" applyFont="1" applyBorder="1" applyAlignment="1">
      <alignment horizontal="left" vertical="center"/>
    </xf>
    <xf numFmtId="0" fontId="130" fillId="0" borderId="169" xfId="0" applyFont="1" applyBorder="1" applyAlignment="1">
      <alignment horizontal="center" vertical="center"/>
    </xf>
    <xf numFmtId="0" fontId="130" fillId="0" borderId="170" xfId="0" applyFont="1" applyBorder="1" applyAlignment="1">
      <alignment horizontal="center" vertical="center"/>
    </xf>
    <xf numFmtId="0" fontId="7" fillId="0" borderId="175" xfId="0" applyFont="1" applyBorder="1" applyAlignment="1">
      <alignment horizontal="left" vertical="center"/>
    </xf>
    <xf numFmtId="0" fontId="7" fillId="0" borderId="17" xfId="0" applyFont="1" applyBorder="1" applyAlignment="1">
      <alignment horizontal="left" vertical="center"/>
    </xf>
    <xf numFmtId="0" fontId="130" fillId="0" borderId="17" xfId="0" applyFont="1" applyBorder="1" applyAlignment="1">
      <alignment horizontal="center" vertical="center"/>
    </xf>
    <xf numFmtId="0" fontId="130" fillId="0" borderId="176" xfId="0" applyFont="1" applyBorder="1" applyAlignment="1">
      <alignment horizontal="center" vertical="center"/>
    </xf>
    <xf numFmtId="0" fontId="128" fillId="4" borderId="199" xfId="0" applyFont="1" applyFill="1" applyBorder="1">
      <alignment vertical="center"/>
    </xf>
    <xf numFmtId="0" fontId="129" fillId="32" borderId="15" xfId="0" applyFont="1" applyFill="1" applyBorder="1">
      <alignment vertical="center"/>
    </xf>
    <xf numFmtId="0" fontId="128" fillId="32" borderId="0" xfId="0" applyFont="1" applyFill="1">
      <alignment vertical="center"/>
    </xf>
    <xf numFmtId="0" fontId="128" fillId="32" borderId="172" xfId="0" applyFont="1" applyFill="1" applyBorder="1">
      <alignment vertical="center"/>
    </xf>
    <xf numFmtId="0" fontId="128" fillId="16" borderId="171" xfId="0" applyFont="1" applyFill="1" applyBorder="1">
      <alignment vertical="center"/>
    </xf>
    <xf numFmtId="0" fontId="128" fillId="16" borderId="172" xfId="0" applyFont="1" applyFill="1" applyBorder="1">
      <alignment vertical="center"/>
    </xf>
    <xf numFmtId="0" fontId="128" fillId="16" borderId="173" xfId="0" applyFont="1" applyFill="1" applyBorder="1">
      <alignment vertical="center"/>
    </xf>
    <xf numFmtId="0" fontId="128" fillId="4" borderId="168" xfId="0" applyFont="1" applyFill="1" applyBorder="1">
      <alignment vertical="center"/>
    </xf>
    <xf numFmtId="0" fontId="128" fillId="4" borderId="171" xfId="0" applyFont="1" applyFill="1" applyBorder="1">
      <alignment vertical="center"/>
    </xf>
    <xf numFmtId="0" fontId="45" fillId="31" borderId="168" xfId="0" applyFont="1" applyFill="1" applyBorder="1">
      <alignment vertical="center"/>
    </xf>
    <xf numFmtId="0" fontId="0" fillId="31" borderId="169" xfId="0" applyFill="1" applyBorder="1">
      <alignment vertical="center"/>
    </xf>
    <xf numFmtId="0" fontId="0" fillId="31" borderId="170" xfId="0" applyFill="1" applyBorder="1">
      <alignment vertical="center"/>
    </xf>
    <xf numFmtId="0" fontId="45" fillId="31" borderId="171" xfId="0" applyFont="1" applyFill="1" applyBorder="1">
      <alignment vertical="center"/>
    </xf>
    <xf numFmtId="0" fontId="45" fillId="31" borderId="175" xfId="0" applyFont="1" applyFill="1" applyBorder="1">
      <alignment vertical="center"/>
    </xf>
    <xf numFmtId="0" fontId="0" fillId="31" borderId="17" xfId="0" applyFill="1" applyBorder="1">
      <alignment vertical="center"/>
    </xf>
    <xf numFmtId="0" fontId="0" fillId="31" borderId="176" xfId="0" applyFill="1" applyBorder="1">
      <alignment vertical="center"/>
    </xf>
    <xf numFmtId="0" fontId="128" fillId="6" borderId="168" xfId="0" applyFont="1" applyFill="1" applyBorder="1">
      <alignment vertical="center"/>
    </xf>
    <xf numFmtId="0" fontId="129" fillId="6" borderId="169" xfId="0" applyFont="1" applyFill="1" applyBorder="1">
      <alignment vertical="center"/>
    </xf>
    <xf numFmtId="0" fontId="129" fillId="6" borderId="170" xfId="0" applyFont="1" applyFill="1" applyBorder="1">
      <alignment vertical="center"/>
    </xf>
    <xf numFmtId="0" fontId="128" fillId="6" borderId="169" xfId="0" applyFont="1" applyFill="1" applyBorder="1">
      <alignment vertical="center"/>
    </xf>
    <xf numFmtId="0" fontId="128" fillId="6" borderId="170" xfId="0" applyFont="1" applyFill="1" applyBorder="1">
      <alignment vertical="center"/>
    </xf>
    <xf numFmtId="0" fontId="129" fillId="12" borderId="173" xfId="0" applyFont="1" applyFill="1" applyBorder="1">
      <alignment vertical="center"/>
    </xf>
    <xf numFmtId="0" fontId="128" fillId="12" borderId="173" xfId="0" applyFont="1" applyFill="1" applyBorder="1">
      <alignment vertical="center"/>
    </xf>
    <xf numFmtId="0" fontId="128" fillId="33" borderId="175" xfId="0" applyFont="1" applyFill="1" applyBorder="1">
      <alignment vertical="center"/>
    </xf>
    <xf numFmtId="0" fontId="129" fillId="33" borderId="17" xfId="0" applyFont="1" applyFill="1" applyBorder="1">
      <alignment vertical="center"/>
    </xf>
    <xf numFmtId="0" fontId="129" fillId="33" borderId="176" xfId="0" applyFont="1" applyFill="1" applyBorder="1">
      <alignment vertical="center"/>
    </xf>
    <xf numFmtId="0" fontId="128" fillId="33" borderId="17" xfId="0" applyFont="1" applyFill="1" applyBorder="1">
      <alignment vertical="center"/>
    </xf>
    <xf numFmtId="0" fontId="128" fillId="33" borderId="176" xfId="0" applyFont="1" applyFill="1" applyBorder="1">
      <alignment vertical="center"/>
    </xf>
    <xf numFmtId="0" fontId="128" fillId="31" borderId="168" xfId="0" applyFont="1" applyFill="1" applyBorder="1">
      <alignment vertical="center"/>
    </xf>
    <xf numFmtId="0" fontId="128" fillId="31" borderId="171" xfId="0" applyFont="1" applyFill="1" applyBorder="1">
      <alignment vertical="center"/>
    </xf>
    <xf numFmtId="0" fontId="128" fillId="31" borderId="175" xfId="0" applyFont="1" applyFill="1" applyBorder="1">
      <alignment vertical="center"/>
    </xf>
    <xf numFmtId="0" fontId="128" fillId="13" borderId="199" xfId="0" applyFont="1" applyFill="1" applyBorder="1">
      <alignment vertical="center"/>
    </xf>
    <xf numFmtId="0" fontId="16" fillId="0" borderId="0" xfId="0" applyFont="1" applyProtection="1">
      <alignment vertical="center"/>
      <protection hidden="1"/>
    </xf>
    <xf numFmtId="0" fontId="58" fillId="0" borderId="95" xfId="0" applyFont="1" applyBorder="1" applyAlignment="1" applyProtection="1">
      <alignment vertical="center" shrinkToFit="1"/>
      <protection locked="0"/>
    </xf>
    <xf numFmtId="0" fontId="58" fillId="0" borderId="98" xfId="0" applyFont="1" applyBorder="1" applyAlignment="1" applyProtection="1">
      <alignment vertical="center" shrinkToFit="1"/>
      <protection locked="0"/>
    </xf>
    <xf numFmtId="0" fontId="58" fillId="0" borderId="2" xfId="0" applyFont="1" applyBorder="1" applyAlignment="1" applyProtection="1">
      <alignment vertical="center" shrinkToFit="1"/>
      <protection locked="0"/>
    </xf>
    <xf numFmtId="0" fontId="131" fillId="0" borderId="0" xfId="0" applyFont="1">
      <alignment vertical="center"/>
    </xf>
    <xf numFmtId="218" fontId="54" fillId="27" borderId="160" xfId="0" applyNumberFormat="1" applyFont="1" applyFill="1" applyBorder="1">
      <alignment vertical="center"/>
    </xf>
    <xf numFmtId="38" fontId="58" fillId="0" borderId="37" xfId="0" applyNumberFormat="1" applyFont="1" applyBorder="1" applyAlignment="1">
      <alignment horizontal="center" vertical="center" shrinkToFit="1"/>
    </xf>
    <xf numFmtId="38" fontId="124" fillId="0" borderId="37" xfId="0" applyNumberFormat="1" applyFont="1" applyBorder="1" applyAlignment="1">
      <alignment horizontal="center" vertical="center" shrinkToFit="1"/>
    </xf>
    <xf numFmtId="38" fontId="124" fillId="0" borderId="56" xfId="0" applyNumberFormat="1" applyFont="1" applyBorder="1" applyAlignment="1">
      <alignment horizontal="center" vertical="center" shrinkToFit="1"/>
    </xf>
    <xf numFmtId="198" fontId="58" fillId="18" borderId="42" xfId="0" applyNumberFormat="1" applyFont="1" applyFill="1" applyBorder="1" applyAlignment="1">
      <alignment vertical="center" shrinkToFit="1"/>
    </xf>
    <xf numFmtId="198" fontId="58" fillId="21" borderId="33" xfId="0" applyNumberFormat="1" applyFont="1" applyFill="1" applyBorder="1" applyAlignment="1">
      <alignment vertical="center" shrinkToFit="1"/>
    </xf>
    <xf numFmtId="198" fontId="58" fillId="8" borderId="202" xfId="0" applyNumberFormat="1" applyFont="1" applyFill="1" applyBorder="1" applyAlignment="1">
      <alignment vertical="center" shrinkToFit="1"/>
    </xf>
    <xf numFmtId="198" fontId="58" fillId="8" borderId="42" xfId="0" applyNumberFormat="1" applyFont="1" applyFill="1" applyBorder="1" applyAlignment="1">
      <alignment vertical="center" shrinkToFit="1"/>
    </xf>
    <xf numFmtId="198" fontId="58" fillId="18" borderId="124" xfId="0" applyNumberFormat="1" applyFont="1" applyFill="1" applyBorder="1" applyAlignment="1">
      <alignment vertical="center" shrinkToFit="1"/>
    </xf>
    <xf numFmtId="198" fontId="58" fillId="21" borderId="125" xfId="0" applyNumberFormat="1" applyFont="1" applyFill="1" applyBorder="1" applyAlignment="1">
      <alignment vertical="center" shrinkToFit="1"/>
    </xf>
    <xf numFmtId="198" fontId="58" fillId="9" borderId="125" xfId="0" applyNumberFormat="1" applyFont="1" applyFill="1" applyBorder="1" applyAlignment="1">
      <alignment vertical="center" shrinkToFit="1"/>
    </xf>
    <xf numFmtId="198" fontId="58" fillId="9" borderId="126" xfId="0" applyNumberFormat="1" applyFont="1" applyFill="1" applyBorder="1" applyAlignment="1">
      <alignment vertical="center" shrinkToFit="1"/>
    </xf>
    <xf numFmtId="198" fontId="58" fillId="8" borderId="103" xfId="0" applyNumberFormat="1" applyFont="1" applyFill="1" applyBorder="1" applyAlignment="1">
      <alignment vertical="center" shrinkToFit="1"/>
    </xf>
    <xf numFmtId="198" fontId="58" fillId="8" borderId="56" xfId="0" applyNumberFormat="1" applyFont="1" applyFill="1" applyBorder="1" applyAlignment="1">
      <alignment vertical="center" shrinkToFit="1"/>
    </xf>
    <xf numFmtId="198" fontId="58" fillId="8" borderId="83" xfId="0" applyNumberFormat="1" applyFont="1" applyFill="1" applyBorder="1" applyAlignment="1">
      <alignment vertical="center" shrinkToFit="1"/>
    </xf>
    <xf numFmtId="198" fontId="58" fillId="8" borderId="84" xfId="0" applyNumberFormat="1" applyFont="1" applyFill="1" applyBorder="1" applyAlignment="1">
      <alignment vertical="center" shrinkToFit="1"/>
    </xf>
    <xf numFmtId="0" fontId="58" fillId="0" borderId="113" xfId="0" applyFont="1" applyBorder="1" applyAlignment="1" applyProtection="1">
      <alignment vertical="center" shrinkToFit="1"/>
      <protection locked="0"/>
    </xf>
    <xf numFmtId="0" fontId="58" fillId="0" borderId="33" xfId="0" applyFont="1" applyBorder="1" applyAlignment="1" applyProtection="1">
      <alignment vertical="center" shrinkToFit="1"/>
      <protection locked="0"/>
    </xf>
    <xf numFmtId="198" fontId="58" fillId="9" borderId="124" xfId="0" applyNumberFormat="1" applyFont="1" applyFill="1" applyBorder="1" applyAlignment="1">
      <alignment vertical="center" shrinkToFit="1"/>
    </xf>
    <xf numFmtId="0" fontId="0" fillId="0" borderId="2" xfId="0" applyBorder="1">
      <alignment vertical="center"/>
    </xf>
    <xf numFmtId="0" fontId="45" fillId="30" borderId="1" xfId="0" applyFont="1" applyFill="1" applyBorder="1" applyAlignment="1">
      <alignment horizontal="center" vertical="center"/>
    </xf>
    <xf numFmtId="0" fontId="46" fillId="0" borderId="135" xfId="0" applyFont="1" applyBorder="1">
      <alignment vertical="center"/>
    </xf>
    <xf numFmtId="0" fontId="46" fillId="0" borderId="136" xfId="0" applyFont="1" applyBorder="1">
      <alignment vertical="center"/>
    </xf>
    <xf numFmtId="38" fontId="58" fillId="0" borderId="24" xfId="0" applyNumberFormat="1" applyFont="1" applyBorder="1" applyAlignment="1">
      <alignment horizontal="center" vertical="center" shrinkToFit="1"/>
    </xf>
    <xf numFmtId="0" fontId="14" fillId="0" borderId="26" xfId="0" applyFont="1" applyBorder="1" applyAlignment="1" applyProtection="1">
      <alignment horizontal="distributed" vertical="center"/>
      <protection hidden="1"/>
    </xf>
    <xf numFmtId="0" fontId="14" fillId="0" borderId="28" xfId="0" applyFont="1" applyBorder="1" applyAlignment="1" applyProtection="1">
      <alignment horizontal="distributed" vertical="center"/>
      <protection hidden="1"/>
    </xf>
    <xf numFmtId="0" fontId="14" fillId="0" borderId="100" xfId="0" applyFont="1" applyBorder="1" applyAlignment="1" applyProtection="1">
      <alignment horizontal="left" vertical="center"/>
      <protection hidden="1"/>
    </xf>
    <xf numFmtId="0" fontId="14" fillId="0" borderId="21" xfId="0" applyFont="1" applyBorder="1" applyAlignment="1" applyProtection="1">
      <alignment horizontal="left" vertical="center"/>
      <protection hidden="1"/>
    </xf>
    <xf numFmtId="0" fontId="14" fillId="0" borderId="22" xfId="0" applyFont="1" applyBorder="1" applyAlignment="1" applyProtection="1">
      <alignment horizontal="left" vertical="center"/>
      <protection hidden="1"/>
    </xf>
    <xf numFmtId="0" fontId="14" fillId="5" borderId="23" xfId="0" applyFont="1" applyFill="1" applyBorder="1" applyAlignment="1" applyProtection="1">
      <alignment vertical="center" shrinkToFit="1"/>
      <protection locked="0"/>
    </xf>
    <xf numFmtId="0" fontId="14" fillId="5" borderId="22" xfId="0" applyFont="1" applyFill="1" applyBorder="1" applyAlignment="1" applyProtection="1">
      <alignment vertical="center" shrinkToFit="1"/>
      <protection locked="0"/>
    </xf>
    <xf numFmtId="0" fontId="14" fillId="5" borderId="25" xfId="0" applyFont="1" applyFill="1" applyBorder="1" applyAlignment="1" applyProtection="1">
      <alignment vertical="center" shrinkToFit="1"/>
      <protection locked="0"/>
    </xf>
    <xf numFmtId="0" fontId="14" fillId="0" borderId="0" xfId="0" applyFont="1" applyAlignment="1" applyProtection="1">
      <alignment vertical="center" shrinkToFit="1"/>
      <protection hidden="1"/>
    </xf>
    <xf numFmtId="0" fontId="14" fillId="0" borderId="58" xfId="0" applyFont="1" applyBorder="1" applyAlignment="1" applyProtection="1">
      <alignment horizontal="left" vertical="center"/>
      <protection hidden="1"/>
    </xf>
    <xf numFmtId="0" fontId="14" fillId="0" borderId="36" xfId="0" applyFont="1" applyBorder="1" applyAlignment="1" applyProtection="1">
      <alignment horizontal="left" vertical="center"/>
      <protection hidden="1"/>
    </xf>
    <xf numFmtId="0" fontId="14" fillId="0" borderId="3" xfId="0" applyFont="1" applyBorder="1" applyAlignment="1" applyProtection="1">
      <alignment horizontal="left" vertical="center"/>
      <protection hidden="1"/>
    </xf>
    <xf numFmtId="0" fontId="14" fillId="5" borderId="2" xfId="0" applyFont="1" applyFill="1" applyBorder="1" applyAlignment="1" applyProtection="1">
      <alignment vertical="center" shrinkToFit="1"/>
      <protection locked="0"/>
    </xf>
    <xf numFmtId="0" fontId="14" fillId="5" borderId="3" xfId="0" applyFont="1" applyFill="1" applyBorder="1" applyAlignment="1" applyProtection="1">
      <alignment vertical="center" shrinkToFit="1"/>
      <protection locked="0"/>
    </xf>
    <xf numFmtId="0" fontId="14" fillId="5" borderId="34" xfId="0" applyFont="1" applyFill="1" applyBorder="1" applyAlignment="1" applyProtection="1">
      <alignment vertical="center" shrinkToFit="1"/>
      <protection locked="0"/>
    </xf>
    <xf numFmtId="0" fontId="14" fillId="5" borderId="100" xfId="0" applyFont="1" applyFill="1" applyBorder="1" applyAlignment="1" applyProtection="1">
      <alignment vertical="center" shrinkToFit="1"/>
      <protection locked="0"/>
    </xf>
    <xf numFmtId="0" fontId="14" fillId="0" borderId="22" xfId="0" applyFont="1" applyBorder="1" applyAlignment="1" applyProtection="1">
      <alignment vertical="center" shrinkToFit="1"/>
      <protection locked="0"/>
    </xf>
    <xf numFmtId="0" fontId="14" fillId="0" borderId="31" xfId="0" applyFont="1" applyBorder="1" applyAlignment="1" applyProtection="1">
      <alignment horizontal="distributed" vertical="center"/>
      <protection hidden="1"/>
    </xf>
    <xf numFmtId="0" fontId="14" fillId="0" borderId="23" xfId="0" applyFont="1" applyBorder="1" applyAlignment="1" applyProtection="1">
      <alignment horizontal="distributed" vertical="center" indent="1"/>
      <protection hidden="1"/>
    </xf>
    <xf numFmtId="0" fontId="14" fillId="0" borderId="21" xfId="0" applyFont="1" applyBorder="1" applyAlignment="1" applyProtection="1">
      <alignment horizontal="distributed" vertical="center" indent="1"/>
      <protection hidden="1"/>
    </xf>
    <xf numFmtId="0" fontId="14" fillId="0" borderId="22" xfId="0" applyFont="1" applyBorder="1" applyAlignment="1" applyProtection="1">
      <alignment horizontal="distributed" vertical="center" indent="1"/>
      <protection hidden="1"/>
    </xf>
    <xf numFmtId="0" fontId="14" fillId="0" borderId="120" xfId="0" applyFont="1" applyBorder="1" applyAlignment="1" applyProtection="1">
      <alignment horizontal="distributed" vertical="center" indent="1"/>
      <protection hidden="1"/>
    </xf>
    <xf numFmtId="0" fontId="14" fillId="0" borderId="92" xfId="0" applyFont="1" applyBorder="1" applyAlignment="1" applyProtection="1">
      <alignment horizontal="distributed" vertical="center" indent="1"/>
      <protection hidden="1"/>
    </xf>
    <xf numFmtId="178" fontId="16" fillId="0" borderId="2" xfId="0" applyNumberFormat="1" applyFont="1" applyBorder="1" applyAlignment="1" applyProtection="1">
      <alignment horizontal="right" vertical="center" indent="4"/>
      <protection hidden="1"/>
    </xf>
    <xf numFmtId="178" fontId="16" fillId="0" borderId="36" xfId="0" applyNumberFormat="1" applyFont="1" applyBorder="1" applyAlignment="1" applyProtection="1">
      <alignment horizontal="right" vertical="center" indent="4"/>
      <protection hidden="1"/>
    </xf>
    <xf numFmtId="178" fontId="16" fillId="0" borderId="23" xfId="0" applyNumberFormat="1" applyFont="1" applyBorder="1" applyAlignment="1" applyProtection="1">
      <alignment horizontal="right" vertical="center" indent="4"/>
      <protection hidden="1"/>
    </xf>
    <xf numFmtId="178" fontId="16" fillId="0" borderId="21" xfId="0" applyNumberFormat="1" applyFont="1" applyBorder="1" applyAlignment="1" applyProtection="1">
      <alignment horizontal="right" vertical="center" indent="4"/>
      <protection hidden="1"/>
    </xf>
    <xf numFmtId="0" fontId="14" fillId="0" borderId="2" xfId="0" applyFont="1" applyBorder="1" applyAlignment="1" applyProtection="1">
      <alignment horizontal="distributed" vertical="center" indent="1"/>
      <protection hidden="1"/>
    </xf>
    <xf numFmtId="0" fontId="14" fillId="0" borderId="36" xfId="0" applyFont="1" applyBorder="1" applyAlignment="1" applyProtection="1">
      <alignment horizontal="distributed" vertical="center" indent="1"/>
      <protection hidden="1"/>
    </xf>
    <xf numFmtId="0" fontId="14" fillId="0" borderId="3" xfId="0" applyFont="1" applyBorder="1" applyAlignment="1" applyProtection="1">
      <alignment horizontal="distributed" vertical="center" indent="1"/>
      <protection hidden="1"/>
    </xf>
    <xf numFmtId="0" fontId="14" fillId="5" borderId="58" xfId="0" applyFont="1" applyFill="1" applyBorder="1" applyAlignment="1" applyProtection="1">
      <alignment vertical="center" shrinkToFit="1"/>
      <protection locked="0"/>
    </xf>
    <xf numFmtId="0" fontId="14" fillId="0" borderId="3" xfId="0" applyFont="1" applyBorder="1" applyAlignment="1" applyProtection="1">
      <alignment vertical="center" shrinkToFit="1"/>
      <protection locked="0"/>
    </xf>
    <xf numFmtId="0" fontId="14" fillId="0" borderId="106" xfId="0" applyFont="1" applyBorder="1" applyAlignment="1" applyProtection="1">
      <alignment horizontal="distributed" vertical="center"/>
      <protection hidden="1"/>
    </xf>
    <xf numFmtId="0" fontId="14" fillId="0" borderId="27" xfId="0" applyFont="1" applyBorder="1" applyAlignment="1" applyProtection="1">
      <alignment horizontal="distributed" vertical="center"/>
      <protection hidden="1"/>
    </xf>
    <xf numFmtId="0" fontId="14" fillId="0" borderId="58" xfId="0" applyFont="1" applyBorder="1" applyAlignment="1" applyProtection="1">
      <alignment horizontal="distributed" vertical="center" indent="1"/>
      <protection hidden="1"/>
    </xf>
    <xf numFmtId="0" fontId="14" fillId="0" borderId="107" xfId="0" applyFont="1" applyBorder="1" applyAlignment="1" applyProtection="1">
      <alignment horizontal="distributed" vertical="center" indent="1"/>
      <protection hidden="1"/>
    </xf>
    <xf numFmtId="0" fontId="14" fillId="0" borderId="4" xfId="0" applyFont="1" applyBorder="1" applyAlignment="1" applyProtection="1">
      <alignment horizontal="distributed" vertical="center" indent="1"/>
      <protection hidden="1"/>
    </xf>
    <xf numFmtId="0" fontId="14" fillId="0" borderId="38" xfId="0" applyFont="1" applyBorder="1" applyAlignment="1" applyProtection="1">
      <alignment horizontal="distributed" vertical="center" indent="1"/>
      <protection hidden="1"/>
    </xf>
    <xf numFmtId="0" fontId="22" fillId="13" borderId="122" xfId="0" applyFont="1" applyFill="1" applyBorder="1" applyAlignment="1" applyProtection="1">
      <alignment horizontal="center" vertical="center"/>
      <protection hidden="1"/>
    </xf>
    <xf numFmtId="0" fontId="22" fillId="13" borderId="118" xfId="0" applyFont="1" applyFill="1" applyBorder="1" applyAlignment="1" applyProtection="1">
      <alignment horizontal="center" vertical="center"/>
      <protection hidden="1"/>
    </xf>
    <xf numFmtId="0" fontId="22" fillId="13" borderId="123" xfId="0" applyFont="1" applyFill="1" applyBorder="1" applyAlignment="1" applyProtection="1">
      <alignment horizontal="center" vertical="center"/>
      <protection hidden="1"/>
    </xf>
    <xf numFmtId="186" fontId="29" fillId="6" borderId="2" xfId="0" applyNumberFormat="1" applyFont="1" applyFill="1" applyBorder="1" applyAlignment="1" applyProtection="1">
      <alignment horizontal="center" vertical="center"/>
      <protection locked="0"/>
    </xf>
    <xf numFmtId="186" fontId="29" fillId="6" borderId="3" xfId="0" applyNumberFormat="1" applyFont="1" applyFill="1" applyBorder="1" applyAlignment="1" applyProtection="1">
      <alignment horizontal="center" vertical="center"/>
      <protection locked="0"/>
    </xf>
    <xf numFmtId="0" fontId="23" fillId="4" borderId="0" xfId="0" applyFont="1" applyFill="1" applyAlignment="1" applyProtection="1">
      <alignment horizontal="left" vertical="center" wrapText="1"/>
      <protection hidden="1"/>
    </xf>
    <xf numFmtId="0" fontId="14" fillId="5" borderId="42" xfId="0" applyFont="1" applyFill="1" applyBorder="1" applyAlignment="1" applyProtection="1">
      <alignment horizontal="left" vertical="center" wrapText="1" shrinkToFit="1"/>
      <protection locked="0"/>
    </xf>
    <xf numFmtId="0" fontId="14" fillId="5" borderId="29" xfId="0" applyFont="1" applyFill="1" applyBorder="1" applyAlignment="1" applyProtection="1">
      <alignment horizontal="left" vertical="center" wrapText="1" shrinkToFit="1"/>
      <protection locked="0"/>
    </xf>
    <xf numFmtId="0" fontId="14" fillId="5" borderId="59" xfId="0" applyFont="1" applyFill="1" applyBorder="1" applyAlignment="1" applyProtection="1">
      <alignment horizontal="left" vertical="center" wrapText="1" shrinkToFit="1"/>
      <protection locked="0"/>
    </xf>
    <xf numFmtId="176" fontId="16" fillId="5" borderId="2" xfId="0" applyNumberFormat="1" applyFont="1" applyFill="1" applyBorder="1" applyAlignment="1" applyProtection="1">
      <alignment horizontal="center" vertical="center" shrinkToFit="1"/>
      <protection locked="0"/>
    </xf>
    <xf numFmtId="176" fontId="16" fillId="5" borderId="36" xfId="0" applyNumberFormat="1" applyFont="1" applyFill="1" applyBorder="1" applyAlignment="1" applyProtection="1">
      <alignment horizontal="center" vertical="center" shrinkToFit="1"/>
      <protection locked="0"/>
    </xf>
    <xf numFmtId="176" fontId="16" fillId="5" borderId="34" xfId="0" applyNumberFormat="1" applyFont="1" applyFill="1" applyBorder="1" applyAlignment="1" applyProtection="1">
      <alignment horizontal="center" vertical="center" shrinkToFit="1"/>
      <protection locked="0"/>
    </xf>
    <xf numFmtId="0" fontId="20" fillId="3" borderId="167" xfId="0" applyFont="1" applyFill="1" applyBorder="1" applyAlignment="1" applyProtection="1">
      <alignment horizontal="center"/>
      <protection hidden="1"/>
    </xf>
    <xf numFmtId="0" fontId="20" fillId="3" borderId="8" xfId="0" applyFont="1" applyFill="1" applyBorder="1" applyAlignment="1" applyProtection="1">
      <alignment horizontal="center"/>
      <protection hidden="1"/>
    </xf>
    <xf numFmtId="0" fontId="20" fillId="3" borderId="9" xfId="0" applyFont="1" applyFill="1" applyBorder="1" applyAlignment="1" applyProtection="1">
      <alignment horizontal="center"/>
      <protection hidden="1"/>
    </xf>
    <xf numFmtId="0" fontId="16" fillId="3" borderId="92" xfId="0" applyFont="1" applyFill="1" applyBorder="1" applyAlignment="1" applyProtection="1">
      <alignment horizontal="center" vertical="top"/>
      <protection hidden="1"/>
    </xf>
    <xf numFmtId="0" fontId="16" fillId="3" borderId="5" xfId="0" applyFont="1" applyFill="1" applyBorder="1" applyAlignment="1" applyProtection="1">
      <alignment horizontal="center" vertical="top"/>
      <protection hidden="1"/>
    </xf>
    <xf numFmtId="0" fontId="16" fillId="3" borderId="20" xfId="0" applyFont="1" applyFill="1" applyBorder="1" applyAlignment="1" applyProtection="1">
      <alignment horizontal="center" vertical="top"/>
      <protection hidden="1"/>
    </xf>
    <xf numFmtId="187" fontId="14" fillId="5" borderId="2" xfId="0" applyNumberFormat="1" applyFont="1" applyFill="1" applyBorder="1" applyAlignment="1" applyProtection="1">
      <alignment horizontal="center" vertical="center" shrinkToFit="1"/>
      <protection locked="0"/>
    </xf>
    <xf numFmtId="187" fontId="14" fillId="5" borderId="36" xfId="0" applyNumberFormat="1" applyFont="1" applyFill="1" applyBorder="1" applyAlignment="1" applyProtection="1">
      <alignment horizontal="center" vertical="center" shrinkToFit="1"/>
      <protection locked="0"/>
    </xf>
    <xf numFmtId="187" fontId="14" fillId="5" borderId="3" xfId="0" applyNumberFormat="1" applyFont="1" applyFill="1" applyBorder="1" applyAlignment="1" applyProtection="1">
      <alignment horizontal="center" vertical="center" shrinkToFit="1"/>
      <protection locked="0"/>
    </xf>
    <xf numFmtId="0" fontId="14" fillId="0" borderId="106" xfId="0" applyFont="1" applyBorder="1" applyAlignment="1" applyProtection="1">
      <alignment horizontal="distributed" vertical="center" wrapText="1" indent="1"/>
      <protection hidden="1"/>
    </xf>
    <xf numFmtId="0" fontId="14" fillId="0" borderId="27" xfId="0" applyFont="1" applyBorder="1" applyAlignment="1" applyProtection="1">
      <alignment horizontal="distributed" vertical="center" indent="1"/>
      <protection hidden="1"/>
    </xf>
    <xf numFmtId="0" fontId="14" fillId="0" borderId="31" xfId="0" applyFont="1" applyBorder="1" applyAlignment="1" applyProtection="1">
      <alignment horizontal="distributed" vertical="center" indent="1"/>
      <protection hidden="1"/>
    </xf>
    <xf numFmtId="0" fontId="14" fillId="5" borderId="26" xfId="0" applyFont="1" applyFill="1" applyBorder="1" applyAlignment="1" applyProtection="1">
      <alignment horizontal="left" vertical="center" wrapText="1" shrinkToFit="1"/>
      <protection locked="0"/>
    </xf>
    <xf numFmtId="0" fontId="14" fillId="5" borderId="27" xfId="0" applyFont="1" applyFill="1" applyBorder="1" applyAlignment="1" applyProtection="1">
      <alignment horizontal="left" vertical="center" wrapText="1" shrinkToFit="1"/>
      <protection locked="0"/>
    </xf>
    <xf numFmtId="0" fontId="14" fillId="5" borderId="28" xfId="0" applyFont="1" applyFill="1" applyBorder="1" applyAlignment="1" applyProtection="1">
      <alignment horizontal="left" vertical="center" wrapText="1" shrinkToFit="1"/>
      <protection locked="0"/>
    </xf>
    <xf numFmtId="0" fontId="52" fillId="15" borderId="2" xfId="0" applyFont="1" applyFill="1" applyBorder="1" applyAlignment="1">
      <alignment horizontal="center" vertical="center"/>
    </xf>
    <xf numFmtId="0" fontId="52" fillId="15" borderId="36" xfId="0" applyFont="1" applyFill="1" applyBorder="1" applyAlignment="1">
      <alignment horizontal="center" vertical="center"/>
    </xf>
    <xf numFmtId="0" fontId="52" fillId="15" borderId="3" xfId="0" applyFont="1" applyFill="1" applyBorder="1" applyAlignment="1">
      <alignment horizontal="center" vertical="center"/>
    </xf>
    <xf numFmtId="0" fontId="128" fillId="4" borderId="174" xfId="0" applyFont="1" applyFill="1" applyBorder="1" applyAlignment="1">
      <alignment horizontal="left" vertical="top" wrapText="1"/>
    </xf>
    <xf numFmtId="0" fontId="128" fillId="4" borderId="199" xfId="0" applyFont="1" applyFill="1" applyBorder="1" applyAlignment="1">
      <alignment horizontal="left" vertical="top"/>
    </xf>
    <xf numFmtId="0" fontId="128" fillId="4" borderId="200" xfId="0" applyFont="1" applyFill="1" applyBorder="1" applyAlignment="1">
      <alignment horizontal="left" vertical="top"/>
    </xf>
    <xf numFmtId="0" fontId="128" fillId="4" borderId="171" xfId="0" applyFont="1" applyFill="1" applyBorder="1" applyAlignment="1">
      <alignment horizontal="left" vertical="top"/>
    </xf>
    <xf numFmtId="0" fontId="128" fillId="4" borderId="172" xfId="0" applyFont="1" applyFill="1" applyBorder="1" applyAlignment="1">
      <alignment horizontal="left" vertical="top"/>
    </xf>
    <xf numFmtId="0" fontId="128" fillId="4" borderId="173" xfId="0" applyFont="1" applyFill="1" applyBorder="1" applyAlignment="1">
      <alignment horizontal="left" vertical="top"/>
    </xf>
    <xf numFmtId="0" fontId="128" fillId="16" borderId="171" xfId="0" applyFont="1" applyFill="1" applyBorder="1" applyAlignment="1">
      <alignment horizontal="left" vertical="top" wrapText="1"/>
    </xf>
    <xf numFmtId="0" fontId="128" fillId="16" borderId="172" xfId="0" applyFont="1" applyFill="1" applyBorder="1" applyAlignment="1">
      <alignment horizontal="left" vertical="top" wrapText="1"/>
    </xf>
    <xf numFmtId="0" fontId="128" fillId="16" borderId="173" xfId="0" applyFont="1" applyFill="1" applyBorder="1" applyAlignment="1">
      <alignment horizontal="left" vertical="top" wrapText="1"/>
    </xf>
    <xf numFmtId="0" fontId="128" fillId="13" borderId="15" xfId="0" applyFont="1" applyFill="1" applyBorder="1" applyAlignment="1">
      <alignment horizontal="left" vertical="center"/>
    </xf>
    <xf numFmtId="0" fontId="128" fillId="13" borderId="0" xfId="0" applyFont="1" applyFill="1" applyAlignment="1">
      <alignment horizontal="left" vertical="center"/>
    </xf>
    <xf numFmtId="0" fontId="128" fillId="13" borderId="88" xfId="0" applyFont="1" applyFill="1" applyBorder="1" applyAlignment="1">
      <alignment horizontal="left" vertical="center"/>
    </xf>
    <xf numFmtId="0" fontId="128" fillId="13" borderId="174" xfId="0" applyFont="1" applyFill="1" applyBorder="1" applyAlignment="1">
      <alignment horizontal="left" vertical="center"/>
    </xf>
    <xf numFmtId="0" fontId="128" fillId="13" borderId="199" xfId="0" applyFont="1" applyFill="1" applyBorder="1" applyAlignment="1">
      <alignment horizontal="left" vertical="center"/>
    </xf>
    <xf numFmtId="0" fontId="128" fillId="13" borderId="200" xfId="0" applyFont="1" applyFill="1" applyBorder="1" applyAlignment="1">
      <alignment horizontal="left" vertical="center"/>
    </xf>
    <xf numFmtId="0" fontId="54" fillId="18" borderId="2" xfId="0" applyFont="1" applyFill="1" applyBorder="1" applyAlignment="1">
      <alignment horizontal="center" vertical="center"/>
    </xf>
    <xf numFmtId="0" fontId="54" fillId="18" borderId="36" xfId="0" applyFont="1" applyFill="1" applyBorder="1" applyAlignment="1">
      <alignment horizontal="center" vertical="center"/>
    </xf>
    <xf numFmtId="0" fontId="54" fillId="18" borderId="3" xfId="0" applyFont="1" applyFill="1" applyBorder="1" applyAlignment="1">
      <alignment horizontal="center" vertical="center"/>
    </xf>
    <xf numFmtId="0" fontId="56" fillId="18" borderId="37" xfId="14" applyFont="1" applyFill="1" applyBorder="1" applyAlignment="1">
      <alignment horizontal="center" vertical="center"/>
    </xf>
    <xf numFmtId="0" fontId="56" fillId="18" borderId="35" xfId="14" applyFont="1" applyFill="1" applyBorder="1" applyAlignment="1">
      <alignment horizontal="center" vertical="center"/>
    </xf>
    <xf numFmtId="0" fontId="56" fillId="18" borderId="33" xfId="14" applyFont="1" applyFill="1" applyBorder="1" applyAlignment="1">
      <alignment horizontal="center" vertical="center"/>
    </xf>
    <xf numFmtId="0" fontId="55" fillId="18" borderId="56" xfId="0" applyFont="1" applyFill="1" applyBorder="1">
      <alignment vertical="center"/>
    </xf>
    <xf numFmtId="0" fontId="55" fillId="18" borderId="38" xfId="0" applyFont="1" applyFill="1" applyBorder="1">
      <alignment vertical="center"/>
    </xf>
    <xf numFmtId="0" fontId="55" fillId="18" borderId="15" xfId="0" applyFont="1" applyFill="1" applyBorder="1">
      <alignment vertical="center"/>
    </xf>
    <xf numFmtId="0" fontId="55" fillId="18" borderId="88" xfId="0" applyFont="1" applyFill="1" applyBorder="1">
      <alignment vertical="center"/>
    </xf>
    <xf numFmtId="0" fontId="55" fillId="18" borderId="42" xfId="0" applyFont="1" applyFill="1" applyBorder="1">
      <alignment vertical="center"/>
    </xf>
    <xf numFmtId="0" fontId="55" fillId="18" borderId="30" xfId="0" applyFont="1" applyFill="1" applyBorder="1">
      <alignment vertical="center"/>
    </xf>
    <xf numFmtId="0" fontId="55" fillId="18" borderId="41" xfId="0" applyFont="1" applyFill="1" applyBorder="1" applyAlignment="1">
      <alignment horizontal="center" vertical="center" wrapText="1"/>
    </xf>
    <xf numFmtId="0" fontId="55" fillId="18" borderId="177" xfId="0" applyFont="1" applyFill="1" applyBorder="1" applyAlignment="1">
      <alignment horizontal="center" vertical="center" wrapText="1"/>
    </xf>
    <xf numFmtId="0" fontId="55" fillId="18" borderId="40" xfId="0" applyFont="1" applyFill="1" applyBorder="1" applyAlignment="1">
      <alignment horizontal="center" vertical="center" wrapText="1"/>
    </xf>
    <xf numFmtId="177" fontId="54" fillId="0" borderId="29" xfId="0" applyNumberFormat="1" applyFont="1" applyBorder="1" applyAlignment="1">
      <alignment horizontal="center" vertical="center"/>
    </xf>
    <xf numFmtId="0" fontId="55" fillId="18" borderId="2" xfId="0" applyFont="1" applyFill="1" applyBorder="1" applyAlignment="1">
      <alignment horizontal="center" vertical="center"/>
    </xf>
    <xf numFmtId="0" fontId="55" fillId="18" borderId="36" xfId="0" applyFont="1" applyFill="1" applyBorder="1" applyAlignment="1">
      <alignment horizontal="center" vertical="center"/>
    </xf>
    <xf numFmtId="0" fontId="55" fillId="18" borderId="3" xfId="0" applyFont="1" applyFill="1" applyBorder="1" applyAlignment="1">
      <alignment horizontal="center" vertical="center"/>
    </xf>
    <xf numFmtId="0" fontId="55" fillId="0" borderId="2" xfId="0" applyFont="1" applyBorder="1" applyAlignment="1">
      <alignment horizontal="center" vertical="center"/>
    </xf>
    <xf numFmtId="0" fontId="55" fillId="0" borderId="36" xfId="0" applyFont="1" applyBorder="1" applyAlignment="1">
      <alignment horizontal="center" vertical="center"/>
    </xf>
    <xf numFmtId="0" fontId="55" fillId="0" borderId="3" xfId="0" applyFont="1" applyBorder="1" applyAlignment="1">
      <alignment horizontal="center" vertical="center"/>
    </xf>
    <xf numFmtId="0" fontId="54" fillId="0" borderId="1" xfId="0" applyFont="1" applyBorder="1" applyAlignment="1">
      <alignment horizontal="center" vertical="center"/>
    </xf>
    <xf numFmtId="0" fontId="55" fillId="18" borderId="2" xfId="0" applyFont="1" applyFill="1" applyBorder="1" applyAlignment="1">
      <alignment horizontal="center" vertical="center" shrinkToFit="1"/>
    </xf>
    <xf numFmtId="0" fontId="55" fillId="18" borderId="36" xfId="0" applyFont="1" applyFill="1" applyBorder="1" applyAlignment="1">
      <alignment horizontal="center" vertical="center" shrinkToFit="1"/>
    </xf>
    <xf numFmtId="0" fontId="55" fillId="18" borderId="3" xfId="0" applyFont="1" applyFill="1" applyBorder="1" applyAlignment="1">
      <alignment horizontal="center" vertical="center" shrinkToFit="1"/>
    </xf>
    <xf numFmtId="0" fontId="55" fillId="0" borderId="2" xfId="0" applyFont="1" applyBorder="1" applyAlignment="1">
      <alignment vertical="center" wrapText="1"/>
    </xf>
    <xf numFmtId="0" fontId="55" fillId="0" borderId="36" xfId="0" applyFont="1" applyBorder="1" applyAlignment="1">
      <alignment vertical="center" wrapText="1"/>
    </xf>
    <xf numFmtId="0" fontId="55" fillId="0" borderId="3" xfId="0" applyFont="1" applyBorder="1" applyAlignment="1">
      <alignment vertical="center" wrapText="1"/>
    </xf>
    <xf numFmtId="0" fontId="56" fillId="18" borderId="56" xfId="14" applyFont="1" applyFill="1" applyBorder="1" applyAlignment="1">
      <alignment vertical="center" wrapText="1"/>
    </xf>
    <xf numFmtId="0" fontId="56" fillId="18" borderId="38" xfId="14" applyFont="1" applyFill="1" applyBorder="1" applyAlignment="1">
      <alignment vertical="center" wrapText="1"/>
    </xf>
    <xf numFmtId="0" fontId="56" fillId="18" borderId="15" xfId="14" applyFont="1" applyFill="1" applyBorder="1" applyAlignment="1">
      <alignment vertical="center" wrapText="1"/>
    </xf>
    <xf numFmtId="0" fontId="56" fillId="18" borderId="88" xfId="14" applyFont="1" applyFill="1" applyBorder="1" applyAlignment="1">
      <alignment vertical="center" wrapText="1"/>
    </xf>
    <xf numFmtId="0" fontId="56" fillId="18" borderId="42" xfId="14" applyFont="1" applyFill="1" applyBorder="1" applyAlignment="1">
      <alignment vertical="center" wrapText="1"/>
    </xf>
    <xf numFmtId="0" fontId="56" fillId="18" borderId="30" xfId="14" applyFont="1" applyFill="1" applyBorder="1" applyAlignment="1">
      <alignment vertical="center" wrapText="1"/>
    </xf>
    <xf numFmtId="0" fontId="56" fillId="18" borderId="56" xfId="14" applyFont="1" applyFill="1" applyBorder="1">
      <alignment vertical="center"/>
    </xf>
    <xf numFmtId="0" fontId="56" fillId="18" borderId="38" xfId="14" applyFont="1" applyFill="1" applyBorder="1">
      <alignment vertical="center"/>
    </xf>
    <xf numFmtId="0" fontId="56" fillId="18" borderId="15" xfId="14" applyFont="1" applyFill="1" applyBorder="1">
      <alignment vertical="center"/>
    </xf>
    <xf numFmtId="0" fontId="56" fillId="18" borderId="88" xfId="14" applyFont="1" applyFill="1" applyBorder="1">
      <alignment vertical="center"/>
    </xf>
    <xf numFmtId="0" fontId="56" fillId="18" borderId="42" xfId="14" applyFont="1" applyFill="1" applyBorder="1">
      <alignment vertical="center"/>
    </xf>
    <xf numFmtId="0" fontId="56" fillId="18" borderId="30" xfId="14" applyFont="1" applyFill="1" applyBorder="1">
      <alignment vertical="center"/>
    </xf>
    <xf numFmtId="0" fontId="55" fillId="18" borderId="2" xfId="0" applyFont="1" applyFill="1" applyBorder="1" applyAlignment="1">
      <alignment horizontal="left" vertical="center"/>
    </xf>
    <xf numFmtId="0" fontId="55" fillId="18" borderId="3" xfId="0" applyFont="1" applyFill="1" applyBorder="1" applyAlignment="1">
      <alignment horizontal="left" vertical="center"/>
    </xf>
    <xf numFmtId="0" fontId="56" fillId="18" borderId="41" xfId="14" applyFont="1" applyFill="1" applyBorder="1" applyAlignment="1">
      <alignment horizontal="center" vertical="center"/>
    </xf>
    <xf numFmtId="0" fontId="56" fillId="18" borderId="177" xfId="14" applyFont="1" applyFill="1" applyBorder="1" applyAlignment="1">
      <alignment horizontal="center" vertical="center"/>
    </xf>
    <xf numFmtId="0" fontId="56" fillId="18" borderId="40" xfId="14" applyFont="1" applyFill="1" applyBorder="1" applyAlignment="1">
      <alignment horizontal="center" vertical="center"/>
    </xf>
    <xf numFmtId="0" fontId="56" fillId="18" borderId="2" xfId="14" applyFont="1" applyFill="1" applyBorder="1" applyAlignment="1">
      <alignment horizontal="left" vertical="center" wrapText="1"/>
    </xf>
    <xf numFmtId="0" fontId="56" fillId="18" borderId="3" xfId="14" applyFont="1" applyFill="1" applyBorder="1" applyAlignment="1">
      <alignment horizontal="left" vertical="center" wrapText="1"/>
    </xf>
    <xf numFmtId="0" fontId="56" fillId="18" borderId="2" xfId="14" applyFont="1" applyFill="1" applyBorder="1" applyAlignment="1">
      <alignment horizontal="left" vertical="center"/>
    </xf>
    <xf numFmtId="0" fontId="56" fillId="18" borderId="3" xfId="14" applyFont="1" applyFill="1" applyBorder="1" applyAlignment="1">
      <alignment horizontal="left" vertical="center"/>
    </xf>
    <xf numFmtId="197" fontId="58" fillId="18" borderId="60" xfId="2" applyNumberFormat="1" applyFont="1" applyFill="1" applyBorder="1" applyAlignment="1" applyProtection="1">
      <alignment horizontal="center" vertical="center" shrinkToFit="1"/>
    </xf>
    <xf numFmtId="0" fontId="54" fillId="0" borderId="60" xfId="0" applyFont="1" applyBorder="1" applyAlignment="1">
      <alignment horizontal="center" vertical="center" shrinkToFit="1"/>
    </xf>
    <xf numFmtId="177" fontId="54" fillId="18" borderId="29" xfId="0" applyNumberFormat="1" applyFont="1" applyFill="1" applyBorder="1" applyAlignment="1">
      <alignment horizontal="right" vertical="center" shrinkToFit="1"/>
    </xf>
    <xf numFmtId="0" fontId="55" fillId="18" borderId="1" xfId="0" applyFont="1" applyFill="1" applyBorder="1" applyAlignment="1">
      <alignment horizontal="center" vertical="center"/>
    </xf>
    <xf numFmtId="0" fontId="54" fillId="0" borderId="118" xfId="0" applyFont="1" applyBorder="1" applyAlignment="1">
      <alignment horizontal="distributed" vertical="center"/>
    </xf>
    <xf numFmtId="0" fontId="55" fillId="18" borderId="1" xfId="0" applyFont="1" applyFill="1" applyBorder="1" applyAlignment="1">
      <alignment horizontal="distributed" vertical="center"/>
    </xf>
    <xf numFmtId="0" fontId="55" fillId="18" borderId="60" xfId="0" applyFont="1" applyFill="1" applyBorder="1" applyAlignment="1">
      <alignment horizontal="center" vertical="center"/>
    </xf>
    <xf numFmtId="0" fontId="55" fillId="18" borderId="68" xfId="0" applyFont="1" applyFill="1" applyBorder="1" applyAlignment="1">
      <alignment horizontal="distributed" vertical="center"/>
    </xf>
    <xf numFmtId="0" fontId="55" fillId="18" borderId="67" xfId="0" applyFont="1" applyFill="1" applyBorder="1" applyAlignment="1">
      <alignment horizontal="center" vertical="center"/>
    </xf>
    <xf numFmtId="0" fontId="55" fillId="18" borderId="180" xfId="0" applyFont="1" applyFill="1" applyBorder="1" applyAlignment="1">
      <alignment vertical="center" textRotation="255"/>
    </xf>
    <xf numFmtId="0" fontId="55" fillId="18" borderId="60" xfId="0" applyFont="1" applyFill="1" applyBorder="1" applyAlignment="1">
      <alignment horizontal="center" vertical="center" wrapText="1"/>
    </xf>
    <xf numFmtId="0" fontId="58" fillId="18" borderId="180" xfId="0" applyFont="1" applyFill="1" applyBorder="1" applyAlignment="1">
      <alignment horizontal="center" vertical="center" textRotation="255"/>
    </xf>
    <xf numFmtId="0" fontId="56" fillId="18" borderId="1" xfId="14" applyFont="1" applyFill="1" applyBorder="1" applyAlignment="1">
      <alignment horizontal="distributed" vertical="center" wrapText="1"/>
    </xf>
    <xf numFmtId="0" fontId="55" fillId="18" borderId="1" xfId="0" applyFont="1" applyFill="1" applyBorder="1" applyAlignment="1">
      <alignment horizontal="distributed" vertical="center" wrapText="1"/>
    </xf>
    <xf numFmtId="0" fontId="56" fillId="18" borderId="1" xfId="14" applyFont="1" applyFill="1" applyBorder="1" applyAlignment="1">
      <alignment horizontal="distributed" vertical="center"/>
    </xf>
    <xf numFmtId="14" fontId="64" fillId="18" borderId="182" xfId="14" applyNumberFormat="1" applyFont="1" applyFill="1" applyBorder="1" applyAlignment="1">
      <alignment horizontal="center" vertical="center" textRotation="255" wrapText="1"/>
    </xf>
    <xf numFmtId="14" fontId="64" fillId="18" borderId="183" xfId="14" applyNumberFormat="1" applyFont="1" applyFill="1" applyBorder="1" applyAlignment="1">
      <alignment horizontal="center" vertical="center" textRotation="255" wrapText="1"/>
    </xf>
    <xf numFmtId="14" fontId="64" fillId="18" borderId="184" xfId="14" applyNumberFormat="1" applyFont="1" applyFill="1" applyBorder="1" applyAlignment="1">
      <alignment horizontal="center" vertical="center" textRotation="255" wrapText="1"/>
    </xf>
    <xf numFmtId="0" fontId="56" fillId="18" borderId="1" xfId="14" applyFont="1" applyFill="1" applyBorder="1" applyAlignment="1">
      <alignment horizontal="distributed" vertical="center" indent="1"/>
    </xf>
    <xf numFmtId="0" fontId="56" fillId="18" borderId="1" xfId="14" applyFont="1" applyFill="1" applyBorder="1" applyAlignment="1">
      <alignment horizontal="distributed" vertical="center" wrapText="1" indent="1"/>
    </xf>
    <xf numFmtId="0" fontId="55" fillId="0" borderId="1" xfId="0" applyFont="1" applyBorder="1" applyAlignment="1" applyProtection="1">
      <alignment horizontal="left" vertical="center" shrinkToFit="1"/>
      <protection locked="0"/>
    </xf>
    <xf numFmtId="0" fontId="54" fillId="8" borderId="0" xfId="0" applyFont="1" applyFill="1" applyAlignment="1">
      <alignment horizontal="center" vertical="center" shrinkToFit="1"/>
    </xf>
    <xf numFmtId="0" fontId="55" fillId="0" borderId="178" xfId="0" applyFont="1" applyBorder="1" applyAlignment="1">
      <alignment horizontal="center" vertical="center"/>
    </xf>
    <xf numFmtId="0" fontId="55" fillId="0" borderId="180" xfId="0" applyFont="1" applyBorder="1" applyAlignment="1">
      <alignment horizontal="center" vertical="center"/>
    </xf>
    <xf numFmtId="0" fontId="64" fillId="0" borderId="55" xfId="14" applyFont="1" applyBorder="1" applyAlignment="1">
      <alignment horizontal="center" vertical="center" wrapText="1"/>
    </xf>
    <xf numFmtId="0" fontId="64" fillId="0" borderId="1" xfId="14" applyFont="1" applyBorder="1" applyAlignment="1">
      <alignment horizontal="center" vertical="center" wrapText="1"/>
    </xf>
    <xf numFmtId="0" fontId="55" fillId="0" borderId="55" xfId="0" applyFont="1" applyBorder="1" applyAlignment="1">
      <alignment horizontal="center" vertical="center" wrapText="1"/>
    </xf>
    <xf numFmtId="0" fontId="55" fillId="0" borderId="1"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51" xfId="0" applyFont="1" applyBorder="1" applyAlignment="1">
      <alignment horizontal="center" vertical="center" wrapText="1"/>
    </xf>
    <xf numFmtId="0" fontId="64" fillId="18" borderId="55" xfId="14" applyFont="1" applyFill="1" applyBorder="1" applyAlignment="1">
      <alignment horizontal="center" vertical="center" wrapText="1"/>
    </xf>
    <xf numFmtId="0" fontId="64" fillId="18" borderId="1" xfId="14" applyFont="1" applyFill="1" applyBorder="1" applyAlignment="1">
      <alignment horizontal="center" vertical="center" wrapText="1"/>
    </xf>
    <xf numFmtId="0" fontId="64" fillId="18" borderId="179" xfId="14" applyFont="1" applyFill="1" applyBorder="1" applyAlignment="1">
      <alignment horizontal="center" vertical="center" wrapText="1"/>
    </xf>
    <xf numFmtId="0" fontId="64" fillId="18" borderId="181" xfId="14"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36" xfId="0" applyFont="1" applyBorder="1" applyAlignment="1">
      <alignment horizontal="center" vertical="center" wrapText="1"/>
    </xf>
    <xf numFmtId="0" fontId="55" fillId="0" borderId="3" xfId="0" applyFont="1" applyBorder="1" applyAlignment="1">
      <alignment horizontal="center" vertical="center" wrapText="1"/>
    </xf>
    <xf numFmtId="0" fontId="55" fillId="21" borderId="2" xfId="0" applyFont="1" applyFill="1" applyBorder="1" applyAlignment="1">
      <alignment horizontal="center" vertical="center" wrapText="1"/>
    </xf>
    <xf numFmtId="0" fontId="55" fillId="21" borderId="36" xfId="0" applyFont="1" applyFill="1" applyBorder="1" applyAlignment="1">
      <alignment horizontal="center" vertical="center" wrapText="1"/>
    </xf>
    <xf numFmtId="0" fontId="55" fillId="21" borderId="3" xfId="0" applyFont="1" applyFill="1" applyBorder="1" applyAlignment="1">
      <alignment horizontal="center" vertical="center" wrapText="1"/>
    </xf>
    <xf numFmtId="0" fontId="78" fillId="0" borderId="54" xfId="0" applyFont="1" applyBorder="1" applyAlignment="1">
      <alignment horizontal="center" vertical="center"/>
    </xf>
    <xf numFmtId="0" fontId="78" fillId="0" borderId="51" xfId="0" applyFont="1" applyBorder="1" applyAlignment="1">
      <alignment horizontal="center" vertical="center"/>
    </xf>
    <xf numFmtId="0" fontId="78" fillId="0" borderId="53" xfId="0" applyFont="1" applyBorder="1" applyAlignment="1">
      <alignment horizontal="center" vertical="center"/>
    </xf>
    <xf numFmtId="179" fontId="82" fillId="18" borderId="72" xfId="0" applyNumberFormat="1" applyFont="1" applyFill="1" applyBorder="1" applyAlignment="1">
      <alignment horizontal="center" vertical="center" shrinkToFit="1"/>
    </xf>
    <xf numFmtId="179" fontId="80" fillId="18" borderId="72" xfId="14" applyNumberFormat="1" applyFont="1" applyFill="1" applyBorder="1" applyAlignment="1">
      <alignment horizontal="center" vertical="center" shrinkToFit="1"/>
    </xf>
    <xf numFmtId="0" fontId="0" fillId="0" borderId="41" xfId="0" applyBorder="1" applyAlignment="1">
      <alignment horizontal="center" vertical="center"/>
    </xf>
    <xf numFmtId="0" fontId="0" fillId="0" borderId="40" xfId="0" applyBorder="1" applyAlignment="1">
      <alignment horizontal="center" vertical="center"/>
    </xf>
    <xf numFmtId="0" fontId="77" fillId="18" borderId="56" xfId="14" applyFont="1" applyFill="1" applyBorder="1" applyAlignment="1" applyProtection="1">
      <alignment horizontal="left" vertical="center" wrapText="1"/>
      <protection locked="0"/>
    </xf>
    <xf numFmtId="0" fontId="77" fillId="18" borderId="4" xfId="14" applyFont="1" applyFill="1" applyBorder="1" applyAlignment="1" applyProtection="1">
      <alignment horizontal="left" vertical="center" wrapText="1"/>
      <protection locked="0"/>
    </xf>
    <xf numFmtId="0" fontId="77" fillId="18" borderId="38" xfId="14" applyFont="1" applyFill="1" applyBorder="1" applyAlignment="1" applyProtection="1">
      <alignment horizontal="left" vertical="center" wrapText="1"/>
      <protection locked="0"/>
    </xf>
    <xf numFmtId="0" fontId="77" fillId="18" borderId="15" xfId="14" applyFont="1" applyFill="1" applyBorder="1" applyAlignment="1" applyProtection="1">
      <alignment horizontal="left" vertical="center" wrapText="1"/>
      <protection locked="0"/>
    </xf>
    <xf numFmtId="0" fontId="77" fillId="18" borderId="0" xfId="14" applyFont="1" applyFill="1" applyAlignment="1" applyProtection="1">
      <alignment horizontal="left" vertical="center" wrapText="1"/>
      <protection locked="0"/>
    </xf>
    <xf numFmtId="0" fontId="77" fillId="18" borderId="88" xfId="14" applyFont="1" applyFill="1" applyBorder="1" applyAlignment="1" applyProtection="1">
      <alignment horizontal="left" vertical="center" wrapText="1"/>
      <protection locked="0"/>
    </xf>
    <xf numFmtId="0" fontId="77" fillId="18" borderId="42" xfId="14" applyFont="1" applyFill="1" applyBorder="1" applyAlignment="1" applyProtection="1">
      <alignment horizontal="left" vertical="center" wrapText="1"/>
      <protection locked="0"/>
    </xf>
    <xf numFmtId="0" fontId="77" fillId="18" borderId="29" xfId="14" applyFont="1" applyFill="1" applyBorder="1" applyAlignment="1" applyProtection="1">
      <alignment horizontal="left" vertical="center" wrapText="1"/>
      <protection locked="0"/>
    </xf>
    <xf numFmtId="0" fontId="77" fillId="18" borderId="30" xfId="14" applyFont="1" applyFill="1" applyBorder="1" applyAlignment="1" applyProtection="1">
      <alignment horizontal="left" vertical="center" wrapText="1"/>
      <protection locked="0"/>
    </xf>
    <xf numFmtId="0" fontId="82" fillId="18" borderId="1" xfId="0" applyFont="1" applyFill="1" applyBorder="1" applyAlignment="1">
      <alignment horizontal="distributed" vertical="center" indent="1"/>
    </xf>
    <xf numFmtId="0" fontId="80" fillId="18" borderId="60" xfId="14" applyFont="1" applyFill="1" applyBorder="1" applyAlignment="1">
      <alignment horizontal="center" vertical="center" shrinkToFit="1"/>
    </xf>
    <xf numFmtId="0" fontId="81" fillId="0" borderId="60" xfId="0" applyFont="1" applyBorder="1" applyAlignment="1">
      <alignment horizontal="center" vertical="center" shrinkToFit="1"/>
    </xf>
    <xf numFmtId="179" fontId="80" fillId="18" borderId="60" xfId="14" applyNumberFormat="1" applyFont="1" applyFill="1" applyBorder="1" applyAlignment="1">
      <alignment horizontal="center" vertical="center" shrinkToFit="1"/>
    </xf>
    <xf numFmtId="179" fontId="81" fillId="0" borderId="60" xfId="0" applyNumberFormat="1" applyFont="1" applyBorder="1" applyAlignment="1">
      <alignment horizontal="center" vertical="center" shrinkToFit="1"/>
    </xf>
    <xf numFmtId="0" fontId="82" fillId="18" borderId="37" xfId="0" applyFont="1" applyFill="1" applyBorder="1" applyAlignment="1">
      <alignment horizontal="left" vertical="center" indent="1"/>
    </xf>
    <xf numFmtId="179" fontId="80" fillId="18" borderId="84" xfId="14" applyNumberFormat="1" applyFont="1" applyFill="1" applyBorder="1" applyAlignment="1">
      <alignment horizontal="center" vertical="center" shrinkToFit="1"/>
    </xf>
    <xf numFmtId="0" fontId="82" fillId="18" borderId="33" xfId="0" applyFont="1" applyFill="1" applyBorder="1" applyAlignment="1">
      <alignment horizontal="distributed" vertical="center" indent="1"/>
    </xf>
    <xf numFmtId="0" fontId="80" fillId="18" borderId="61" xfId="14" applyFont="1" applyFill="1" applyBorder="1" applyAlignment="1">
      <alignment horizontal="center" vertical="center" shrinkToFit="1"/>
    </xf>
    <xf numFmtId="0" fontId="81" fillId="0" borderId="61" xfId="0" applyFont="1" applyBorder="1" applyAlignment="1">
      <alignment horizontal="center" vertical="center" shrinkToFit="1"/>
    </xf>
    <xf numFmtId="0" fontId="77" fillId="18" borderId="1" xfId="14" applyFont="1" applyFill="1" applyBorder="1" applyAlignment="1">
      <alignment vertical="center" wrapText="1"/>
    </xf>
    <xf numFmtId="0" fontId="80" fillId="18" borderId="1" xfId="14" applyFont="1" applyFill="1" applyBorder="1" applyAlignment="1">
      <alignment horizontal="center" vertical="center" shrinkToFit="1"/>
    </xf>
    <xf numFmtId="0" fontId="80" fillId="18" borderId="68" xfId="14" applyFont="1" applyFill="1" applyBorder="1" applyAlignment="1">
      <alignment horizontal="center" vertical="center" shrinkToFit="1"/>
    </xf>
    <xf numFmtId="0" fontId="85" fillId="18" borderId="1" xfId="0" applyFont="1" applyFill="1" applyBorder="1">
      <alignment vertical="center"/>
    </xf>
    <xf numFmtId="0" fontId="80" fillId="18" borderId="67" xfId="14" applyFont="1" applyFill="1" applyBorder="1" applyAlignment="1">
      <alignment horizontal="center" vertical="center" shrinkToFit="1"/>
    </xf>
    <xf numFmtId="0" fontId="77" fillId="18" borderId="1" xfId="14" applyFont="1" applyFill="1" applyBorder="1">
      <alignment vertical="center"/>
    </xf>
    <xf numFmtId="208" fontId="80" fillId="18" borderId="60" xfId="14" applyNumberFormat="1" applyFont="1" applyFill="1" applyBorder="1" applyAlignment="1">
      <alignment horizontal="center" vertical="center" shrinkToFit="1"/>
    </xf>
    <xf numFmtId="0" fontId="77" fillId="18" borderId="56" xfId="14" applyFont="1" applyFill="1" applyBorder="1" applyAlignment="1">
      <alignment horizontal="left" vertical="center" wrapText="1"/>
    </xf>
    <xf numFmtId="0" fontId="77" fillId="18" borderId="4" xfId="14" applyFont="1" applyFill="1" applyBorder="1" applyAlignment="1">
      <alignment horizontal="left" vertical="center" wrapText="1"/>
    </xf>
    <xf numFmtId="0" fontId="77" fillId="18" borderId="38" xfId="14" applyFont="1" applyFill="1" applyBorder="1" applyAlignment="1">
      <alignment horizontal="left" vertical="center" wrapText="1"/>
    </xf>
    <xf numFmtId="0" fontId="77" fillId="18" borderId="42" xfId="14" applyFont="1" applyFill="1" applyBorder="1" applyAlignment="1">
      <alignment horizontal="left" vertical="center" wrapText="1"/>
    </xf>
    <xf numFmtId="0" fontId="77" fillId="18" borderId="29" xfId="14" applyFont="1" applyFill="1" applyBorder="1" applyAlignment="1">
      <alignment horizontal="left" vertical="center" wrapText="1"/>
    </xf>
    <xf numFmtId="0" fontId="77" fillId="18" borderId="30" xfId="14" applyFont="1" applyFill="1" applyBorder="1" applyAlignment="1">
      <alignment horizontal="left" vertical="center" wrapText="1"/>
    </xf>
    <xf numFmtId="0" fontId="76" fillId="8" borderId="29" xfId="0" applyFont="1" applyFill="1" applyBorder="1" applyAlignment="1" applyProtection="1">
      <alignment horizontal="center" vertical="center"/>
      <protection locked="0"/>
    </xf>
    <xf numFmtId="0" fontId="77" fillId="18" borderId="189" xfId="14" applyFont="1" applyFill="1" applyBorder="1" applyAlignment="1">
      <alignment horizontal="center" vertical="center" wrapText="1"/>
    </xf>
    <xf numFmtId="0" fontId="77" fillId="18" borderId="2" xfId="14" applyFont="1" applyFill="1" applyBorder="1" applyAlignment="1">
      <alignment horizontal="center" vertical="center"/>
    </xf>
    <xf numFmtId="0" fontId="77" fillId="18" borderId="36" xfId="14" applyFont="1" applyFill="1" applyBorder="1" applyAlignment="1">
      <alignment horizontal="center" vertical="center"/>
    </xf>
    <xf numFmtId="0" fontId="77" fillId="18" borderId="3" xfId="14" applyFont="1" applyFill="1" applyBorder="1" applyAlignment="1">
      <alignment horizontal="center" vertical="center"/>
    </xf>
    <xf numFmtId="0" fontId="77" fillId="0" borderId="1" xfId="14" applyFont="1" applyBorder="1" applyAlignment="1">
      <alignment horizontal="center" vertical="center" wrapText="1"/>
    </xf>
    <xf numFmtId="0" fontId="77" fillId="18" borderId="1" xfId="14" applyFont="1" applyFill="1" applyBorder="1" applyAlignment="1">
      <alignment horizontal="center" vertical="center" wrapText="1"/>
    </xf>
    <xf numFmtId="0" fontId="77" fillId="18" borderId="2" xfId="14" applyFont="1" applyFill="1" applyBorder="1" applyAlignment="1">
      <alignment horizontal="center" vertical="center" wrapText="1"/>
    </xf>
    <xf numFmtId="0" fontId="77" fillId="18" borderId="36" xfId="14" applyFont="1" applyFill="1" applyBorder="1" applyAlignment="1">
      <alignment horizontal="center" vertical="center" wrapText="1"/>
    </xf>
    <xf numFmtId="0" fontId="77" fillId="18" borderId="3" xfId="14" applyFont="1" applyFill="1" applyBorder="1" applyAlignment="1">
      <alignment horizontal="center" vertical="center" wrapText="1"/>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80" fillId="18" borderId="1" xfId="14" applyFont="1" applyFill="1" applyBorder="1" applyAlignment="1">
      <alignment horizontal="distributed" vertical="center" indent="1"/>
    </xf>
    <xf numFmtId="0" fontId="82" fillId="18" borderId="1" xfId="0" applyFont="1" applyFill="1" applyBorder="1" applyAlignment="1">
      <alignment vertical="center" shrinkToFit="1"/>
    </xf>
    <xf numFmtId="0" fontId="54" fillId="18" borderId="1" xfId="0" applyFont="1" applyFill="1" applyBorder="1" applyAlignment="1">
      <alignment horizontal="center" vertical="center"/>
    </xf>
    <xf numFmtId="0" fontId="56" fillId="18" borderId="1" xfId="14" applyFont="1" applyFill="1" applyBorder="1" applyAlignment="1">
      <alignment horizontal="center" vertical="center"/>
    </xf>
    <xf numFmtId="177" fontId="54" fillId="0" borderId="0" xfId="0" applyNumberFormat="1" applyFont="1" applyAlignment="1">
      <alignment horizontal="center" vertical="center"/>
    </xf>
    <xf numFmtId="0" fontId="55" fillId="18" borderId="1" xfId="0" applyFont="1" applyFill="1" applyBorder="1" applyAlignment="1">
      <alignment horizontal="left" vertical="center"/>
    </xf>
    <xf numFmtId="0" fontId="56" fillId="18" borderId="1" xfId="14" applyFont="1" applyFill="1" applyBorder="1" applyAlignment="1">
      <alignment horizontal="left" vertical="center" wrapText="1"/>
    </xf>
    <xf numFmtId="0" fontId="56" fillId="18" borderId="1" xfId="14" applyFont="1" applyFill="1" applyBorder="1" applyAlignment="1">
      <alignment horizontal="left" vertical="center"/>
    </xf>
    <xf numFmtId="210" fontId="102" fillId="21" borderId="194" xfId="2" applyNumberFormat="1" applyFont="1" applyFill="1" applyBorder="1" applyAlignment="1" applyProtection="1">
      <alignment horizontal="center" vertical="center" shrinkToFit="1"/>
    </xf>
    <xf numFmtId="210" fontId="102" fillId="21" borderId="196" xfId="2" applyNumberFormat="1" applyFont="1" applyFill="1" applyBorder="1" applyAlignment="1" applyProtection="1">
      <alignment horizontal="center" vertical="center" shrinkToFit="1"/>
    </xf>
    <xf numFmtId="0" fontId="99" fillId="8" borderId="2" xfId="0" applyFont="1" applyFill="1" applyBorder="1" applyAlignment="1">
      <alignment horizontal="left" vertical="center" indent="1"/>
    </xf>
    <xf numFmtId="0" fontId="99" fillId="8" borderId="36" xfId="0" applyFont="1" applyFill="1" applyBorder="1" applyAlignment="1">
      <alignment horizontal="left" vertical="center" indent="1"/>
    </xf>
    <xf numFmtId="0" fontId="99" fillId="8" borderId="3" xfId="0" applyFont="1" applyFill="1" applyBorder="1" applyAlignment="1">
      <alignment horizontal="left" vertical="center" indent="1"/>
    </xf>
    <xf numFmtId="210" fontId="102" fillId="8" borderId="106" xfId="2" applyNumberFormat="1" applyFont="1" applyFill="1" applyBorder="1" applyAlignment="1" applyProtection="1">
      <alignment horizontal="center" vertical="center" shrinkToFit="1"/>
    </xf>
    <xf numFmtId="210" fontId="102" fillId="8" borderId="28" xfId="2" applyNumberFormat="1" applyFont="1" applyFill="1" applyBorder="1" applyAlignment="1" applyProtection="1">
      <alignment horizontal="center" vertical="center" shrinkToFit="1"/>
    </xf>
    <xf numFmtId="0" fontId="99" fillId="24" borderId="1" xfId="0" applyFont="1" applyFill="1" applyBorder="1" applyAlignment="1">
      <alignment horizontal="left" vertical="center" indent="1"/>
    </xf>
    <xf numFmtId="211" fontId="98" fillId="24" borderId="194" xfId="2" applyNumberFormat="1" applyFont="1" applyFill="1" applyBorder="1" applyAlignment="1" applyProtection="1">
      <alignment horizontal="center" vertical="center" shrinkToFit="1"/>
    </xf>
    <xf numFmtId="211" fontId="98" fillId="24" borderId="196" xfId="2" applyNumberFormat="1" applyFont="1" applyFill="1" applyBorder="1" applyAlignment="1" applyProtection="1">
      <alignment horizontal="center" vertical="center" shrinkToFit="1"/>
    </xf>
    <xf numFmtId="0" fontId="99" fillId="21" borderId="2" xfId="0" applyFont="1" applyFill="1" applyBorder="1" applyAlignment="1">
      <alignment horizontal="left" vertical="center" indent="1"/>
    </xf>
    <xf numFmtId="0" fontId="99" fillId="21" borderId="36" xfId="0" applyFont="1" applyFill="1" applyBorder="1" applyAlignment="1">
      <alignment horizontal="left" vertical="center" indent="1"/>
    </xf>
    <xf numFmtId="0" fontId="99" fillId="21" borderId="3" xfId="0" applyFont="1" applyFill="1" applyBorder="1" applyAlignment="1">
      <alignment horizontal="left" vertical="center" indent="1"/>
    </xf>
    <xf numFmtId="194" fontId="104" fillId="0" borderId="92" xfId="0" applyNumberFormat="1" applyFont="1" applyBorder="1" applyAlignment="1" applyProtection="1">
      <alignment horizontal="center" vertical="center"/>
      <protection locked="0"/>
    </xf>
    <xf numFmtId="194" fontId="104" fillId="0" borderId="20" xfId="0" applyNumberFormat="1" applyFont="1" applyBorder="1" applyAlignment="1" applyProtection="1">
      <alignment horizontal="center" vertical="center"/>
      <protection locked="0"/>
    </xf>
    <xf numFmtId="0" fontId="57" fillId="26" borderId="1" xfId="0" applyFont="1" applyFill="1" applyBorder="1" applyAlignment="1">
      <alignment horizontal="distributed" vertical="center" wrapText="1" indent="1"/>
    </xf>
    <xf numFmtId="0" fontId="58" fillId="26" borderId="1" xfId="0" applyFont="1" applyFill="1" applyBorder="1" applyAlignment="1">
      <alignment horizontal="distributed" vertical="center" wrapText="1" indent="1"/>
    </xf>
    <xf numFmtId="0" fontId="55" fillId="18" borderId="1" xfId="0" applyFont="1" applyFill="1" applyBorder="1" applyAlignment="1">
      <alignment horizontal="center" vertical="center" textRotation="255" wrapText="1"/>
    </xf>
    <xf numFmtId="0" fontId="70" fillId="18" borderId="2" xfId="0" applyFont="1" applyFill="1" applyBorder="1" applyAlignment="1">
      <alignment horizontal="center" vertical="center" wrapText="1"/>
    </xf>
    <xf numFmtId="0" fontId="70" fillId="18" borderId="3" xfId="0" applyFont="1" applyFill="1" applyBorder="1" applyAlignment="1">
      <alignment horizontal="center" vertical="center" wrapText="1"/>
    </xf>
    <xf numFmtId="0" fontId="70" fillId="0" borderId="2" xfId="0" applyFont="1" applyBorder="1" applyAlignment="1" applyProtection="1">
      <alignment horizontal="center" vertical="center" wrapText="1"/>
      <protection locked="0"/>
    </xf>
    <xf numFmtId="0" fontId="70" fillId="0" borderId="3" xfId="0" applyFont="1" applyBorder="1" applyAlignment="1" applyProtection="1">
      <alignment horizontal="center" vertical="center" wrapText="1"/>
      <protection locked="0"/>
    </xf>
    <xf numFmtId="195" fontId="102" fillId="21" borderId="92" xfId="2" applyNumberFormat="1" applyFont="1" applyFill="1" applyBorder="1" applyAlignment="1" applyProtection="1">
      <alignment horizontal="center" vertical="center" shrinkToFit="1"/>
    </xf>
    <xf numFmtId="195" fontId="102" fillId="21" borderId="5" xfId="2" applyNumberFormat="1" applyFont="1" applyFill="1" applyBorder="1" applyAlignment="1" applyProtection="1">
      <alignment horizontal="center" vertical="center" shrinkToFit="1"/>
    </xf>
    <xf numFmtId="0" fontId="100" fillId="8" borderId="33" xfId="0" applyFont="1" applyFill="1" applyBorder="1" applyAlignment="1">
      <alignment horizontal="left" vertical="center" indent="1"/>
    </xf>
    <xf numFmtId="190" fontId="104" fillId="0" borderId="92" xfId="0" applyNumberFormat="1" applyFont="1" applyBorder="1" applyAlignment="1" applyProtection="1">
      <alignment horizontal="center" vertical="center"/>
      <protection locked="0"/>
    </xf>
    <xf numFmtId="190" fontId="104" fillId="0" borderId="20" xfId="0" applyNumberFormat="1" applyFont="1" applyBorder="1" applyAlignment="1" applyProtection="1">
      <alignment horizontal="center" vertical="center"/>
      <protection locked="0"/>
    </xf>
    <xf numFmtId="195" fontId="102" fillId="8" borderId="42" xfId="2" applyNumberFormat="1" applyFont="1" applyFill="1" applyBorder="1" applyAlignment="1" applyProtection="1">
      <alignment horizontal="center" vertical="center" shrinkToFit="1"/>
    </xf>
    <xf numFmtId="195" fontId="102" fillId="8" borderId="30" xfId="2" applyNumberFormat="1" applyFont="1" applyFill="1" applyBorder="1" applyAlignment="1" applyProtection="1">
      <alignment horizontal="center" vertical="center" shrinkToFit="1"/>
    </xf>
    <xf numFmtId="0" fontId="58" fillId="18" borderId="190" xfId="0" applyFont="1" applyFill="1" applyBorder="1" applyAlignment="1">
      <alignment horizontal="center" vertical="center"/>
    </xf>
    <xf numFmtId="0" fontId="58" fillId="18" borderId="191" xfId="0" applyFont="1" applyFill="1" applyBorder="1" applyAlignment="1">
      <alignment horizontal="center" vertical="center"/>
    </xf>
    <xf numFmtId="0" fontId="0" fillId="0" borderId="192" xfId="0" applyBorder="1" applyAlignment="1">
      <alignment horizontal="center" vertical="center"/>
    </xf>
    <xf numFmtId="0" fontId="99" fillId="9" borderId="194" xfId="0" applyFont="1" applyFill="1" applyBorder="1" applyAlignment="1">
      <alignment horizontal="left" vertical="center" indent="1" shrinkToFit="1"/>
    </xf>
    <xf numFmtId="0" fontId="99" fillId="9" borderId="195" xfId="0" applyFont="1" applyFill="1" applyBorder="1" applyAlignment="1">
      <alignment horizontal="left" vertical="center" indent="1" shrinkToFit="1"/>
    </xf>
    <xf numFmtId="0" fontId="99" fillId="9" borderId="196" xfId="0" applyFont="1" applyFill="1" applyBorder="1" applyAlignment="1">
      <alignment horizontal="left" vertical="center" indent="1" shrinkToFit="1"/>
    </xf>
    <xf numFmtId="0" fontId="58" fillId="2" borderId="42" xfId="0" applyFont="1" applyFill="1" applyBorder="1" applyAlignment="1">
      <alignment horizontal="center" vertical="center" wrapText="1" shrinkToFit="1"/>
    </xf>
    <xf numFmtId="0" fontId="58" fillId="2" borderId="29" xfId="0" applyFont="1" applyFill="1" applyBorder="1" applyAlignment="1">
      <alignment horizontal="center" vertical="center" shrinkToFit="1"/>
    </xf>
    <xf numFmtId="0" fontId="58" fillId="2" borderId="30" xfId="0" applyFont="1" applyFill="1" applyBorder="1" applyAlignment="1">
      <alignment horizontal="center" vertical="center" shrinkToFit="1"/>
    </xf>
    <xf numFmtId="0" fontId="99" fillId="9" borderId="194" xfId="0" applyFont="1" applyFill="1" applyBorder="1" applyAlignment="1">
      <alignment horizontal="left" vertical="center" indent="1"/>
    </xf>
    <xf numFmtId="0" fontId="99" fillId="9" borderId="195" xfId="0" applyFont="1" applyFill="1" applyBorder="1" applyAlignment="1">
      <alignment horizontal="left" vertical="center" indent="1"/>
    </xf>
    <xf numFmtId="0" fontId="99" fillId="9" borderId="196" xfId="0" applyFont="1" applyFill="1" applyBorder="1" applyAlignment="1">
      <alignment horizontal="left" vertical="center" indent="1"/>
    </xf>
    <xf numFmtId="0" fontId="58" fillId="23" borderId="26" xfId="0" applyFont="1" applyFill="1" applyBorder="1" applyAlignment="1">
      <alignment horizontal="center" vertical="center" wrapText="1" shrinkToFit="1"/>
    </xf>
    <xf numFmtId="0" fontId="58" fillId="23" borderId="27" xfId="0" applyFont="1" applyFill="1" applyBorder="1" applyAlignment="1">
      <alignment horizontal="center" vertical="center" wrapText="1" shrinkToFit="1"/>
    </xf>
    <xf numFmtId="0" fontId="58" fillId="23" borderId="31" xfId="0" applyFont="1" applyFill="1" applyBorder="1" applyAlignment="1">
      <alignment horizontal="center" vertical="center" wrapText="1" shrinkToFit="1"/>
    </xf>
    <xf numFmtId="0" fontId="100" fillId="21" borderId="1" xfId="0" applyFont="1" applyFill="1" applyBorder="1" applyAlignment="1">
      <alignment horizontal="left" vertical="center" indent="1" shrinkToFit="1"/>
    </xf>
    <xf numFmtId="0" fontId="58" fillId="18" borderId="1" xfId="0" applyFont="1" applyFill="1" applyBorder="1" applyAlignment="1">
      <alignment horizontal="distributed" vertical="center" indent="1"/>
    </xf>
    <xf numFmtId="195" fontId="99" fillId="0" borderId="197" xfId="2" applyNumberFormat="1" applyFont="1" applyFill="1" applyBorder="1" applyAlignment="1" applyProtection="1">
      <alignment horizontal="left" vertical="center" wrapText="1"/>
    </xf>
    <xf numFmtId="195" fontId="99" fillId="0" borderId="195" xfId="2" applyNumberFormat="1" applyFont="1" applyFill="1" applyBorder="1" applyAlignment="1" applyProtection="1">
      <alignment horizontal="left" vertical="center" wrapText="1"/>
    </xf>
    <xf numFmtId="195" fontId="99" fillId="0" borderId="201" xfId="2" applyNumberFormat="1" applyFont="1" applyFill="1" applyBorder="1" applyAlignment="1" applyProtection="1">
      <alignment horizontal="left" vertical="center" wrapText="1"/>
    </xf>
    <xf numFmtId="0" fontId="58" fillId="2" borderId="54" xfId="0" applyFont="1" applyFill="1" applyBorder="1" applyAlignment="1">
      <alignment horizontal="center" vertical="center" wrapText="1" shrinkToFit="1"/>
    </xf>
    <xf numFmtId="0" fontId="58" fillId="2" borderId="51" xfId="0" applyFont="1" applyFill="1" applyBorder="1" applyAlignment="1">
      <alignment horizontal="center" vertical="center" shrinkToFit="1"/>
    </xf>
    <xf numFmtId="0" fontId="58" fillId="2" borderId="53" xfId="0" applyFont="1" applyFill="1" applyBorder="1" applyAlignment="1">
      <alignment horizontal="center" vertical="center" shrinkToFit="1"/>
    </xf>
    <xf numFmtId="0" fontId="54" fillId="8" borderId="4" xfId="0" applyFont="1" applyFill="1" applyBorder="1" applyAlignment="1">
      <alignment horizontal="center" vertical="center"/>
    </xf>
    <xf numFmtId="177" fontId="58" fillId="18" borderId="0" xfId="0" applyNumberFormat="1" applyFont="1" applyFill="1" applyAlignment="1">
      <alignment horizontal="right" vertical="center" shrinkToFit="1"/>
    </xf>
    <xf numFmtId="0" fontId="58" fillId="18" borderId="192" xfId="0" applyFont="1" applyFill="1" applyBorder="1" applyAlignment="1">
      <alignment horizontal="center" vertical="center"/>
    </xf>
    <xf numFmtId="0" fontId="58" fillId="18" borderId="2" xfId="0" applyFont="1" applyFill="1" applyBorder="1" applyAlignment="1">
      <alignment horizontal="distributed" vertical="center" indent="1"/>
    </xf>
    <xf numFmtId="0" fontId="58" fillId="18" borderId="36" xfId="0" applyFont="1" applyFill="1" applyBorder="1" applyAlignment="1">
      <alignment horizontal="distributed" vertical="center" indent="1"/>
    </xf>
    <xf numFmtId="0" fontId="58" fillId="18" borderId="3" xfId="0" applyFont="1" applyFill="1" applyBorder="1" applyAlignment="1">
      <alignment horizontal="distributed" vertical="center" indent="1"/>
    </xf>
    <xf numFmtId="0" fontId="58" fillId="9" borderId="2" xfId="0" applyFont="1" applyFill="1" applyBorder="1" applyAlignment="1">
      <alignment horizontal="distributed" vertical="center" indent="1"/>
    </xf>
    <xf numFmtId="0" fontId="58" fillId="9" borderId="36" xfId="0" applyFont="1" applyFill="1" applyBorder="1" applyAlignment="1">
      <alignment horizontal="distributed" vertical="center" indent="1"/>
    </xf>
    <xf numFmtId="0" fontId="58" fillId="9" borderId="3" xfId="0" applyFont="1" applyFill="1" applyBorder="1" applyAlignment="1">
      <alignment horizontal="distributed" vertical="center" indent="1"/>
    </xf>
    <xf numFmtId="0" fontId="58" fillId="9" borderId="56" xfId="0" applyFont="1" applyFill="1" applyBorder="1" applyAlignment="1">
      <alignment horizontal="left" vertical="center" indent="1"/>
    </xf>
    <xf numFmtId="0" fontId="58" fillId="9" borderId="4" xfId="0" applyFont="1" applyFill="1" applyBorder="1" applyAlignment="1">
      <alignment horizontal="left" vertical="center" indent="1"/>
    </xf>
    <xf numFmtId="0" fontId="58" fillId="9" borderId="38" xfId="0" applyFont="1" applyFill="1" applyBorder="1" applyAlignment="1">
      <alignment horizontal="left" vertical="center" indent="1"/>
    </xf>
    <xf numFmtId="0" fontId="58" fillId="5" borderId="54" xfId="0" applyFont="1" applyFill="1" applyBorder="1" applyAlignment="1">
      <alignment horizontal="left" vertical="center" wrapText="1"/>
    </xf>
    <xf numFmtId="0" fontId="58" fillId="5" borderId="51" xfId="0" applyFont="1" applyFill="1" applyBorder="1" applyAlignment="1">
      <alignment horizontal="left" vertical="center" wrapText="1"/>
    </xf>
    <xf numFmtId="0" fontId="58" fillId="5" borderId="62" xfId="0" applyFont="1" applyFill="1" applyBorder="1" applyAlignment="1">
      <alignment horizontal="left" vertical="center" wrapText="1"/>
    </xf>
    <xf numFmtId="0" fontId="58" fillId="5" borderId="63" xfId="0" applyFont="1" applyFill="1" applyBorder="1" applyAlignment="1">
      <alignment horizontal="left" vertical="center" wrapText="1"/>
    </xf>
    <xf numFmtId="190" fontId="0" fillId="0" borderId="2" xfId="0" applyNumberFormat="1" applyBorder="1" applyAlignment="1">
      <alignment horizontal="center" vertical="center"/>
    </xf>
    <xf numFmtId="190"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xf>
    <xf numFmtId="0" fontId="0" fillId="0" borderId="42" xfId="0" applyBorder="1" applyAlignment="1">
      <alignment horizontal="center" vertical="center"/>
    </xf>
    <xf numFmtId="0" fontId="0" fillId="0" borderId="88" xfId="0" applyBorder="1" applyAlignment="1">
      <alignment horizontal="center" vertical="center"/>
    </xf>
    <xf numFmtId="0" fontId="0" fillId="0" borderId="30" xfId="0" applyBorder="1" applyAlignment="1">
      <alignment horizontal="center" vertical="center"/>
    </xf>
    <xf numFmtId="0" fontId="0" fillId="0" borderId="56" xfId="0" applyBorder="1" applyAlignment="1">
      <alignment horizontal="center" vertical="center"/>
    </xf>
    <xf numFmtId="0" fontId="0" fillId="0" borderId="38" xfId="0" applyBorder="1" applyAlignment="1">
      <alignment horizontal="center" vertical="center"/>
    </xf>
    <xf numFmtId="190" fontId="0" fillId="0" borderId="2" xfId="0" applyNumberFormat="1" applyBorder="1" applyAlignment="1" applyProtection="1">
      <alignment horizontal="center" vertical="center"/>
      <protection locked="0"/>
    </xf>
    <xf numFmtId="190" fontId="0" fillId="0" borderId="3" xfId="0" applyNumberFormat="1" applyBorder="1" applyAlignment="1" applyProtection="1">
      <alignment horizontal="center" vertical="center"/>
      <protection locked="0"/>
    </xf>
    <xf numFmtId="0" fontId="116" fillId="17" borderId="183" xfId="0" applyFont="1" applyFill="1" applyBorder="1" applyAlignment="1" applyProtection="1">
      <alignment horizontal="center" vertical="center" wrapText="1" shrinkToFit="1"/>
      <protection locked="0"/>
    </xf>
    <xf numFmtId="0" fontId="116" fillId="17" borderId="184" xfId="0" applyFont="1" applyFill="1" applyBorder="1" applyAlignment="1" applyProtection="1">
      <alignment horizontal="center" vertical="center" wrapText="1" shrinkToFit="1"/>
      <protection locked="0"/>
    </xf>
    <xf numFmtId="0" fontId="116" fillId="17" borderId="35" xfId="0" applyFont="1" applyFill="1" applyBorder="1" applyAlignment="1" applyProtection="1">
      <alignment horizontal="center" vertical="center" wrapText="1" shrinkToFit="1"/>
      <protection locked="0"/>
    </xf>
    <xf numFmtId="0" fontId="116" fillId="17" borderId="33" xfId="0" applyFont="1" applyFill="1" applyBorder="1" applyAlignment="1" applyProtection="1">
      <alignment horizontal="center" vertical="center" wrapText="1" shrinkToFit="1"/>
      <protection locked="0"/>
    </xf>
    <xf numFmtId="213" fontId="0" fillId="0" borderId="183" xfId="0" applyNumberFormat="1" applyBorder="1" applyAlignment="1" applyProtection="1">
      <alignment horizontal="center" vertical="center" wrapText="1" shrinkToFit="1"/>
      <protection locked="0"/>
    </xf>
    <xf numFmtId="213" fontId="0" fillId="0" borderId="184" xfId="0" applyNumberFormat="1" applyBorder="1" applyAlignment="1" applyProtection="1">
      <alignment horizontal="center" vertical="center" wrapText="1" shrinkToFit="1"/>
      <protection locked="0"/>
    </xf>
    <xf numFmtId="0" fontId="0" fillId="0" borderId="35" xfId="0" applyBorder="1" applyAlignment="1" applyProtection="1">
      <alignment horizontal="center" vertical="center" wrapText="1" shrinkToFit="1"/>
      <protection locked="0"/>
    </xf>
    <xf numFmtId="0" fontId="0" fillId="0" borderId="33" xfId="0" applyBorder="1" applyAlignment="1" applyProtection="1">
      <alignment horizontal="center" vertical="center" wrapText="1" shrinkToFit="1"/>
      <protection locked="0"/>
    </xf>
    <xf numFmtId="178" fontId="14" fillId="0" borderId="108" xfId="1" applyNumberFormat="1" applyFont="1" applyBorder="1" applyAlignment="1" applyProtection="1">
      <alignment horizontal="right" vertical="center"/>
      <protection hidden="1"/>
    </xf>
    <xf numFmtId="178" fontId="14" fillId="0" borderId="105" xfId="1" applyNumberFormat="1" applyFont="1" applyBorder="1" applyAlignment="1" applyProtection="1">
      <alignment horizontal="right" vertical="center"/>
      <protection hidden="1"/>
    </xf>
    <xf numFmtId="0" fontId="16" fillId="0" borderId="93" xfId="1" applyFont="1" applyBorder="1" applyProtection="1">
      <alignment vertical="center"/>
      <protection hidden="1"/>
    </xf>
    <xf numFmtId="0" fontId="16" fillId="0" borderId="32" xfId="1" applyFont="1" applyBorder="1" applyProtection="1">
      <alignment vertical="center"/>
      <protection hidden="1"/>
    </xf>
    <xf numFmtId="0" fontId="16" fillId="0" borderId="95" xfId="1" applyFont="1" applyBorder="1" applyProtection="1">
      <alignment vertical="center"/>
      <protection hidden="1"/>
    </xf>
    <xf numFmtId="0" fontId="16" fillId="0" borderId="1" xfId="1" applyFont="1" applyBorder="1" applyProtection="1">
      <alignment vertical="center"/>
      <protection hidden="1"/>
    </xf>
    <xf numFmtId="0" fontId="32" fillId="6" borderId="58" xfId="1" applyFont="1" applyFill="1" applyBorder="1" applyProtection="1">
      <alignment vertical="center"/>
      <protection hidden="1"/>
    </xf>
    <xf numFmtId="0" fontId="32" fillId="6" borderId="36" xfId="1" applyFont="1" applyFill="1" applyBorder="1" applyProtection="1">
      <alignment vertical="center"/>
      <protection hidden="1"/>
    </xf>
    <xf numFmtId="0" fontId="16" fillId="0" borderId="100" xfId="1" applyFont="1" applyBorder="1" applyProtection="1">
      <alignment vertical="center"/>
      <protection hidden="1"/>
    </xf>
    <xf numFmtId="0" fontId="16" fillId="0" borderId="21" xfId="1" applyFont="1" applyBorder="1" applyProtection="1">
      <alignment vertical="center"/>
      <protection hidden="1"/>
    </xf>
    <xf numFmtId="0" fontId="14" fillId="0" borderId="2" xfId="1" applyFont="1" applyBorder="1" applyAlignment="1" applyProtection="1">
      <alignment horizontal="distributed" vertical="center" wrapText="1" indent="1"/>
      <protection hidden="1"/>
    </xf>
    <xf numFmtId="0" fontId="14" fillId="0" borderId="34" xfId="1" applyFont="1" applyBorder="1" applyAlignment="1" applyProtection="1">
      <alignment horizontal="distributed" vertical="center" wrapText="1" indent="1"/>
      <protection hidden="1"/>
    </xf>
    <xf numFmtId="0" fontId="14" fillId="0" borderId="68" xfId="1" applyFont="1" applyBorder="1" applyAlignment="1" applyProtection="1">
      <alignment horizontal="distributed" vertical="center" wrapText="1" indent="1"/>
      <protection hidden="1"/>
    </xf>
    <xf numFmtId="0" fontId="14" fillId="0" borderId="69" xfId="1" applyFont="1" applyBorder="1" applyAlignment="1" applyProtection="1">
      <alignment horizontal="distributed" vertical="center" wrapText="1" indent="1"/>
      <protection hidden="1"/>
    </xf>
    <xf numFmtId="0" fontId="14" fillId="0" borderId="33" xfId="0" applyFont="1" applyBorder="1" applyAlignment="1" applyProtection="1">
      <alignment horizontal="distributed" vertical="center" wrapText="1" indent="1"/>
      <protection hidden="1"/>
    </xf>
    <xf numFmtId="0" fontId="14" fillId="0" borderId="35" xfId="0" applyFont="1" applyBorder="1" applyAlignment="1" applyProtection="1">
      <alignment horizontal="distributed" vertical="center" wrapText="1" indent="1"/>
      <protection hidden="1"/>
    </xf>
    <xf numFmtId="0" fontId="14" fillId="0" borderId="37" xfId="0" applyFont="1" applyBorder="1" applyAlignment="1" applyProtection="1">
      <alignment horizontal="distributed" vertical="center" wrapText="1" indent="1"/>
      <protection hidden="1"/>
    </xf>
    <xf numFmtId="0" fontId="14" fillId="0" borderId="55" xfId="0" applyFont="1" applyBorder="1" applyAlignment="1" applyProtection="1">
      <alignment horizontal="distributed" vertical="center" indent="1"/>
      <protection hidden="1"/>
    </xf>
    <xf numFmtId="0" fontId="14" fillId="0" borderId="78"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indent="1"/>
      <protection hidden="1"/>
    </xf>
    <xf numFmtId="0" fontId="14" fillId="0" borderId="57" xfId="0" applyFont="1" applyBorder="1" applyAlignment="1" applyProtection="1">
      <alignment horizontal="distributed" vertical="center" indent="1"/>
      <protection hidden="1"/>
    </xf>
    <xf numFmtId="0" fontId="14" fillId="0" borderId="34" xfId="0" applyFont="1" applyBorder="1" applyAlignment="1" applyProtection="1">
      <alignment horizontal="distributed" vertical="center" indent="1"/>
      <protection hidden="1"/>
    </xf>
    <xf numFmtId="0" fontId="14" fillId="0" borderId="68" xfId="0" applyFont="1" applyBorder="1" applyAlignment="1" applyProtection="1">
      <alignment horizontal="distributed" vertical="center" indent="1"/>
      <protection hidden="1"/>
    </xf>
    <xf numFmtId="0" fontId="14" fillId="0" borderId="69" xfId="0" applyFont="1" applyBorder="1" applyAlignment="1" applyProtection="1">
      <alignment horizontal="distributed" vertical="center" indent="1"/>
      <protection hidden="1"/>
    </xf>
    <xf numFmtId="0" fontId="14" fillId="0" borderId="93" xfId="0" applyFont="1" applyBorder="1" applyAlignment="1" applyProtection="1">
      <alignment horizontal="center" vertical="center" textRotation="255"/>
      <protection hidden="1"/>
    </xf>
    <xf numFmtId="0" fontId="14" fillId="0" borderId="95" xfId="0" applyFont="1" applyBorder="1" applyAlignment="1" applyProtection="1">
      <alignment horizontal="center" vertical="center" textRotation="255"/>
      <protection hidden="1"/>
    </xf>
    <xf numFmtId="0" fontId="14" fillId="0" borderId="98" xfId="0" applyFont="1" applyBorder="1" applyAlignment="1" applyProtection="1">
      <alignment horizontal="center" vertical="center" textRotation="255"/>
      <protection hidden="1"/>
    </xf>
    <xf numFmtId="0" fontId="14" fillId="0" borderId="7" xfId="0" applyFont="1" applyBorder="1" applyAlignment="1" applyProtection="1">
      <alignment horizontal="distributed" vertical="center" wrapText="1" indent="1"/>
      <protection hidden="1"/>
    </xf>
    <xf numFmtId="0" fontId="14" fillId="0" borderId="13" xfId="0" applyFont="1" applyBorder="1" applyAlignment="1" applyProtection="1">
      <alignment horizontal="distributed" vertical="center" wrapText="1" indent="1"/>
      <protection hidden="1"/>
    </xf>
    <xf numFmtId="0" fontId="14" fillId="0" borderId="15" xfId="0" applyFont="1" applyBorder="1" applyAlignment="1" applyProtection="1">
      <alignment horizontal="distributed" vertical="center" wrapText="1" indent="1"/>
      <protection hidden="1"/>
    </xf>
    <xf numFmtId="0" fontId="14" fillId="0" borderId="88" xfId="0" applyFont="1" applyBorder="1" applyAlignment="1" applyProtection="1">
      <alignment horizontal="distributed" vertical="center" wrapText="1" indent="1"/>
      <protection hidden="1"/>
    </xf>
    <xf numFmtId="0" fontId="14" fillId="0" borderId="45" xfId="0" applyFont="1" applyBorder="1" applyAlignment="1" applyProtection="1">
      <alignment horizontal="distributed" vertical="center" wrapText="1" indent="1"/>
      <protection hidden="1"/>
    </xf>
    <xf numFmtId="0" fontId="14" fillId="0" borderId="133" xfId="0" applyFont="1" applyBorder="1" applyAlignment="1" applyProtection="1">
      <alignment horizontal="distributed" vertical="center" wrapText="1" indent="1"/>
      <protection hidden="1"/>
    </xf>
    <xf numFmtId="0" fontId="14" fillId="0" borderId="32" xfId="0" applyFont="1" applyBorder="1" applyAlignment="1" applyProtection="1">
      <alignment horizontal="distributed" vertical="center" indent="1"/>
      <protection hidden="1"/>
    </xf>
    <xf numFmtId="0" fontId="14" fillId="0" borderId="94" xfId="0" applyFont="1" applyBorder="1" applyAlignment="1" applyProtection="1">
      <alignment horizontal="distributed" vertical="center" indent="1"/>
      <protection hidden="1"/>
    </xf>
    <xf numFmtId="0" fontId="14" fillId="0" borderId="1" xfId="0" applyFont="1" applyBorder="1" applyAlignment="1" applyProtection="1">
      <alignment horizontal="distributed" vertical="center" wrapText="1" indent="1"/>
      <protection hidden="1"/>
    </xf>
    <xf numFmtId="0" fontId="14" fillId="0" borderId="62" xfId="0" applyFont="1" applyBorder="1" applyAlignment="1" applyProtection="1">
      <alignment horizontal="distributed" vertical="center" indent="1"/>
      <protection hidden="1"/>
    </xf>
    <xf numFmtId="0" fontId="14" fillId="0" borderId="64" xfId="0" applyFont="1" applyBorder="1" applyAlignment="1" applyProtection="1">
      <alignment horizontal="distributed" vertical="center" indent="1"/>
      <protection hidden="1"/>
    </xf>
    <xf numFmtId="0" fontId="14" fillId="0" borderId="55" xfId="1" applyFont="1" applyBorder="1" applyProtection="1">
      <alignment vertical="center"/>
      <protection hidden="1"/>
    </xf>
    <xf numFmtId="0" fontId="14" fillId="0" borderId="1" xfId="1" applyFont="1" applyBorder="1" applyProtection="1">
      <alignment vertical="center"/>
      <protection hidden="1"/>
    </xf>
    <xf numFmtId="0" fontId="14" fillId="0" borderId="37" xfId="1" applyFont="1" applyBorder="1" applyProtection="1">
      <alignment vertical="center"/>
      <protection hidden="1"/>
    </xf>
    <xf numFmtId="0" fontId="14" fillId="0" borderId="68" xfId="1" applyFont="1" applyBorder="1" applyProtection="1">
      <alignment vertical="center"/>
      <protection hidden="1"/>
    </xf>
    <xf numFmtId="0" fontId="14" fillId="0" borderId="55" xfId="1" applyFont="1" applyBorder="1" applyAlignment="1" applyProtection="1">
      <alignment horizontal="distributed" vertical="center" wrapText="1" indent="1"/>
      <protection hidden="1"/>
    </xf>
    <xf numFmtId="0" fontId="14" fillId="0" borderId="78" xfId="1" applyFont="1" applyBorder="1" applyAlignment="1" applyProtection="1">
      <alignment horizontal="distributed" vertical="center" wrapText="1" indent="1"/>
      <protection hidden="1"/>
    </xf>
    <xf numFmtId="0" fontId="14" fillId="0" borderId="1" xfId="1" applyFont="1" applyBorder="1" applyAlignment="1" applyProtection="1">
      <alignment horizontal="distributed" vertical="center" wrapText="1" indent="1"/>
      <protection hidden="1"/>
    </xf>
    <xf numFmtId="0" fontId="14" fillId="0" borderId="57" xfId="1" applyFont="1" applyBorder="1" applyAlignment="1" applyProtection="1">
      <alignment horizontal="distributed" vertical="center" wrapText="1" indent="1"/>
      <protection hidden="1"/>
    </xf>
    <xf numFmtId="0" fontId="14" fillId="0" borderId="102" xfId="0" applyFont="1" applyBorder="1" applyAlignment="1" applyProtection="1">
      <alignment horizontal="distributed" vertical="center" wrapText="1" indent="1"/>
      <protection hidden="1"/>
    </xf>
    <xf numFmtId="0" fontId="14" fillId="0" borderId="104" xfId="0" applyFont="1" applyBorder="1" applyAlignment="1" applyProtection="1">
      <alignment horizontal="distributed" vertical="center" wrapText="1" indent="1"/>
      <protection hidden="1"/>
    </xf>
    <xf numFmtId="0" fontId="14" fillId="0" borderId="6" xfId="0" applyFont="1" applyBorder="1" applyAlignment="1" applyProtection="1">
      <alignment horizontal="center" vertical="center"/>
      <protection hidden="1"/>
    </xf>
    <xf numFmtId="0" fontId="14" fillId="0" borderId="14" xfId="0" applyFont="1" applyBorder="1" applyAlignment="1" applyProtection="1">
      <alignment horizontal="center" vertical="center"/>
      <protection hidden="1"/>
    </xf>
    <xf numFmtId="0" fontId="14" fillId="0" borderId="18" xfId="0" applyFont="1" applyBorder="1" applyAlignment="1" applyProtection="1">
      <alignment horizontal="center" vertical="center"/>
      <protection hidden="1"/>
    </xf>
    <xf numFmtId="0" fontId="14" fillId="0" borderId="7"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88"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77"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14" fillId="0" borderId="20" xfId="0" applyFont="1" applyBorder="1" applyAlignment="1" applyProtection="1">
      <alignment horizontal="center" vertical="center" wrapText="1"/>
      <protection hidden="1"/>
    </xf>
    <xf numFmtId="0" fontId="14" fillId="0" borderId="93"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protection hidden="1"/>
    </xf>
    <xf numFmtId="0" fontId="14" fillId="0" borderId="58"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00"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36" xfId="1" applyFont="1" applyBorder="1" applyAlignment="1" applyProtection="1">
      <alignment horizontal="distributed" vertical="center" indent="1"/>
      <protection hidden="1"/>
    </xf>
    <xf numFmtId="0" fontId="14" fillId="0" borderId="34" xfId="1" applyFont="1" applyBorder="1" applyAlignment="1" applyProtection="1">
      <alignment horizontal="distributed" vertical="center" indent="1"/>
      <protection hidden="1"/>
    </xf>
    <xf numFmtId="188" fontId="14" fillId="0" borderId="39" xfId="0" applyNumberFormat="1" applyFont="1" applyBorder="1" applyAlignment="1" applyProtection="1">
      <alignment horizontal="right" vertical="center" indent="1" shrinkToFit="1"/>
      <protection hidden="1"/>
    </xf>
    <xf numFmtId="188" fontId="14" fillId="0" borderId="40" xfId="0" applyNumberFormat="1" applyFont="1" applyBorder="1" applyAlignment="1" applyProtection="1">
      <alignment horizontal="right" vertical="center" indent="1" shrinkToFit="1"/>
      <protection hidden="1"/>
    </xf>
    <xf numFmtId="0" fontId="14" fillId="0" borderId="4" xfId="1" applyFont="1" applyBorder="1" applyAlignment="1" applyProtection="1">
      <alignment horizontal="distributed" vertical="center" wrapText="1" indent="1"/>
      <protection hidden="1"/>
    </xf>
    <xf numFmtId="0" fontId="14" fillId="0" borderId="4" xfId="1" applyFont="1" applyBorder="1" applyAlignment="1" applyProtection="1">
      <alignment horizontal="distributed" vertical="center" indent="1"/>
      <protection hidden="1"/>
    </xf>
    <xf numFmtId="0" fontId="14" fillId="0" borderId="73" xfId="1" applyFont="1" applyBorder="1" applyAlignment="1" applyProtection="1">
      <alignment horizontal="distributed" vertical="center" indent="1"/>
      <protection hidden="1"/>
    </xf>
    <xf numFmtId="188" fontId="14" fillId="0" borderId="81" xfId="0" applyNumberFormat="1" applyFont="1" applyBorder="1" applyAlignment="1" applyProtection="1">
      <alignment horizontal="right" vertical="center" indent="1" shrinkToFit="1"/>
      <protection hidden="1"/>
    </xf>
    <xf numFmtId="188" fontId="14" fillId="0" borderId="82" xfId="0" applyNumberFormat="1" applyFont="1" applyBorder="1" applyAlignment="1" applyProtection="1">
      <alignment horizontal="right" vertical="center" indent="1" shrinkToFit="1"/>
      <protection hidden="1"/>
    </xf>
    <xf numFmtId="188" fontId="14" fillId="0" borderId="154" xfId="2" applyNumberFormat="1" applyFont="1" applyFill="1" applyBorder="1" applyAlignment="1" applyProtection="1">
      <alignment horizontal="center" vertical="center" shrinkToFit="1"/>
      <protection hidden="1"/>
    </xf>
    <xf numFmtId="188" fontId="14" fillId="0" borderId="60" xfId="1" applyNumberFormat="1" applyFont="1" applyBorder="1" applyAlignment="1" applyProtection="1">
      <alignment horizontal="center" vertical="center" shrinkToFit="1"/>
      <protection hidden="1"/>
    </xf>
    <xf numFmtId="0" fontId="14" fillId="0" borderId="6" xfId="1" applyFont="1" applyBorder="1" applyAlignment="1" applyProtection="1">
      <alignment vertical="center" textRotation="255"/>
      <protection hidden="1"/>
    </xf>
    <xf numFmtId="0" fontId="14" fillId="0" borderId="14" xfId="1" applyFont="1" applyBorder="1" applyAlignment="1" applyProtection="1">
      <alignment vertical="center" textRotation="255"/>
      <protection hidden="1"/>
    </xf>
    <xf numFmtId="0" fontId="14" fillId="0" borderId="18" xfId="1" applyFont="1" applyBorder="1" applyAlignment="1" applyProtection="1">
      <alignment vertical="center" textRotation="255"/>
      <protection hidden="1"/>
    </xf>
    <xf numFmtId="0" fontId="14" fillId="0" borderId="8"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156"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protection hidden="1"/>
    </xf>
    <xf numFmtId="0" fontId="14" fillId="0" borderId="50" xfId="1" applyFont="1" applyBorder="1" applyAlignment="1" applyProtection="1">
      <alignment vertical="center" textRotation="255"/>
      <protection hidden="1"/>
    </xf>
    <xf numFmtId="0" fontId="14" fillId="0" borderId="35" xfId="1" applyFont="1" applyBorder="1" applyAlignment="1" applyProtection="1">
      <alignment vertical="center" textRotation="255"/>
      <protection hidden="1"/>
    </xf>
    <xf numFmtId="0" fontId="14" fillId="0" borderId="54" xfId="1" applyFont="1" applyBorder="1" applyAlignment="1" applyProtection="1">
      <alignment horizontal="distributed" vertical="center" indent="1"/>
      <protection hidden="1"/>
    </xf>
    <xf numFmtId="0" fontId="14" fillId="0" borderId="51" xfId="1" applyFont="1" applyBorder="1" applyAlignment="1" applyProtection="1">
      <alignment horizontal="distributed" vertical="center" indent="1"/>
      <protection hidden="1"/>
    </xf>
    <xf numFmtId="0" fontId="14" fillId="0" borderId="52" xfId="1" applyFont="1" applyBorder="1" applyAlignment="1" applyProtection="1">
      <alignment horizontal="distributed" vertical="center" indent="1"/>
      <protection hidden="1"/>
    </xf>
    <xf numFmtId="0" fontId="14" fillId="0" borderId="2" xfId="1" applyFont="1" applyBorder="1" applyAlignment="1" applyProtection="1">
      <alignment horizontal="distributed" vertical="center" indent="1"/>
      <protection hidden="1"/>
    </xf>
    <xf numFmtId="0" fontId="14" fillId="0" borderId="56" xfId="1" applyFont="1" applyBorder="1" applyAlignment="1" applyProtection="1">
      <alignment horizontal="distributed" vertical="center" indent="1"/>
      <protection hidden="1"/>
    </xf>
    <xf numFmtId="188" fontId="14" fillId="0" borderId="157" xfId="2" applyNumberFormat="1" applyFont="1" applyFill="1" applyBorder="1" applyAlignment="1" applyProtection="1">
      <alignment horizontal="center" vertical="center" shrinkToFit="1"/>
      <protection hidden="1"/>
    </xf>
    <xf numFmtId="188" fontId="14" fillId="0" borderId="66" xfId="1" applyNumberFormat="1" applyFont="1" applyBorder="1" applyAlignment="1" applyProtection="1">
      <alignment horizontal="center" vertical="center" shrinkToFit="1"/>
      <protection hidden="1"/>
    </xf>
    <xf numFmtId="0" fontId="14" fillId="0" borderId="55" xfId="1" applyFont="1" applyBorder="1" applyAlignment="1" applyProtection="1">
      <alignment horizontal="distributed" vertical="center" textRotation="255" wrapText="1"/>
      <protection hidden="1"/>
    </xf>
    <xf numFmtId="0" fontId="14" fillId="0" borderId="1" xfId="1" applyFont="1" applyBorder="1" applyAlignment="1" applyProtection="1">
      <alignment horizontal="distributed" vertical="center" textRotation="255" wrapText="1"/>
      <protection hidden="1"/>
    </xf>
    <xf numFmtId="188" fontId="14" fillId="0" borderId="79" xfId="0" applyNumberFormat="1" applyFont="1" applyBorder="1" applyAlignment="1" applyProtection="1">
      <alignment horizontal="right" vertical="center" indent="1" shrinkToFit="1"/>
      <protection hidden="1"/>
    </xf>
    <xf numFmtId="188" fontId="14" fillId="0" borderId="71" xfId="1" applyNumberFormat="1" applyFont="1" applyBorder="1" applyAlignment="1" applyProtection="1">
      <alignment horizontal="right" vertical="center" indent="1" shrinkToFit="1"/>
      <protection hidden="1"/>
    </xf>
    <xf numFmtId="0" fontId="14" fillId="0" borderId="19" xfId="1" applyFont="1" applyBorder="1" applyAlignment="1" applyProtection="1">
      <alignment horizontal="distributed" vertical="center" indent="1"/>
      <protection hidden="1"/>
    </xf>
    <xf numFmtId="0" fontId="14" fillId="0" borderId="5" xfId="1" applyFont="1" applyBorder="1" applyAlignment="1" applyProtection="1">
      <alignment horizontal="distributed" vertical="center" indent="1"/>
      <protection hidden="1"/>
    </xf>
    <xf numFmtId="0" fontId="14" fillId="0" borderId="20" xfId="1" applyFont="1" applyBorder="1" applyAlignment="1" applyProtection="1">
      <alignment horizontal="distributed" vertical="center" indent="1"/>
      <protection hidden="1"/>
    </xf>
    <xf numFmtId="188" fontId="14" fillId="0" borderId="158" xfId="0" applyNumberFormat="1" applyFont="1" applyBorder="1" applyAlignment="1" applyProtection="1">
      <alignment vertical="center" shrinkToFit="1"/>
      <protection hidden="1"/>
    </xf>
    <xf numFmtId="188" fontId="14" fillId="0" borderId="153" xfId="1" applyNumberFormat="1" applyFont="1" applyBorder="1" applyAlignment="1" applyProtection="1">
      <alignment vertical="center" shrinkToFit="1"/>
      <protection hidden="1"/>
    </xf>
    <xf numFmtId="0" fontId="14" fillId="0" borderId="35" xfId="0" applyFont="1" applyBorder="1" applyAlignment="1" applyProtection="1">
      <alignment horizontal="center" vertical="center" textRotation="255"/>
      <protection hidden="1"/>
    </xf>
    <xf numFmtId="0" fontId="14" fillId="0" borderId="44" xfId="0" applyFont="1" applyBorder="1" applyAlignment="1" applyProtection="1">
      <alignment horizontal="center" vertical="center" textRotation="255"/>
      <protection hidden="1"/>
    </xf>
    <xf numFmtId="0" fontId="14" fillId="0" borderId="2" xfId="0" applyFont="1" applyBorder="1" applyAlignment="1" applyProtection="1">
      <alignment horizontal="left" vertical="center" wrapText="1" indent="1"/>
      <protection hidden="1"/>
    </xf>
    <xf numFmtId="0" fontId="14" fillId="0" borderId="34" xfId="0" applyFont="1" applyBorder="1" applyAlignment="1" applyProtection="1">
      <alignment horizontal="left" vertical="center" wrapText="1" indent="1"/>
      <protection hidden="1"/>
    </xf>
    <xf numFmtId="0" fontId="14" fillId="7" borderId="56" xfId="1" applyFont="1" applyFill="1" applyBorder="1" applyAlignment="1" applyProtection="1">
      <alignment horizontal="distributed" vertical="center" textRotation="255" wrapText="1"/>
      <protection hidden="1"/>
    </xf>
    <xf numFmtId="0" fontId="14" fillId="7" borderId="15" xfId="1" applyFont="1" applyFill="1" applyBorder="1" applyAlignment="1" applyProtection="1">
      <alignment horizontal="distributed" vertical="center" textRotation="255" wrapText="1"/>
      <protection hidden="1"/>
    </xf>
    <xf numFmtId="0" fontId="14" fillId="7" borderId="42" xfId="1" applyFont="1" applyFill="1" applyBorder="1" applyAlignment="1" applyProtection="1">
      <alignment horizontal="distributed" vertical="center" textRotation="255" wrapText="1"/>
      <protection hidden="1"/>
    </xf>
    <xf numFmtId="0" fontId="14" fillId="0" borderId="37" xfId="1" applyFont="1" applyBorder="1" applyAlignment="1" applyProtection="1">
      <alignment horizontal="distributed" vertical="center" wrapText="1" indent="1"/>
      <protection hidden="1"/>
    </xf>
    <xf numFmtId="0" fontId="14" fillId="0" borderId="33" xfId="1" applyFont="1" applyBorder="1" applyAlignment="1" applyProtection="1">
      <alignment horizontal="distributed" vertical="center" wrapText="1" indent="1"/>
      <protection hidden="1"/>
    </xf>
    <xf numFmtId="0" fontId="14" fillId="0" borderId="62" xfId="1" applyFont="1" applyBorder="1" applyAlignment="1" applyProtection="1">
      <alignment horizontal="distributed" vertical="center" indent="1"/>
      <protection hidden="1"/>
    </xf>
    <xf numFmtId="0" fontId="14" fillId="0" borderId="63" xfId="1" applyFont="1" applyBorder="1" applyAlignment="1" applyProtection="1">
      <alignment horizontal="distributed" vertical="center" indent="1"/>
      <protection hidden="1"/>
    </xf>
    <xf numFmtId="0" fontId="14" fillId="0" borderId="64" xfId="1" applyFont="1" applyBorder="1" applyAlignment="1" applyProtection="1">
      <alignment horizontal="distributed" vertical="center" indent="1"/>
      <protection hidden="1"/>
    </xf>
    <xf numFmtId="188" fontId="14" fillId="0" borderId="65" xfId="2" applyNumberFormat="1" applyFont="1" applyFill="1" applyBorder="1" applyAlignment="1" applyProtection="1">
      <alignment horizontal="center" vertical="center" shrinkToFit="1"/>
      <protection hidden="1"/>
    </xf>
    <xf numFmtId="188" fontId="14" fillId="0" borderId="66" xfId="2" applyNumberFormat="1" applyFont="1" applyFill="1" applyBorder="1" applyAlignment="1" applyProtection="1">
      <alignment horizontal="center" vertical="center" shrinkToFit="1"/>
      <protection hidden="1"/>
    </xf>
    <xf numFmtId="0" fontId="14" fillId="0" borderId="63" xfId="0" applyFont="1" applyBorder="1" applyAlignment="1" applyProtection="1">
      <alignment horizontal="distributed" vertical="center" indent="1"/>
      <protection hidden="1"/>
    </xf>
    <xf numFmtId="0" fontId="14" fillId="0" borderId="50" xfId="1" applyFont="1" applyBorder="1" applyAlignment="1" applyProtection="1">
      <alignment vertical="center" textRotation="255" wrapText="1"/>
      <protection hidden="1"/>
    </xf>
    <xf numFmtId="0" fontId="14" fillId="0" borderId="35" xfId="1" applyFont="1" applyBorder="1" applyAlignment="1" applyProtection="1">
      <alignment vertical="center" textRotation="255" wrapText="1"/>
      <protection hidden="1"/>
    </xf>
    <xf numFmtId="0" fontId="14" fillId="0" borderId="44" xfId="1" applyFont="1" applyBorder="1" applyAlignment="1" applyProtection="1">
      <alignment vertical="center" textRotation="255" wrapText="1"/>
      <protection hidden="1"/>
    </xf>
    <xf numFmtId="0" fontId="14" fillId="0" borderId="50" xfId="0" applyFont="1" applyBorder="1" applyAlignment="1" applyProtection="1">
      <alignment horizontal="distributed" vertical="center" textRotation="255"/>
      <protection hidden="1"/>
    </xf>
    <xf numFmtId="0" fontId="14" fillId="0" borderId="35" xfId="0" applyFont="1" applyBorder="1" applyAlignment="1" applyProtection="1">
      <alignment horizontal="distributed" vertical="center" textRotation="255"/>
      <protection hidden="1"/>
    </xf>
    <xf numFmtId="0" fontId="14" fillId="0" borderId="33" xfId="0" applyFont="1" applyBorder="1" applyAlignment="1" applyProtection="1">
      <alignment horizontal="distributed" vertical="center" textRotation="255"/>
      <protection hidden="1"/>
    </xf>
    <xf numFmtId="0" fontId="14" fillId="0" borderId="54" xfId="0" applyFont="1" applyBorder="1" applyAlignment="1" applyProtection="1">
      <alignment horizontal="distributed" vertical="center" indent="1"/>
      <protection hidden="1"/>
    </xf>
    <xf numFmtId="0" fontId="14" fillId="0" borderId="52" xfId="0" applyFont="1" applyBorder="1" applyAlignment="1" applyProtection="1">
      <alignment horizontal="distributed" vertical="center" indent="1"/>
      <protection hidden="1"/>
    </xf>
    <xf numFmtId="0" fontId="14" fillId="0" borderId="2" xfId="0" applyFont="1" applyBorder="1" applyAlignment="1" applyProtection="1">
      <alignment horizontal="distributed" vertical="center" wrapText="1" indent="1"/>
      <protection hidden="1"/>
    </xf>
    <xf numFmtId="0" fontId="14" fillId="0" borderId="34" xfId="0" applyFont="1" applyBorder="1" applyAlignment="1" applyProtection="1">
      <alignment horizontal="distributed" vertical="center" wrapText="1" indent="1"/>
      <protection hidden="1"/>
    </xf>
    <xf numFmtId="0" fontId="14" fillId="0" borderId="56" xfId="1" applyFont="1" applyBorder="1" applyAlignment="1" applyProtection="1">
      <alignment horizontal="distributed" vertical="center" textRotation="255" wrapText="1"/>
      <protection hidden="1"/>
    </xf>
    <xf numFmtId="0" fontId="14" fillId="0" borderId="15" xfId="1" applyFont="1" applyBorder="1" applyAlignment="1" applyProtection="1">
      <alignment horizontal="distributed" vertical="center" textRotation="255" wrapText="1"/>
      <protection hidden="1"/>
    </xf>
    <xf numFmtId="0" fontId="14" fillId="0" borderId="42" xfId="1" applyFont="1" applyBorder="1" applyAlignment="1" applyProtection="1">
      <alignment horizontal="distributed" vertical="center" textRotation="255" wrapText="1"/>
      <protection hidden="1"/>
    </xf>
    <xf numFmtId="0" fontId="14" fillId="0" borderId="45" xfId="0" applyFont="1" applyBorder="1" applyAlignment="1" applyProtection="1">
      <alignment horizontal="distributed" vertical="center" indent="1"/>
      <protection hidden="1"/>
    </xf>
    <xf numFmtId="0" fontId="14" fillId="0" borderId="46" xfId="0" applyFont="1" applyBorder="1" applyAlignment="1" applyProtection="1">
      <alignment horizontal="distributed" vertical="center" indent="1"/>
      <protection hidden="1"/>
    </xf>
    <xf numFmtId="0" fontId="14" fillId="0" borderId="47" xfId="0" applyFont="1" applyBorder="1" applyAlignment="1" applyProtection="1">
      <alignment horizontal="distributed" vertical="center" indent="1"/>
      <protection hidden="1"/>
    </xf>
    <xf numFmtId="188" fontId="14" fillId="0" borderId="48" xfId="2" applyNumberFormat="1" applyFont="1" applyFill="1" applyBorder="1" applyAlignment="1" applyProtection="1">
      <alignment horizontal="center" vertical="center" shrinkToFit="1"/>
      <protection hidden="1"/>
    </xf>
    <xf numFmtId="188" fontId="14" fillId="0" borderId="49" xfId="2" applyNumberFormat="1" applyFont="1" applyFill="1" applyBorder="1" applyAlignment="1" applyProtection="1">
      <alignment horizontal="center" vertical="center" shrinkToFit="1"/>
      <protection hidden="1"/>
    </xf>
    <xf numFmtId="0" fontId="14" fillId="7" borderId="2" xfId="0" applyFont="1" applyFill="1" applyBorder="1" applyAlignment="1" applyProtection="1">
      <alignment horizontal="distributed" vertical="center" indent="1"/>
      <protection hidden="1"/>
    </xf>
    <xf numFmtId="0" fontId="14" fillId="7" borderId="34" xfId="0" applyFont="1" applyFill="1" applyBorder="1" applyAlignment="1" applyProtection="1">
      <alignment horizontal="distributed" vertical="center" indent="1"/>
      <protection hidden="1"/>
    </xf>
    <xf numFmtId="0" fontId="14" fillId="0" borderId="33" xfId="0" applyFont="1" applyBorder="1" applyAlignment="1" applyProtection="1">
      <alignment horizontal="distributed" vertical="center" indent="1"/>
      <protection hidden="1"/>
    </xf>
    <xf numFmtId="0" fontId="14" fillId="7" borderId="56" xfId="0" applyFont="1" applyFill="1" applyBorder="1" applyAlignment="1" applyProtection="1">
      <alignment horizontal="distributed" vertical="center" wrapText="1"/>
      <protection hidden="1"/>
    </xf>
    <xf numFmtId="0" fontId="14" fillId="7" borderId="4" xfId="0" applyFont="1" applyFill="1" applyBorder="1" applyAlignment="1" applyProtection="1">
      <alignment horizontal="distributed" vertical="center" wrapText="1"/>
      <protection hidden="1"/>
    </xf>
    <xf numFmtId="0" fontId="14" fillId="7" borderId="73" xfId="0" applyFont="1" applyFill="1" applyBorder="1" applyAlignment="1" applyProtection="1">
      <alignment horizontal="distributed" vertical="center" wrapText="1"/>
      <protection hidden="1"/>
    </xf>
    <xf numFmtId="0" fontId="14" fillId="0" borderId="1" xfId="0" applyFont="1" applyBorder="1" applyAlignment="1" applyProtection="1">
      <alignment horizontal="center" vertical="center"/>
      <protection hidden="1"/>
    </xf>
    <xf numFmtId="177" fontId="14" fillId="0" borderId="2" xfId="1" applyNumberFormat="1" applyFont="1" applyBorder="1" applyAlignment="1" applyProtection="1">
      <alignment horizontal="left" vertical="center" shrinkToFit="1"/>
      <protection hidden="1"/>
    </xf>
    <xf numFmtId="177" fontId="14" fillId="0" borderId="34" xfId="1" applyNumberFormat="1" applyFont="1" applyBorder="1" applyAlignment="1" applyProtection="1">
      <alignment horizontal="left" vertical="center" shrinkToFit="1"/>
      <protection hidden="1"/>
    </xf>
    <xf numFmtId="0" fontId="14" fillId="7" borderId="36" xfId="0" applyFont="1" applyFill="1" applyBorder="1" applyAlignment="1" applyProtection="1">
      <alignment horizontal="distributed" vertical="center" indent="1"/>
      <protection hidden="1"/>
    </xf>
    <xf numFmtId="0" fontId="14" fillId="0" borderId="0" xfId="0" applyFont="1">
      <alignment vertical="center"/>
    </xf>
    <xf numFmtId="0" fontId="16" fillId="0" borderId="5" xfId="0" applyFont="1" applyBorder="1" applyAlignment="1" applyProtection="1">
      <alignment vertical="center" shrinkToFit="1"/>
      <protection hidden="1"/>
    </xf>
    <xf numFmtId="0" fontId="14" fillId="0" borderId="5"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wrapText="1"/>
      <protection hidden="1"/>
    </xf>
    <xf numFmtId="0" fontId="14" fillId="0" borderId="6" xfId="1" applyFont="1" applyBorder="1" applyAlignment="1" applyProtection="1">
      <alignment horizontal="center" vertical="center" textRotation="255"/>
      <protection hidden="1"/>
    </xf>
    <xf numFmtId="0" fontId="14" fillId="0" borderId="14" xfId="1" applyFont="1" applyBorder="1" applyAlignment="1" applyProtection="1">
      <alignment horizontal="center" vertical="center" textRotation="255"/>
      <protection hidden="1"/>
    </xf>
    <xf numFmtId="0" fontId="14" fillId="0" borderId="89" xfId="1" applyFont="1" applyBorder="1" applyAlignment="1" applyProtection="1">
      <alignment horizontal="center" vertical="center" textRotation="255"/>
      <protection hidden="1"/>
    </xf>
    <xf numFmtId="14" fontId="14" fillId="0" borderId="12" xfId="0" applyNumberFormat="1" applyFont="1" applyBorder="1" applyAlignment="1" applyProtection="1">
      <alignment horizontal="center" vertical="center" textRotation="255" wrapText="1"/>
      <protection hidden="1"/>
    </xf>
    <xf numFmtId="14" fontId="14" fillId="0" borderId="35" xfId="0" applyNumberFormat="1" applyFont="1" applyBorder="1" applyAlignment="1" applyProtection="1">
      <alignment horizontal="center" vertical="center" textRotation="255" wrapText="1"/>
      <protection hidden="1"/>
    </xf>
    <xf numFmtId="0" fontId="14" fillId="0" borderId="26" xfId="0" applyFont="1" applyBorder="1" applyAlignment="1" applyProtection="1">
      <alignment horizontal="distributed" vertical="center" indent="1"/>
      <protection hidden="1"/>
    </xf>
    <xf numFmtId="0" fontId="14" fillId="0" borderId="28" xfId="0" applyFont="1" applyBorder="1" applyAlignment="1" applyProtection="1">
      <alignment horizontal="distributed" vertical="center" indent="1"/>
      <protection hidden="1"/>
    </xf>
    <xf numFmtId="0" fontId="14" fillId="0" borderId="37" xfId="0" applyFont="1" applyBorder="1" applyAlignment="1" applyProtection="1">
      <alignment horizontal="distributed" vertical="center" textRotation="255"/>
      <protection hidden="1"/>
    </xf>
    <xf numFmtId="0" fontId="14" fillId="0" borderId="1" xfId="0" applyFont="1" applyBorder="1" applyAlignment="1" applyProtection="1">
      <alignment horizontal="distributed" vertical="center" textRotation="255"/>
      <protection hidden="1"/>
    </xf>
    <xf numFmtId="0" fontId="14" fillId="0" borderId="37" xfId="0" applyFont="1" applyBorder="1" applyAlignment="1" applyProtection="1">
      <alignment horizontal="distributed" vertical="center" indent="1"/>
      <protection hidden="1"/>
    </xf>
    <xf numFmtId="0" fontId="32" fillId="14" borderId="58" xfId="1" applyFont="1" applyFill="1" applyBorder="1" applyProtection="1">
      <alignment vertical="center"/>
      <protection hidden="1"/>
    </xf>
    <xf numFmtId="0" fontId="32" fillId="14" borderId="36" xfId="1" applyFont="1" applyFill="1" applyBorder="1" applyProtection="1">
      <alignment vertical="center"/>
      <protection hidden="1"/>
    </xf>
    <xf numFmtId="0" fontId="14" fillId="0" borderId="56" xfId="0" applyFont="1" applyBorder="1" applyAlignment="1" applyProtection="1">
      <alignment horizontal="distributed" vertical="center" wrapText="1"/>
      <protection hidden="1"/>
    </xf>
    <xf numFmtId="0" fontId="14" fillId="0" borderId="4" xfId="0" applyFont="1" applyBorder="1" applyAlignment="1" applyProtection="1">
      <alignment horizontal="distributed" vertical="center" wrapText="1"/>
      <protection hidden="1"/>
    </xf>
    <xf numFmtId="0" fontId="14" fillId="0" borderId="73" xfId="0" applyFont="1" applyBorder="1" applyAlignment="1" applyProtection="1">
      <alignment horizontal="distributed" vertical="center" wrapText="1"/>
      <protection hidden="1"/>
    </xf>
    <xf numFmtId="0" fontId="32" fillId="13" borderId="58" xfId="1" applyFont="1" applyFill="1" applyBorder="1" applyProtection="1">
      <alignment vertical="center"/>
      <protection hidden="1"/>
    </xf>
    <xf numFmtId="0" fontId="32" fillId="13" borderId="36" xfId="1" applyFont="1" applyFill="1" applyBorder="1" applyProtection="1">
      <alignment vertical="center"/>
      <protection hidden="1"/>
    </xf>
    <xf numFmtId="0" fontId="14" fillId="4" borderId="15" xfId="0" applyFont="1" applyFill="1" applyBorder="1" applyAlignment="1">
      <alignment horizontal="center" vertical="center"/>
    </xf>
    <xf numFmtId="0" fontId="14" fillId="2" borderId="161" xfId="0" applyFont="1" applyFill="1" applyBorder="1" applyAlignment="1">
      <alignment horizontal="center" vertical="center"/>
    </xf>
    <xf numFmtId="0" fontId="14" fillId="2" borderId="165" xfId="0" applyFont="1" applyFill="1" applyBorder="1" applyAlignment="1">
      <alignment horizontal="center" vertical="center"/>
    </xf>
    <xf numFmtId="0" fontId="14" fillId="4" borderId="1" xfId="0" applyFont="1" applyFill="1" applyBorder="1" applyAlignment="1">
      <alignment vertical="center" wrapText="1"/>
    </xf>
    <xf numFmtId="0" fontId="14" fillId="4" borderId="1" xfId="0" applyFont="1" applyFill="1" applyBorder="1">
      <alignment vertical="center"/>
    </xf>
    <xf numFmtId="0" fontId="14" fillId="0" borderId="2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93" xfId="0" applyFont="1" applyBorder="1" applyAlignment="1" applyProtection="1">
      <alignment horizontal="center" vertical="center" shrinkToFit="1"/>
      <protection hidden="1"/>
    </xf>
    <xf numFmtId="0" fontId="14" fillId="0" borderId="103" xfId="0" applyFont="1" applyBorder="1" applyAlignment="1" applyProtection="1">
      <alignment horizontal="center" vertical="center" shrinkToFit="1"/>
      <protection hidden="1"/>
    </xf>
    <xf numFmtId="0" fontId="14" fillId="0" borderId="32"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69" xfId="0" applyFont="1" applyBorder="1" applyAlignment="1">
      <alignment horizontal="center" vertical="center"/>
    </xf>
    <xf numFmtId="0" fontId="14" fillId="0" borderId="12" xfId="0" applyFont="1" applyBorder="1" applyAlignment="1" applyProtection="1">
      <alignment horizontal="center" vertical="center" wrapText="1"/>
      <protection hidden="1"/>
    </xf>
    <xf numFmtId="0" fontId="14" fillId="0" borderId="44" xfId="0" applyFont="1" applyBorder="1" applyAlignment="1" applyProtection="1">
      <alignment horizontal="center" vertical="center"/>
      <protection hidden="1"/>
    </xf>
    <xf numFmtId="0" fontId="14" fillId="0" borderId="68" xfId="0" applyFont="1" applyBorder="1" applyAlignment="1">
      <alignment horizontal="center" vertical="center"/>
    </xf>
    <xf numFmtId="0" fontId="14" fillId="0" borderId="12" xfId="0" applyFont="1" applyBorder="1" applyAlignment="1">
      <alignment horizontal="center" vertical="center" wrapText="1"/>
    </xf>
    <xf numFmtId="0" fontId="14" fillId="0" borderId="44" xfId="0" applyFont="1" applyBorder="1" applyAlignment="1">
      <alignment horizontal="center" vertical="center" wrapText="1"/>
    </xf>
    <xf numFmtId="0" fontId="14" fillId="4" borderId="7" xfId="0" applyFont="1" applyFill="1" applyBorder="1" applyAlignment="1" applyProtection="1">
      <alignment horizontal="center" vertical="center" wrapText="1"/>
      <protection hidden="1"/>
    </xf>
    <xf numFmtId="0" fontId="14" fillId="4" borderId="13" xfId="0" applyFont="1" applyFill="1" applyBorder="1" applyAlignment="1" applyProtection="1">
      <alignment horizontal="center" vertical="center" wrapText="1"/>
      <protection hidden="1"/>
    </xf>
    <xf numFmtId="0" fontId="14" fillId="4" borderId="45" xfId="0" applyFont="1" applyFill="1" applyBorder="1" applyAlignment="1" applyProtection="1">
      <alignment horizontal="center" vertical="center" wrapText="1"/>
      <protection hidden="1"/>
    </xf>
    <xf numFmtId="0" fontId="14" fillId="4" borderId="133" xfId="0" applyFont="1" applyFill="1" applyBorder="1" applyAlignment="1" applyProtection="1">
      <alignment horizontal="center" vertical="center" wrapText="1"/>
      <protection hidden="1"/>
    </xf>
    <xf numFmtId="0" fontId="14" fillId="0" borderId="44"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50" fillId="2" borderId="161" xfId="0" applyFont="1" applyFill="1" applyBorder="1" applyAlignment="1">
      <alignment horizontal="center" vertical="center"/>
    </xf>
    <xf numFmtId="0" fontId="50" fillId="2" borderId="163" xfId="0" applyFont="1" applyFill="1" applyBorder="1" applyAlignment="1">
      <alignment horizontal="center" vertical="center"/>
    </xf>
    <xf numFmtId="0" fontId="118" fillId="0" borderId="93" xfId="0" applyFont="1" applyBorder="1" applyAlignment="1" applyProtection="1">
      <alignment horizontal="center" vertical="center" wrapText="1"/>
      <protection hidden="1"/>
    </xf>
    <xf numFmtId="0" fontId="118" fillId="0" borderId="116" xfId="0" applyFont="1" applyBorder="1" applyAlignment="1" applyProtection="1">
      <alignment horizontal="center" vertical="center" wrapText="1"/>
      <protection hidden="1"/>
    </xf>
    <xf numFmtId="0" fontId="118" fillId="0" borderId="32" xfId="0" applyFont="1" applyBorder="1" applyAlignment="1">
      <alignment horizontal="center" vertical="center" wrapText="1"/>
    </xf>
    <xf numFmtId="0" fontId="118" fillId="0" borderId="68" xfId="0" applyFont="1" applyBorder="1" applyAlignment="1">
      <alignment horizontal="center" vertical="center" wrapText="1"/>
    </xf>
    <xf numFmtId="0" fontId="119" fillId="0" borderId="26" xfId="0" applyFont="1" applyBorder="1" applyAlignment="1">
      <alignment horizontal="center" vertical="center" wrapText="1"/>
    </xf>
    <xf numFmtId="0" fontId="119" fillId="0" borderId="31" xfId="0" applyFont="1" applyBorder="1" applyAlignment="1">
      <alignment horizontal="center" vertical="center" wrapText="1"/>
    </xf>
    <xf numFmtId="0" fontId="119" fillId="0" borderId="32" xfId="0" applyFont="1" applyBorder="1" applyAlignment="1">
      <alignment horizontal="center" vertical="center" wrapText="1"/>
    </xf>
    <xf numFmtId="0" fontId="119" fillId="0" borderId="68" xfId="0" applyFont="1" applyBorder="1" applyAlignment="1">
      <alignment horizontal="center" vertical="center" wrapText="1"/>
    </xf>
    <xf numFmtId="0" fontId="119" fillId="0" borderId="27" xfId="0" applyFont="1" applyBorder="1" applyAlignment="1">
      <alignment horizontal="center" vertical="center" wrapText="1"/>
    </xf>
    <xf numFmtId="0" fontId="119" fillId="0" borderId="62" xfId="0" applyFont="1" applyBorder="1" applyAlignment="1">
      <alignment horizontal="center" vertical="center" wrapText="1"/>
    </xf>
    <xf numFmtId="0" fontId="119" fillId="0" borderId="86" xfId="0" applyFont="1" applyBorder="1" applyAlignment="1">
      <alignment horizontal="center" vertical="center" wrapText="1"/>
    </xf>
    <xf numFmtId="0" fontId="119" fillId="0" borderId="7" xfId="0" applyFont="1" applyBorder="1" applyAlignment="1" applyProtection="1">
      <alignment horizontal="center" vertical="center" wrapText="1"/>
      <protection hidden="1"/>
    </xf>
    <xf numFmtId="0" fontId="119" fillId="0" borderId="45" xfId="0" applyFont="1" applyBorder="1" applyAlignment="1" applyProtection="1">
      <alignment horizontal="center" vertical="center"/>
      <protection hidden="1"/>
    </xf>
    <xf numFmtId="0" fontId="14" fillId="4" borderId="35" xfId="0" applyFont="1" applyFill="1" applyBorder="1" applyAlignment="1">
      <alignment vertical="center" wrapText="1"/>
    </xf>
    <xf numFmtId="0" fontId="14" fillId="4" borderId="35" xfId="0" applyFont="1" applyFill="1" applyBorder="1">
      <alignment vertical="center"/>
    </xf>
    <xf numFmtId="0" fontId="119" fillId="0" borderId="12" xfId="0" applyFont="1" applyBorder="1" applyAlignment="1" applyProtection="1">
      <alignment horizontal="center" vertical="center" wrapText="1"/>
      <protection hidden="1"/>
    </xf>
    <xf numFmtId="0" fontId="119" fillId="0" borderId="44" xfId="0" applyFont="1" applyBorder="1" applyAlignment="1" applyProtection="1">
      <alignment horizontal="center" vertical="center"/>
      <protection hidden="1"/>
    </xf>
    <xf numFmtId="0" fontId="14" fillId="4" borderId="37" xfId="0" applyFont="1" applyFill="1" applyBorder="1">
      <alignment vertical="center"/>
    </xf>
    <xf numFmtId="0" fontId="14" fillId="4" borderId="33" xfId="0" applyFont="1" applyFill="1" applyBorder="1">
      <alignment vertical="center"/>
    </xf>
    <xf numFmtId="0" fontId="4" fillId="0" borderId="36"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24" fillId="0" borderId="32" xfId="0" applyFont="1" applyBorder="1" applyAlignment="1">
      <alignment horizontal="center" vertical="center" wrapText="1"/>
    </xf>
    <xf numFmtId="0" fontId="24" fillId="0" borderId="68" xfId="0" applyFont="1" applyBorder="1" applyAlignment="1">
      <alignment horizontal="center" vertical="center"/>
    </xf>
    <xf numFmtId="0" fontId="24" fillId="0" borderId="94" xfId="0" applyFont="1" applyBorder="1" applyAlignment="1">
      <alignment horizontal="center" vertical="center" wrapText="1"/>
    </xf>
    <xf numFmtId="0" fontId="24" fillId="0" borderId="69" xfId="0" applyFont="1" applyBorder="1" applyAlignment="1">
      <alignment horizontal="center" vertical="center"/>
    </xf>
    <xf numFmtId="0" fontId="24" fillId="4" borderId="7" xfId="0" applyFont="1" applyFill="1" applyBorder="1" applyAlignment="1" applyProtection="1">
      <alignment horizontal="center" vertical="center" wrapText="1"/>
      <protection hidden="1"/>
    </xf>
    <xf numFmtId="0" fontId="24" fillId="4" borderId="13" xfId="0" applyFont="1" applyFill="1" applyBorder="1" applyAlignment="1" applyProtection="1">
      <alignment horizontal="center" vertical="center" wrapText="1"/>
      <protection hidden="1"/>
    </xf>
    <xf numFmtId="0" fontId="24" fillId="4" borderId="45" xfId="0" applyFont="1" applyFill="1" applyBorder="1" applyAlignment="1" applyProtection="1">
      <alignment horizontal="center" vertical="center" wrapText="1"/>
      <protection hidden="1"/>
    </xf>
    <xf numFmtId="0" fontId="24" fillId="4" borderId="133" xfId="0" applyFont="1" applyFill="1" applyBorder="1" applyAlignment="1" applyProtection="1">
      <alignment horizontal="center" vertical="center" wrapText="1"/>
      <protection hidden="1"/>
    </xf>
    <xf numFmtId="0" fontId="50" fillId="4" borderId="15" xfId="0" applyFont="1" applyFill="1" applyBorder="1" applyAlignment="1">
      <alignment horizontal="center" vertical="center"/>
    </xf>
    <xf numFmtId="201" fontId="14" fillId="0" borderId="94" xfId="0" applyNumberFormat="1" applyFont="1" applyBorder="1" applyAlignment="1">
      <alignment horizontal="center" vertical="center" wrapText="1"/>
    </xf>
    <xf numFmtId="201" fontId="14" fillId="0" borderId="69" xfId="0" applyNumberFormat="1" applyFont="1" applyBorder="1" applyAlignment="1">
      <alignment horizontal="center" vertical="center"/>
    </xf>
    <xf numFmtId="0" fontId="14" fillId="4" borderId="37"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0" borderId="116" xfId="0" applyFont="1" applyBorder="1" applyAlignment="1" applyProtection="1">
      <alignment horizontal="center" vertical="center" wrapText="1"/>
      <protection hidden="1"/>
    </xf>
    <xf numFmtId="0" fontId="14" fillId="0" borderId="62"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4" fillId="4" borderId="37" xfId="0" applyFont="1" applyFill="1" applyBorder="1" applyAlignment="1">
      <alignment vertical="center" wrapText="1"/>
    </xf>
    <xf numFmtId="0" fontId="14" fillId="4" borderId="33" xfId="0" applyFont="1" applyFill="1" applyBorder="1" applyAlignment="1">
      <alignment vertical="center" wrapText="1"/>
    </xf>
    <xf numFmtId="0" fontId="14" fillId="0" borderId="45" xfId="0" applyFont="1" applyBorder="1" applyAlignment="1" applyProtection="1">
      <alignment horizontal="center" vertical="center"/>
      <protection hidden="1"/>
    </xf>
    <xf numFmtId="0" fontId="24" fillId="2" borderId="7" xfId="0" applyFont="1" applyFill="1" applyBorder="1" applyAlignment="1" applyProtection="1">
      <alignment horizontal="center" vertical="center" wrapText="1"/>
      <protection hidden="1"/>
    </xf>
    <xf numFmtId="0" fontId="24" fillId="2" borderId="13" xfId="0" applyFont="1" applyFill="1" applyBorder="1" applyAlignment="1" applyProtection="1">
      <alignment horizontal="center" vertical="center" wrapText="1"/>
      <protection hidden="1"/>
    </xf>
    <xf numFmtId="0" fontId="24" fillId="2" borderId="45" xfId="0" applyFont="1" applyFill="1" applyBorder="1" applyAlignment="1" applyProtection="1">
      <alignment horizontal="center" vertical="center" wrapText="1"/>
      <protection hidden="1"/>
    </xf>
    <xf numFmtId="0" fontId="24" fillId="2" borderId="133" xfId="0" applyFont="1" applyFill="1" applyBorder="1" applyAlignment="1" applyProtection="1">
      <alignment horizontal="center" vertical="center" wrapText="1"/>
      <protection hidden="1"/>
    </xf>
    <xf numFmtId="0" fontId="14" fillId="2" borderId="1" xfId="0" applyFont="1" applyFill="1" applyBorder="1">
      <alignment vertical="center"/>
    </xf>
    <xf numFmtId="0" fontId="21" fillId="4" borderId="1" xfId="0" applyFont="1" applyFill="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35" xfId="0" applyFont="1" applyBorder="1" applyAlignment="1" applyProtection="1">
      <alignment horizontal="center" vertical="center" wrapText="1"/>
      <protection hidden="1"/>
    </xf>
    <xf numFmtId="0" fontId="21" fillId="0" borderId="43" xfId="0" applyFont="1" applyBorder="1" applyAlignment="1" applyProtection="1">
      <alignment horizontal="center" vertical="center" wrapText="1"/>
      <protection hidden="1"/>
    </xf>
    <xf numFmtId="0" fontId="21" fillId="4" borderId="12" xfId="0" applyFont="1" applyFill="1" applyBorder="1" applyAlignment="1" applyProtection="1">
      <alignment horizontal="center" vertical="center" wrapText="1"/>
      <protection hidden="1"/>
    </xf>
    <xf numFmtId="0" fontId="21" fillId="4" borderId="35" xfId="0" applyFont="1" applyFill="1" applyBorder="1" applyAlignment="1" applyProtection="1">
      <alignment horizontal="center" vertical="center" wrapText="1"/>
      <protection hidden="1"/>
    </xf>
    <xf numFmtId="0" fontId="21" fillId="4" borderId="43" xfId="0" applyFont="1" applyFill="1" applyBorder="1" applyAlignment="1" applyProtection="1">
      <alignment horizontal="center" vertical="center" wrapText="1"/>
      <protection hidden="1"/>
    </xf>
    <xf numFmtId="0" fontId="21" fillId="0" borderId="127" xfId="0" applyFont="1" applyBorder="1" applyAlignment="1" applyProtection="1">
      <alignment horizontal="center" vertical="center" wrapText="1"/>
      <protection hidden="1"/>
    </xf>
    <xf numFmtId="0" fontId="21" fillId="0" borderId="97" xfId="0" applyFont="1" applyBorder="1" applyAlignment="1" applyProtection="1">
      <alignment horizontal="center" vertical="center" wrapText="1"/>
      <protection hidden="1"/>
    </xf>
    <xf numFmtId="0" fontId="21" fillId="0" borderId="114"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textRotation="255"/>
      <protection hidden="1"/>
    </xf>
    <xf numFmtId="0" fontId="21" fillId="0" borderId="18" xfId="0" applyFont="1" applyBorder="1" applyAlignment="1" applyProtection="1">
      <alignment horizontal="center" vertical="center" textRotation="255"/>
      <protection hidden="1"/>
    </xf>
    <xf numFmtId="0" fontId="14" fillId="0" borderId="42" xfId="0" applyFont="1" applyBorder="1" applyAlignment="1" applyProtection="1">
      <alignment horizontal="distributed" vertical="center" indent="1"/>
      <protection hidden="1"/>
    </xf>
    <xf numFmtId="0" fontId="14" fillId="0" borderId="30" xfId="0" applyFont="1" applyBorder="1" applyAlignment="1" applyProtection="1">
      <alignment horizontal="distributed" vertical="center" indent="1"/>
      <protection hidden="1"/>
    </xf>
    <xf numFmtId="0" fontId="14" fillId="0" borderId="12" xfId="0" applyFont="1" applyBorder="1" applyAlignment="1" applyProtection="1">
      <alignment horizontal="distributed" vertical="center" wrapText="1" indent="1"/>
      <protection hidden="1"/>
    </xf>
    <xf numFmtId="0" fontId="14" fillId="0" borderId="44" xfId="0" applyFont="1" applyBorder="1" applyAlignment="1" applyProtection="1">
      <alignment horizontal="distributed" vertical="center" wrapText="1" indent="1"/>
      <protection hidden="1"/>
    </xf>
    <xf numFmtId="0" fontId="14" fillId="5" borderId="62" xfId="0" applyFont="1" applyFill="1" applyBorder="1" applyAlignment="1" applyProtection="1">
      <alignment horizontal="distributed" vertical="center" indent="1"/>
      <protection locked="0" hidden="1"/>
    </xf>
    <xf numFmtId="0" fontId="14" fillId="5" borderId="86" xfId="0" applyFont="1" applyFill="1" applyBorder="1" applyAlignment="1" applyProtection="1">
      <alignment horizontal="distributed" vertical="center" indent="1"/>
      <protection locked="0" hidden="1"/>
    </xf>
    <xf numFmtId="0" fontId="14" fillId="0" borderId="24" xfId="0" applyFont="1" applyBorder="1" applyAlignment="1" applyProtection="1">
      <alignment horizontal="distributed" vertical="center" wrapText="1" indent="1"/>
      <protection hidden="1"/>
    </xf>
    <xf numFmtId="0" fontId="14" fillId="0" borderId="50" xfId="1" applyFont="1" applyBorder="1" applyProtection="1">
      <alignment vertical="center"/>
      <protection hidden="1"/>
    </xf>
    <xf numFmtId="0" fontId="14" fillId="0" borderId="35" xfId="1" applyFont="1" applyBorder="1" applyProtection="1">
      <alignment vertical="center"/>
      <protection hidden="1"/>
    </xf>
    <xf numFmtId="0" fontId="14" fillId="0" borderId="44" xfId="1" applyFont="1" applyBorder="1" applyProtection="1">
      <alignment vertical="center"/>
      <protection hidden="1"/>
    </xf>
    <xf numFmtId="0" fontId="14" fillId="0" borderId="3" xfId="1" applyFont="1" applyBorder="1" applyAlignment="1" applyProtection="1">
      <alignment horizontal="distributed" vertical="center" indent="1"/>
      <protection hidden="1"/>
    </xf>
    <xf numFmtId="0" fontId="14" fillId="0" borderId="53" xfId="1" applyFont="1" applyBorder="1" applyAlignment="1" applyProtection="1">
      <alignment horizontal="distributed" vertical="center" indent="1"/>
      <protection hidden="1"/>
    </xf>
    <xf numFmtId="0" fontId="21" fillId="0" borderId="93" xfId="0" applyFont="1" applyBorder="1" applyAlignment="1" applyProtection="1">
      <alignment horizontal="center" vertical="center"/>
      <protection hidden="1"/>
    </xf>
    <xf numFmtId="0" fontId="21" fillId="0" borderId="95" xfId="0" applyFont="1" applyBorder="1" applyAlignment="1" applyProtection="1">
      <alignment horizontal="center" vertical="center"/>
      <protection hidden="1"/>
    </xf>
    <xf numFmtId="0" fontId="21" fillId="0" borderId="98" xfId="0" applyFont="1" applyBorder="1" applyAlignment="1" applyProtection="1">
      <alignment horizontal="center" vertical="center"/>
      <protection hidden="1"/>
    </xf>
    <xf numFmtId="0" fontId="22" fillId="0" borderId="32"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2" fillId="0" borderId="24" xfId="0" applyFont="1" applyBorder="1" applyAlignment="1" applyProtection="1">
      <alignment horizontal="center" vertical="center" wrapText="1"/>
      <protection hidden="1"/>
    </xf>
    <xf numFmtId="0" fontId="21" fillId="0" borderId="32" xfId="0" applyFont="1" applyBorder="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21" fillId="0" borderId="24"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shrinkToFit="1"/>
      <protection hidden="1"/>
    </xf>
    <xf numFmtId="0" fontId="14" fillId="0" borderId="3" xfId="0"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protection hidden="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5" borderId="2" xfId="0" applyFont="1" applyFill="1" applyBorder="1" applyAlignment="1" applyProtection="1">
      <alignment horizontal="distributed" vertical="center" indent="1"/>
      <protection locked="0" hidden="1"/>
    </xf>
    <xf numFmtId="0" fontId="14" fillId="5" borderId="3" xfId="0" applyFont="1" applyFill="1" applyBorder="1" applyAlignment="1" applyProtection="1">
      <alignment horizontal="distributed" vertical="center" indent="1"/>
      <protection locked="0" hidden="1"/>
    </xf>
    <xf numFmtId="0" fontId="14" fillId="0" borderId="0" xfId="0" applyFont="1" applyAlignment="1" applyProtection="1">
      <alignment horizontal="right" vertical="center"/>
      <protection hidden="1"/>
    </xf>
    <xf numFmtId="0" fontId="14" fillId="5" borderId="2" xfId="1" applyFont="1" applyFill="1" applyBorder="1" applyAlignment="1" applyProtection="1">
      <alignment horizontal="distributed" vertical="center" indent="1"/>
      <protection locked="0" hidden="1"/>
    </xf>
    <xf numFmtId="0" fontId="14" fillId="5" borderId="3" xfId="1" applyFont="1" applyFill="1" applyBorder="1" applyAlignment="1" applyProtection="1">
      <alignment horizontal="distributed" vertical="center" indent="1"/>
      <protection locked="0" hidden="1"/>
    </xf>
    <xf numFmtId="0" fontId="14" fillId="5" borderId="62" xfId="1" applyFont="1" applyFill="1" applyBorder="1" applyAlignment="1" applyProtection="1">
      <alignment horizontal="distributed" vertical="center" indent="1"/>
      <protection locked="0" hidden="1"/>
    </xf>
    <xf numFmtId="0" fontId="14" fillId="5" borderId="86" xfId="1" applyFont="1" applyFill="1" applyBorder="1" applyAlignment="1" applyProtection="1">
      <alignment horizontal="distributed" vertical="center" indent="1"/>
      <protection locked="0" hidden="1"/>
    </xf>
    <xf numFmtId="0" fontId="14" fillId="5" borderId="24" xfId="0" applyFont="1" applyFill="1" applyBorder="1" applyAlignment="1" applyProtection="1">
      <alignment horizontal="distributed" vertical="center" indent="1"/>
      <protection locked="0" hidden="1"/>
    </xf>
    <xf numFmtId="0" fontId="117" fillId="13" borderId="55" xfId="0" applyFont="1" applyFill="1" applyBorder="1" applyAlignment="1" applyProtection="1">
      <alignment horizontal="distributed" vertical="center" indent="1"/>
      <protection hidden="1"/>
    </xf>
    <xf numFmtId="0" fontId="117" fillId="0" borderId="50" xfId="1" applyFont="1" applyBorder="1" applyProtection="1">
      <alignment vertical="center"/>
      <protection hidden="1"/>
    </xf>
    <xf numFmtId="0" fontId="117" fillId="0" borderId="35" xfId="1" applyFont="1" applyBorder="1" applyProtection="1">
      <alignment vertical="center"/>
      <protection hidden="1"/>
    </xf>
    <xf numFmtId="0" fontId="117" fillId="0" borderId="44" xfId="1" applyFont="1" applyBorder="1" applyProtection="1">
      <alignment vertical="center"/>
      <protection hidden="1"/>
    </xf>
    <xf numFmtId="0" fontId="14" fillId="0" borderId="35"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4" borderId="1" xfId="0" applyFont="1" applyFill="1" applyBorder="1" applyProtection="1">
      <alignment vertical="center"/>
      <protection hidden="1"/>
    </xf>
    <xf numFmtId="0" fontId="17" fillId="4" borderId="7" xfId="0" applyFont="1" applyFill="1" applyBorder="1" applyAlignment="1" applyProtection="1">
      <alignment horizontal="center" vertical="center" wrapText="1"/>
      <protection hidden="1"/>
    </xf>
    <xf numFmtId="0" fontId="17" fillId="4" borderId="13" xfId="0" applyFont="1" applyFill="1" applyBorder="1" applyAlignment="1" applyProtection="1">
      <alignment horizontal="center" vertical="center" wrapText="1"/>
      <protection hidden="1"/>
    </xf>
    <xf numFmtId="0" fontId="17" fillId="4" borderId="15" xfId="0" applyFont="1" applyFill="1" applyBorder="1" applyAlignment="1" applyProtection="1">
      <alignment horizontal="center" vertical="center" wrapText="1"/>
      <protection hidden="1"/>
    </xf>
    <xf numFmtId="0" fontId="17" fillId="4" borderId="88" xfId="0" applyFont="1" applyFill="1" applyBorder="1" applyAlignment="1" applyProtection="1">
      <alignment horizontal="center" vertical="center" wrapText="1"/>
      <protection hidden="1"/>
    </xf>
    <xf numFmtId="0" fontId="17" fillId="4" borderId="19" xfId="0" applyFont="1" applyFill="1" applyBorder="1" applyAlignment="1" applyProtection="1">
      <alignment horizontal="center" vertical="center" wrapText="1"/>
      <protection hidden="1"/>
    </xf>
    <xf numFmtId="0" fontId="17" fillId="4" borderId="77" xfId="0" applyFont="1" applyFill="1" applyBorder="1" applyAlignment="1" applyProtection="1">
      <alignment horizontal="center" vertical="center" wrapText="1"/>
      <protection hidden="1"/>
    </xf>
    <xf numFmtId="0" fontId="14" fillId="0" borderId="18" xfId="0" applyFont="1" applyBorder="1" applyAlignment="1" applyProtection="1">
      <alignment horizontal="distributed" vertical="center" indent="1"/>
      <protection hidden="1"/>
    </xf>
    <xf numFmtId="0" fontId="14" fillId="0" borderId="43" xfId="0" applyFont="1" applyBorder="1" applyAlignment="1" applyProtection="1">
      <alignment horizontal="distributed" vertical="center" indent="1"/>
      <protection hidden="1"/>
    </xf>
    <xf numFmtId="0" fontId="14" fillId="0" borderId="101" xfId="0" applyFont="1" applyBorder="1" applyAlignment="1" applyProtection="1">
      <alignment horizontal="center" vertical="center"/>
      <protection hidden="1"/>
    </xf>
    <xf numFmtId="0" fontId="14" fillId="5" borderId="1" xfId="0" applyFont="1" applyFill="1" applyBorder="1" applyAlignment="1" applyProtection="1">
      <alignment horizontal="center" vertical="center" shrinkToFit="1"/>
      <protection locked="0"/>
    </xf>
    <xf numFmtId="0" fontId="14" fillId="0" borderId="60" xfId="0" applyFont="1" applyBorder="1" applyAlignment="1" applyProtection="1">
      <alignment horizontal="distributed" vertical="center" shrinkToFit="1"/>
      <protection hidden="1"/>
    </xf>
    <xf numFmtId="0" fontId="14" fillId="0" borderId="35" xfId="0" applyFont="1" applyBorder="1" applyAlignment="1" applyProtection="1">
      <alignment horizontal="distributed" vertical="center" indent="1"/>
      <protection hidden="1"/>
    </xf>
    <xf numFmtId="0" fontId="14" fillId="5" borderId="1" xfId="0" applyFont="1" applyFill="1" applyBorder="1" applyAlignment="1" applyProtection="1">
      <alignment horizontal="left" vertical="center" indent="1" shrinkToFit="1"/>
      <protection locked="0"/>
    </xf>
    <xf numFmtId="0" fontId="14" fillId="0" borderId="56" xfId="0" applyFont="1" applyBorder="1" applyAlignment="1" applyProtection="1">
      <alignment horizontal="distributed" vertical="center" indent="1"/>
      <protection hidden="1"/>
    </xf>
    <xf numFmtId="0" fontId="14" fillId="0" borderId="84" xfId="0" applyFont="1" applyBorder="1" applyAlignment="1" applyProtection="1">
      <alignment horizontal="center" vertical="center"/>
      <protection hidden="1"/>
    </xf>
    <xf numFmtId="0" fontId="14" fillId="0" borderId="115" xfId="0" applyFont="1" applyBorder="1" applyAlignment="1" applyProtection="1">
      <alignment horizontal="center" vertical="center" textRotation="255"/>
      <protection hidden="1"/>
    </xf>
    <xf numFmtId="0" fontId="14" fillId="0" borderId="116" xfId="0" applyFont="1" applyBorder="1" applyAlignment="1" applyProtection="1">
      <alignment horizontal="center" vertical="center" textRotation="255"/>
      <protection hidden="1"/>
    </xf>
    <xf numFmtId="0" fontId="14" fillId="0" borderId="67" xfId="0" applyFont="1" applyBorder="1" applyAlignment="1" applyProtection="1">
      <alignment horizontal="center" vertical="center"/>
      <protection hidden="1"/>
    </xf>
    <xf numFmtId="0" fontId="14" fillId="0" borderId="86" xfId="0" applyFont="1" applyBorder="1" applyAlignment="1" applyProtection="1">
      <alignment horizontal="distributed" vertical="center" indent="1"/>
      <protection hidden="1"/>
    </xf>
    <xf numFmtId="0" fontId="14" fillId="0" borderId="94" xfId="0" applyFont="1" applyBorder="1" applyAlignment="1" applyProtection="1">
      <alignment horizontal="center" vertical="center" wrapText="1"/>
      <protection hidden="1"/>
    </xf>
    <xf numFmtId="0" fontId="14" fillId="0" borderId="57"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textRotation="255"/>
      <protection hidden="1"/>
    </xf>
    <xf numFmtId="0" fontId="14" fillId="0" borderId="14" xfId="0" applyFont="1" applyBorder="1" applyAlignment="1" applyProtection="1">
      <alignment horizontal="center" vertical="center" textRotation="255"/>
      <protection hidden="1"/>
    </xf>
    <xf numFmtId="0" fontId="14" fillId="0" borderId="93" xfId="0" applyFont="1" applyBorder="1" applyAlignment="1" applyProtection="1">
      <alignment horizontal="center" vertical="center"/>
      <protection hidden="1"/>
    </xf>
    <xf numFmtId="0" fontId="14" fillId="0" borderId="95" xfId="0" applyFont="1" applyBorder="1" applyAlignment="1" applyProtection="1">
      <alignment horizontal="center" vertical="center"/>
      <protection hidden="1"/>
    </xf>
    <xf numFmtId="0" fontId="14" fillId="0" borderId="98" xfId="0" applyFont="1" applyBorder="1" applyAlignment="1" applyProtection="1">
      <alignment horizontal="center" vertical="center"/>
      <protection hidden="1"/>
    </xf>
    <xf numFmtId="0" fontId="14" fillId="0" borderId="32" xfId="0" applyFont="1" applyBorder="1" applyAlignment="1" applyProtection="1">
      <alignment horizontal="center" vertical="center" wrapText="1"/>
      <protection hidden="1"/>
    </xf>
    <xf numFmtId="0" fontId="14" fillId="0" borderId="1"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14" fillId="0" borderId="36" xfId="0" applyFont="1" applyBorder="1" applyAlignment="1" applyProtection="1">
      <alignment horizontal="distributed" vertical="center" wrapText="1" indent="1"/>
      <protection hidden="1"/>
    </xf>
    <xf numFmtId="0" fontId="14" fillId="0" borderId="3" xfId="0" applyFont="1" applyBorder="1" applyAlignment="1" applyProtection="1">
      <alignment horizontal="distributed" vertical="center" wrapText="1" indent="1"/>
      <protection hidden="1"/>
    </xf>
    <xf numFmtId="0" fontId="14" fillId="0" borderId="19" xfId="0" applyFont="1" applyBorder="1" applyAlignment="1" applyProtection="1">
      <alignment horizontal="distributed" vertical="center" indent="1"/>
      <protection hidden="1"/>
    </xf>
    <xf numFmtId="0" fontId="19" fillId="0" borderId="37" xfId="0" applyFont="1" applyBorder="1" applyAlignment="1" applyProtection="1">
      <alignment horizontal="distributed" vertical="center" wrapText="1" indent="1"/>
      <protection hidden="1"/>
    </xf>
    <xf numFmtId="0" fontId="19" fillId="0" borderId="35" xfId="0" applyFont="1" applyBorder="1" applyAlignment="1" applyProtection="1">
      <alignment horizontal="distributed" vertical="center" wrapText="1" indent="1"/>
      <protection hidden="1"/>
    </xf>
    <xf numFmtId="0" fontId="19" fillId="0" borderId="33" xfId="0" applyFont="1" applyBorder="1" applyAlignment="1" applyProtection="1">
      <alignment horizontal="distributed" vertical="center" wrapText="1" indent="1"/>
      <protection hidden="1"/>
    </xf>
    <xf numFmtId="0" fontId="14" fillId="0" borderId="18" xfId="0" applyFont="1" applyBorder="1" applyAlignment="1" applyProtection="1">
      <alignment horizontal="center" vertical="center" textRotation="255"/>
      <protection hidden="1"/>
    </xf>
    <xf numFmtId="56" fontId="14" fillId="0" borderId="33" xfId="0" applyNumberFormat="1" applyFont="1" applyBorder="1" applyAlignment="1" applyProtection="1">
      <alignment horizontal="distributed" vertical="center" wrapText="1" indent="1"/>
      <protection hidden="1"/>
    </xf>
    <xf numFmtId="56" fontId="14" fillId="0" borderId="1" xfId="0" applyNumberFormat="1" applyFont="1" applyBorder="1" applyAlignment="1" applyProtection="1">
      <alignment horizontal="distributed" vertical="center" wrapText="1" indent="1"/>
      <protection hidden="1"/>
    </xf>
    <xf numFmtId="0" fontId="24" fillId="0" borderId="1" xfId="0" applyFont="1" applyBorder="1" applyAlignment="1" applyProtection="1">
      <alignment horizontal="distributed" vertical="center" wrapText="1" indent="1"/>
      <protection hidden="1"/>
    </xf>
    <xf numFmtId="0" fontId="14" fillId="0" borderId="2" xfId="0" applyFont="1" applyBorder="1" applyAlignment="1" applyProtection="1">
      <alignment horizontal="left" vertical="center" shrinkToFit="1"/>
      <protection hidden="1"/>
    </xf>
    <xf numFmtId="0" fontId="14" fillId="0" borderId="3" xfId="0" applyFont="1" applyBorder="1" applyAlignment="1" applyProtection="1">
      <alignment horizontal="left" vertical="center" shrinkToFit="1"/>
      <protection hidden="1"/>
    </xf>
    <xf numFmtId="0" fontId="14" fillId="0" borderId="74" xfId="1" applyFont="1" applyBorder="1" applyAlignment="1" applyProtection="1">
      <alignment horizontal="distributed" vertical="center" indent="1"/>
      <protection hidden="1"/>
    </xf>
    <xf numFmtId="0" fontId="14" fillId="0" borderId="75" xfId="1" applyFont="1" applyBorder="1" applyAlignment="1" applyProtection="1">
      <alignment horizontal="distributed" vertical="center" indent="1"/>
      <protection hidden="1"/>
    </xf>
    <xf numFmtId="0" fontId="14" fillId="0" borderId="76" xfId="1" applyFont="1" applyBorder="1" applyAlignment="1" applyProtection="1">
      <alignment horizontal="distributed" vertical="center" indent="1"/>
      <protection hidden="1"/>
    </xf>
    <xf numFmtId="188" fontId="16" fillId="0" borderId="110" xfId="0" applyNumberFormat="1" applyFont="1" applyBorder="1" applyAlignment="1" applyProtection="1">
      <alignment horizontal="right" vertical="center" shrinkToFit="1"/>
      <protection hidden="1"/>
    </xf>
    <xf numFmtId="188" fontId="16" fillId="0" borderId="105" xfId="1" applyNumberFormat="1" applyFont="1" applyBorder="1" applyAlignment="1" applyProtection="1">
      <alignment horizontal="right" vertical="center" shrinkToFit="1"/>
      <protection hidden="1"/>
    </xf>
    <xf numFmtId="0" fontId="14" fillId="0" borderId="44" xfId="1" applyFont="1" applyBorder="1" applyAlignment="1" applyProtection="1">
      <alignment vertical="center" textRotation="255"/>
      <protection hidden="1"/>
    </xf>
    <xf numFmtId="188" fontId="16" fillId="0" borderId="65" xfId="2" applyNumberFormat="1" applyFont="1" applyFill="1" applyBorder="1" applyAlignment="1" applyProtection="1">
      <alignment horizontal="right" vertical="center" shrinkToFit="1"/>
      <protection hidden="1"/>
    </xf>
    <xf numFmtId="188" fontId="16" fillId="0" borderId="66" xfId="1" applyNumberFormat="1" applyFont="1" applyBorder="1" applyAlignment="1" applyProtection="1">
      <alignment horizontal="right" vertical="center" shrinkToFit="1"/>
      <protection hidden="1"/>
    </xf>
    <xf numFmtId="188" fontId="14" fillId="0" borderId="65" xfId="2" applyNumberFormat="1" applyFont="1" applyFill="1" applyBorder="1" applyAlignment="1" applyProtection="1">
      <alignment horizontal="right" vertical="center" shrinkToFit="1"/>
      <protection hidden="1"/>
    </xf>
    <xf numFmtId="188" fontId="14" fillId="0" borderId="66" xfId="2" applyNumberFormat="1" applyFont="1" applyFill="1" applyBorder="1" applyAlignment="1" applyProtection="1">
      <alignment horizontal="right" vertical="center" shrinkToFit="1"/>
      <protection hidden="1"/>
    </xf>
    <xf numFmtId="0" fontId="14" fillId="0" borderId="56" xfId="0" applyFont="1" applyBorder="1" applyAlignment="1" applyProtection="1">
      <alignment horizontal="distributed" vertical="center" wrapText="1" indent="1"/>
      <protection hidden="1"/>
    </xf>
    <xf numFmtId="0" fontId="14" fillId="0" borderId="4" xfId="0" applyFont="1" applyBorder="1" applyAlignment="1" applyProtection="1">
      <alignment horizontal="distributed" vertical="center" wrapText="1" indent="1"/>
      <protection hidden="1"/>
    </xf>
    <xf numFmtId="0" fontId="14" fillId="0" borderId="73" xfId="0" applyFont="1" applyBorder="1" applyAlignment="1" applyProtection="1">
      <alignment horizontal="distributed" vertical="center" wrapText="1" indent="1"/>
      <protection hidden="1"/>
    </xf>
    <xf numFmtId="0" fontId="14" fillId="0" borderId="37" xfId="0" applyFont="1" applyBorder="1" applyAlignment="1" applyProtection="1">
      <alignment horizontal="distributed" vertical="center" indent="3"/>
      <protection hidden="1"/>
    </xf>
    <xf numFmtId="0" fontId="14" fillId="0" borderId="35" xfId="0" applyFont="1" applyBorder="1" applyAlignment="1" applyProtection="1">
      <alignment horizontal="distributed" vertical="center" indent="3"/>
      <protection hidden="1"/>
    </xf>
    <xf numFmtId="0" fontId="14" fillId="0" borderId="33" xfId="0" applyFont="1" applyBorder="1" applyAlignment="1" applyProtection="1">
      <alignment horizontal="distributed" vertical="center" indent="3"/>
      <protection hidden="1"/>
    </xf>
    <xf numFmtId="0" fontId="0" fillId="0" borderId="85" xfId="0" applyBorder="1">
      <alignment vertical="center"/>
    </xf>
    <xf numFmtId="0" fontId="0" fillId="0" borderId="97" xfId="0" applyBorder="1">
      <alignment vertical="center"/>
    </xf>
    <xf numFmtId="0" fontId="0" fillId="0" borderId="112" xfId="0" applyBorder="1">
      <alignment vertical="center"/>
    </xf>
    <xf numFmtId="0" fontId="0" fillId="9" borderId="93" xfId="0" applyFill="1" applyBorder="1" applyAlignment="1">
      <alignment horizontal="center" vertical="center"/>
    </xf>
    <xf numFmtId="0" fontId="0" fillId="9" borderId="32" xfId="0" applyFill="1" applyBorder="1" applyAlignment="1">
      <alignment horizontal="center" vertical="center"/>
    </xf>
    <xf numFmtId="0" fontId="0" fillId="9" borderId="94" xfId="0" applyFill="1" applyBorder="1" applyAlignment="1">
      <alignment horizontal="center" vertical="center"/>
    </xf>
    <xf numFmtId="0" fontId="0" fillId="6" borderId="10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9" borderId="95" xfId="0" applyFill="1" applyBorder="1" applyAlignment="1">
      <alignment horizontal="center" vertical="center"/>
    </xf>
    <xf numFmtId="0" fontId="0" fillId="9" borderId="1" xfId="0" applyFill="1" applyBorder="1" applyAlignment="1">
      <alignment horizontal="center" vertical="center"/>
    </xf>
    <xf numFmtId="0" fontId="0" fillId="9" borderId="57" xfId="0" applyFill="1" applyBorder="1" applyAlignment="1">
      <alignment horizontal="center" vertical="center"/>
    </xf>
    <xf numFmtId="0" fontId="0" fillId="6" borderId="1" xfId="0" applyFill="1" applyBorder="1" applyAlignment="1">
      <alignment horizontal="center" vertical="center"/>
    </xf>
    <xf numFmtId="0" fontId="0" fillId="6" borderId="57" xfId="0" applyFill="1" applyBorder="1" applyAlignment="1">
      <alignment horizontal="center" vertical="center"/>
    </xf>
    <xf numFmtId="0" fontId="0" fillId="7" borderId="1" xfId="0" applyFill="1" applyBorder="1" applyAlignment="1">
      <alignment vertical="center" wrapText="1"/>
    </xf>
    <xf numFmtId="0" fontId="0" fillId="7" borderId="1" xfId="0" applyFill="1" applyBorder="1">
      <alignment vertical="center"/>
    </xf>
    <xf numFmtId="0" fontId="46" fillId="0" borderId="0" xfId="0" applyFont="1" applyAlignment="1">
      <alignment vertical="center" wrapText="1"/>
    </xf>
    <xf numFmtId="0" fontId="46" fillId="0" borderId="88" xfId="0" applyFont="1" applyBorder="1" applyAlignment="1">
      <alignment vertical="center" wrapText="1"/>
    </xf>
    <xf numFmtId="0" fontId="0" fillId="2" borderId="37" xfId="0" applyFill="1" applyBorder="1">
      <alignment vertical="center"/>
    </xf>
    <xf numFmtId="0" fontId="0" fillId="2" borderId="33" xfId="0" applyFill="1" applyBorder="1">
      <alignment vertical="center"/>
    </xf>
    <xf numFmtId="0" fontId="0" fillId="2" borderId="1" xfId="0" applyFill="1" applyBorder="1">
      <alignment vertical="center"/>
    </xf>
    <xf numFmtId="0" fontId="0" fillId="2" borderId="1" xfId="0" applyFill="1" applyBorder="1" applyAlignment="1">
      <alignment vertical="center" wrapText="1"/>
    </xf>
    <xf numFmtId="0" fontId="0" fillId="2" borderId="2" xfId="0" applyFill="1" applyBorder="1" applyAlignment="1">
      <alignment horizontal="center" vertical="center"/>
    </xf>
    <xf numFmtId="0" fontId="0" fillId="2" borderId="36" xfId="0" applyFill="1" applyBorder="1" applyAlignment="1">
      <alignment horizontal="center" vertical="center"/>
    </xf>
    <xf numFmtId="0" fontId="0" fillId="7" borderId="1" xfId="0" applyFill="1" applyBorder="1" applyAlignment="1">
      <alignment horizontal="center" vertical="center"/>
    </xf>
    <xf numFmtId="0" fontId="0" fillId="2" borderId="37"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horizontal="center" vertical="center"/>
    </xf>
  </cellXfs>
  <cellStyles count="16">
    <cellStyle name="桁区切り" xfId="6" builtinId="6"/>
    <cellStyle name="桁区切り 2" xfId="2" xr:uid="{00000000-0005-0000-0000-000002000000}"/>
    <cellStyle name="桁区切り 2 2" xfId="5" xr:uid="{00000000-0005-0000-0000-000003000000}"/>
    <cellStyle name="桁区切り 2 3" xfId="10" xr:uid="{00000000-0005-0000-0000-000004000000}"/>
    <cellStyle name="桁区切り 3" xfId="4" xr:uid="{00000000-0005-0000-0000-000005000000}"/>
    <cellStyle name="桁区切り 3 2" xfId="12" xr:uid="{00000000-0005-0000-0000-000006000000}"/>
    <cellStyle name="桁区切り 4" xfId="8" xr:uid="{00000000-0005-0000-0000-000007000000}"/>
    <cellStyle name="桁区切り 5" xfId="13" xr:uid="{00000000-0005-0000-0000-000008000000}"/>
    <cellStyle name="標準" xfId="0" builtinId="0"/>
    <cellStyle name="標準 2" xfId="1" xr:uid="{00000000-0005-0000-0000-00000A000000}"/>
    <cellStyle name="標準 3" xfId="3" xr:uid="{00000000-0005-0000-0000-00000B000000}"/>
    <cellStyle name="標準 3 2" xfId="11" xr:uid="{00000000-0005-0000-0000-00000C000000}"/>
    <cellStyle name="標準 4" xfId="7" xr:uid="{00000000-0005-0000-0000-00000D000000}"/>
    <cellStyle name="標準 5" xfId="9" xr:uid="{00000000-0005-0000-0000-00000E000000}"/>
    <cellStyle name="標準_170125地球温暖化対策計画書(山内修正案）" xfId="15" xr:uid="{CDAE53DF-FE40-462E-9B72-715C0EF0BC99}"/>
    <cellStyle name="標準_負荷チェックシート（水谷修正）" xfId="14" xr:uid="{DDD4DC8A-573B-4EA7-A7D4-BA3AB2F30537}"/>
  </cellStyles>
  <dxfs count="100">
    <dxf>
      <fill>
        <patternFill>
          <bgColor rgb="FFFFCC66"/>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rgb="FFFFCC66"/>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CCFFFF"/>
        </patternFill>
      </fill>
    </dxf>
    <dxf>
      <fill>
        <patternFill>
          <bgColor rgb="FFCCFFFF"/>
        </patternFill>
      </fill>
    </dxf>
    <dxf>
      <fill>
        <patternFill>
          <bgColor rgb="FFCCFFFF"/>
        </patternFill>
      </fill>
    </dxf>
    <dxf>
      <fill>
        <patternFill>
          <bgColor theme="0" tint="-0.499984740745262"/>
        </patternFill>
      </fill>
    </dxf>
    <dxf>
      <fill>
        <patternFill>
          <bgColor theme="0" tint="-0.499984740745262"/>
        </patternFill>
      </fill>
    </dxf>
    <dxf>
      <font>
        <color rgb="FFFF0000"/>
      </font>
    </dxf>
    <dxf>
      <fill>
        <patternFill>
          <bgColor rgb="FFFFCC66"/>
        </patternFill>
      </fill>
    </dxf>
    <dxf>
      <fill>
        <patternFill patternType="none">
          <bgColor auto="1"/>
        </patternFill>
      </fill>
    </dxf>
    <dxf>
      <fill>
        <patternFill>
          <bgColor rgb="FFFFFF99"/>
        </patternFill>
      </fill>
    </dxf>
    <dxf>
      <font>
        <color rgb="FFFF0000"/>
      </font>
    </dxf>
    <dxf>
      <fill>
        <patternFill>
          <bgColor rgb="FFFFCC66"/>
        </patternFill>
      </fill>
    </dxf>
    <dxf>
      <fill>
        <patternFill patternType="none">
          <bgColor auto="1"/>
        </patternFill>
      </fill>
    </dxf>
    <dxf>
      <fill>
        <patternFill>
          <bgColor rgb="FFFFCC66"/>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dxf>
    <dxf>
      <fill>
        <patternFill>
          <bgColor rgb="FFFFFF99"/>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dxf>
    <dxf>
      <fill>
        <patternFill>
          <bgColor rgb="FFFFFF99"/>
        </patternFill>
      </fill>
    </dxf>
    <dxf>
      <fill>
        <patternFill>
          <bgColor rgb="FFFFFF00"/>
        </patternFill>
      </fill>
    </dxf>
    <dxf>
      <fill>
        <patternFill>
          <bgColor rgb="FFFFFF00"/>
        </patternFill>
      </fill>
    </dxf>
    <dxf>
      <fill>
        <patternFill>
          <bgColor theme="0" tint="-0.14996795556505021"/>
        </patternFill>
      </fill>
    </dxf>
    <dxf>
      <font>
        <color rgb="FFFF0000"/>
      </font>
    </dxf>
    <dxf>
      <fill>
        <patternFill>
          <bgColor theme="7"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dxf>
    <dxf>
      <fill>
        <patternFill>
          <bgColor rgb="FFFFFF99"/>
        </patternFill>
      </fill>
    </dxf>
    <dxf>
      <font>
        <color rgb="FFFFFFCC"/>
      </font>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FF"/>
      <color rgb="FFFFFFCC"/>
      <color rgb="FFFFFF99"/>
      <color rgb="FFFFCCFF"/>
      <color rgb="FFD9D9D9"/>
      <color rgb="FFCCFFFF"/>
      <color rgb="FF99FFCC"/>
      <color rgb="FFFFCC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Radio" firstButton="1" fmlaLink="$F$28" lockText="1" noThreeD="1"/>
</file>

<file path=xl/ctrlProps/ctrlProp10.xml><?xml version="1.0" encoding="utf-8"?>
<formControlPr xmlns="http://schemas.microsoft.com/office/spreadsheetml/2009/9/main" objectType="Radio" checked="Checked" firstButton="1" fmlaLink="$P$2"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0.xml.rels><?xml version="1.0" encoding="UTF-8" standalone="yes"?>
<Relationships xmlns="http://schemas.openxmlformats.org/package/2006/relationships"><Relationship Id="rId3" Type="http://schemas.openxmlformats.org/officeDocument/2006/relationships/hyperlink" Target="#'14&#20877;&#12456;&#12493;&#38651;&#27671;&#12539;&#29105;'!A1"/><Relationship Id="rId2" Type="http://schemas.openxmlformats.org/officeDocument/2006/relationships/hyperlink" Target="#'12&#29123;&#26009;'!A1"/><Relationship Id="rId1" Type="http://schemas.openxmlformats.org/officeDocument/2006/relationships/hyperlink" Target="#'&#65302;&#65294;&#12456;&#12467;&#12450;&#12483;&#12503;&#65315;&#65327;&#8322;&#37327;&#19968;&#35239;'!A1"/><Relationship Id="rId4" Type="http://schemas.openxmlformats.org/officeDocument/2006/relationships/hyperlink" Target="#'13&#38651;&#27671;&#12539;&#29105;_&#37117;&#24066;&#12460;&#12473;'!A1"/></Relationships>
</file>

<file path=xl/drawings/_rels/drawing11.xml.rels><?xml version="1.0" encoding="UTF-8" standalone="yes"?>
<Relationships xmlns="http://schemas.openxmlformats.org/package/2006/relationships"><Relationship Id="rId3" Type="http://schemas.openxmlformats.org/officeDocument/2006/relationships/hyperlink" Target="#'11&#33258;&#21205;&#36554;_&#12456;&#12493;&#12523;&#12462;&#12540;&#12539;CO&#8322;&#37327;'!A100"/><Relationship Id="rId2" Type="http://schemas.openxmlformats.org/officeDocument/2006/relationships/hyperlink" Target="#'10&#24037;&#22580;&#29694;&#22580;_&#12456;&#12493;&#12523;&#12462;&#12540;&#12539;CO&#8322;&#37327;'!A100"/><Relationship Id="rId1" Type="http://schemas.openxmlformats.org/officeDocument/2006/relationships/hyperlink" Target="#'&#65305;&#24314;&#29289;&#31995;&#12456;&#12493;&#12523;&#12462;&#12540;&#12539;CO&#8322;&#37327;'!A100"/></Relationships>
</file>

<file path=xl/drawings/_rels/drawing12.xml.rels><?xml version="1.0" encoding="UTF-8" standalone="yes"?>
<Relationships xmlns="http://schemas.openxmlformats.org/package/2006/relationships"><Relationship Id="rId3" Type="http://schemas.openxmlformats.org/officeDocument/2006/relationships/hyperlink" Target="#'11&#33258;&#21205;&#36554;_&#12456;&#12493;&#12523;&#12462;&#12540;&#12539;CO&#8322;&#37327;'!A100"/><Relationship Id="rId2" Type="http://schemas.openxmlformats.org/officeDocument/2006/relationships/hyperlink" Target="#'10&#24037;&#22580;&#29694;&#22580;_&#12456;&#12493;&#12523;&#12462;&#12540;&#12539;CO&#8322;&#37327;'!A100"/><Relationship Id="rId1" Type="http://schemas.openxmlformats.org/officeDocument/2006/relationships/hyperlink" Target="#'&#65305;&#24314;&#29289;&#31995;&#12456;&#12493;&#12523;&#12462;&#12540;&#12539;CO&#8322;&#37327;'!A100"/></Relationships>
</file>

<file path=xl/drawings/_rels/drawing13.xml.rels><?xml version="1.0" encoding="UTF-8" standalone="yes"?>
<Relationships xmlns="http://schemas.openxmlformats.org/package/2006/relationships"><Relationship Id="rId3" Type="http://schemas.openxmlformats.org/officeDocument/2006/relationships/hyperlink" Target="#'11&#33258;&#21205;&#36554;_&#12456;&#12493;&#12523;&#12462;&#12540;&#12539;CO&#8322;&#37327;'!A100"/><Relationship Id="rId2" Type="http://schemas.openxmlformats.org/officeDocument/2006/relationships/hyperlink" Target="#'10&#24037;&#22580;&#29694;&#22580;_&#12456;&#12493;&#12523;&#12462;&#12540;&#12539;CO&#8322;&#37327;'!A100"/><Relationship Id="rId1" Type="http://schemas.openxmlformats.org/officeDocument/2006/relationships/hyperlink" Target="#'&#65305;&#24314;&#29289;&#31995;&#12456;&#12493;&#12523;&#12462;&#12540;&#12539;CO&#8322;&#37327;'!A100"/></Relationships>
</file>

<file path=xl/drawings/_rels/drawing5.xml.rels><?xml version="1.0" encoding="UTF-8" standalone="yes"?>
<Relationships xmlns="http://schemas.openxmlformats.org/package/2006/relationships"><Relationship Id="rId3" Type="http://schemas.openxmlformats.org/officeDocument/2006/relationships/hyperlink" Target="#'11&#33258;&#21205;&#36554;_&#12456;&#12493;&#12523;&#12462;&#12540;&#12539;CO&#8322;&#37327;'!A100"/><Relationship Id="rId2" Type="http://schemas.openxmlformats.org/officeDocument/2006/relationships/hyperlink" Target="#'10&#24037;&#22580;&#29694;&#22580;_&#12456;&#12493;&#12523;&#12462;&#12540;&#12539;CO&#8322;&#37327;'!A100"/><Relationship Id="rId1" Type="http://schemas.openxmlformats.org/officeDocument/2006/relationships/hyperlink" Target="#'&#65305;&#24314;&#29289;&#31995;&#12456;&#12493;&#12523;&#12462;&#12540;&#12539;CO&#8322;&#37327;'!A100"/></Relationships>
</file>

<file path=xl/drawings/_rels/drawing8.xml.rels><?xml version="1.0" encoding="UTF-8" standalone="yes"?>
<Relationships xmlns="http://schemas.openxmlformats.org/package/2006/relationships"><Relationship Id="rId3" Type="http://schemas.openxmlformats.org/officeDocument/2006/relationships/hyperlink" Target="#'14&#20877;&#12456;&#12493;&#38651;&#27671;&#12539;&#29105;'!A1"/><Relationship Id="rId2" Type="http://schemas.openxmlformats.org/officeDocument/2006/relationships/hyperlink" Target="#'12&#29123;&#26009;'!A1"/><Relationship Id="rId1" Type="http://schemas.openxmlformats.org/officeDocument/2006/relationships/hyperlink" Target="#'&#65302;&#65294;&#12456;&#12467;&#12450;&#12483;&#12503;&#65315;&#65327;&#8322;&#37327;&#19968;&#35239;'!A1"/><Relationship Id="rId4" Type="http://schemas.openxmlformats.org/officeDocument/2006/relationships/hyperlink" Target="#'13&#38651;&#27671;&#12539;&#29105;_&#37117;&#24066;&#12460;&#12473;'!A1"/></Relationships>
</file>

<file path=xl/drawings/_rels/drawing9.xml.rels><?xml version="1.0" encoding="UTF-8" standalone="yes"?>
<Relationships xmlns="http://schemas.openxmlformats.org/package/2006/relationships"><Relationship Id="rId3" Type="http://schemas.openxmlformats.org/officeDocument/2006/relationships/hyperlink" Target="#'14&#20877;&#12456;&#12493;&#38651;&#27671;&#12539;&#29105;'!A1"/><Relationship Id="rId2" Type="http://schemas.openxmlformats.org/officeDocument/2006/relationships/hyperlink" Target="#'12&#29123;&#26009;'!A1"/><Relationship Id="rId1" Type="http://schemas.openxmlformats.org/officeDocument/2006/relationships/hyperlink" Target="#'&#65302;&#65294;&#12456;&#12467;&#12450;&#12483;&#12503;&#65315;&#65327;&#8322;&#37327;&#19968;&#35239;'!A1"/><Relationship Id="rId4" Type="http://schemas.openxmlformats.org/officeDocument/2006/relationships/hyperlink" Target="#'13&#38651;&#27671;&#12539;&#29105;_&#37117;&#24066;&#12460;&#12473;'!A1"/></Relationships>
</file>

<file path=xl/drawings/drawing1.xml><?xml version="1.0" encoding="utf-8"?>
<xdr:wsDr xmlns:xdr="http://schemas.openxmlformats.org/drawingml/2006/spreadsheetDrawing" xmlns:a="http://schemas.openxmlformats.org/drawingml/2006/main">
  <xdr:oneCellAnchor>
    <xdr:from>
      <xdr:col>2</xdr:col>
      <xdr:colOff>228600</xdr:colOff>
      <xdr:row>0</xdr:row>
      <xdr:rowOff>23447</xdr:rowOff>
    </xdr:from>
    <xdr:ext cx="2349867" cy="686663"/>
    <xdr:sp macro="" textlink="">
      <xdr:nvSpPr>
        <xdr:cNvPr id="2" name="コンテンツ プレースホルダー 2">
          <a:extLst>
            <a:ext uri="{FF2B5EF4-FFF2-40B4-BE49-F238E27FC236}">
              <a16:creationId xmlns:a16="http://schemas.microsoft.com/office/drawing/2014/main" id="{B676AE57-6201-446A-920F-CBB33103D4BE}"/>
            </a:ext>
          </a:extLst>
        </xdr:cNvPr>
        <xdr:cNvSpPr>
          <a:spLocks noGrp="1"/>
        </xdr:cNvSpPr>
      </xdr:nvSpPr>
      <xdr:spPr bwMode="auto">
        <a:xfrm>
          <a:off x="1569720" y="23447"/>
          <a:ext cx="2349867" cy="686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0" rIns="91440" bIns="0" numCol="1" anchor="t" anchorCtr="0" compatLnSpc="1">
          <a:prstTxWarp prst="textNoShape">
            <a:avLst/>
          </a:prstTxWarp>
          <a:spAutoFit/>
        </a:bodyPr>
        <a:lstStyle>
          <a:lvl1pPr marL="342900" indent="-342900" algn="l" rtl="0" eaLnBrk="0" fontAlgn="base" hangingPunct="0">
            <a:spcBef>
              <a:spcPct val="20000"/>
            </a:spcBef>
            <a:spcAft>
              <a:spcPct val="0"/>
            </a:spcAft>
            <a:buFont typeface="Arial" charset="0"/>
            <a:buChar char="•"/>
            <a:defRPr kumimoji="1" sz="3200" kern="1200">
              <a:solidFill>
                <a:schemeClr val="tx1"/>
              </a:solidFill>
              <a:latin typeface="+mn-lt"/>
              <a:ea typeface="+mn-ea"/>
              <a:cs typeface="+mn-cs"/>
            </a:defRPr>
          </a:lvl1pPr>
          <a:lvl2pPr marL="742950" indent="-285750" algn="l" rtl="0" eaLnBrk="0" fontAlgn="base" hangingPunct="0">
            <a:spcBef>
              <a:spcPct val="20000"/>
            </a:spcBef>
            <a:spcAft>
              <a:spcPct val="0"/>
            </a:spcAft>
            <a:buFont typeface="Arial" charset="0"/>
            <a:buChar char="–"/>
            <a:defRPr kumimoji="1" sz="2800" kern="1200">
              <a:solidFill>
                <a:schemeClr val="tx1"/>
              </a:solidFill>
              <a:latin typeface="+mn-lt"/>
              <a:ea typeface="+mn-ea"/>
              <a:cs typeface="+mn-cs"/>
            </a:defRPr>
          </a:lvl2pPr>
          <a:lvl3pPr marL="1143000" indent="-228600" algn="l" rtl="0" eaLnBrk="0" fontAlgn="base" hangingPunct="0">
            <a:spcBef>
              <a:spcPct val="20000"/>
            </a:spcBef>
            <a:spcAft>
              <a:spcPct val="0"/>
            </a:spcAft>
            <a:buFont typeface="Arial" charset="0"/>
            <a:buChar char="•"/>
            <a:defRPr kumimoji="1" sz="2400" kern="1200">
              <a:solidFill>
                <a:schemeClr val="tx1"/>
              </a:solidFill>
              <a:latin typeface="+mn-lt"/>
              <a:ea typeface="+mn-ea"/>
              <a:cs typeface="+mn-cs"/>
            </a:defRPr>
          </a:lvl3pPr>
          <a:lvl4pPr marL="1600200" indent="-228600" algn="l" rtl="0" eaLnBrk="0" fontAlgn="base" hangingPunct="0">
            <a:spcBef>
              <a:spcPct val="20000"/>
            </a:spcBef>
            <a:spcAft>
              <a:spcPct val="0"/>
            </a:spcAft>
            <a:buFont typeface="Arial" charset="0"/>
            <a:buChar char="–"/>
            <a:defRPr kumimoji="1" sz="2000" kern="1200">
              <a:solidFill>
                <a:schemeClr val="tx1"/>
              </a:solidFill>
              <a:latin typeface="+mn-lt"/>
              <a:ea typeface="+mn-ea"/>
              <a:cs typeface="+mn-cs"/>
            </a:defRPr>
          </a:lvl4pPr>
          <a:lvl5pPr marL="2057400" indent="-228600" algn="l" rtl="0" eaLnBrk="0" fontAlgn="base" hangingPunct="0">
            <a:spcBef>
              <a:spcPct val="20000"/>
            </a:spcBef>
            <a:spcAft>
              <a:spcPct val="0"/>
            </a:spcAft>
            <a:buFont typeface="Arial" charset="0"/>
            <a:buChar char="»"/>
            <a:defRPr kumimoji="1" sz="2000" kern="1200">
              <a:solidFill>
                <a:schemeClr val="tx1"/>
              </a:solidFill>
              <a:latin typeface="+mn-lt"/>
              <a:ea typeface="+mn-ea"/>
              <a:cs typeface="+mn-cs"/>
            </a:defRPr>
          </a:lvl5pPr>
          <a:lvl6pPr marL="2514600" indent="-228600" algn="l" defTabSz="914400" rtl="0" eaLnBrk="1" latinLnBrk="0" hangingPunct="1">
            <a:spcBef>
              <a:spcPct val="20000"/>
            </a:spcBef>
            <a:buFont typeface="Arial" panose="020B0604020202020204" pitchFamily="34" charset="0"/>
            <a:buChar char="•"/>
            <a:defRPr kumimoji="1" sz="2000" kern="1200">
              <a:solidFill>
                <a:schemeClr val="tx1"/>
              </a:solidFill>
              <a:latin typeface="+mn-lt"/>
              <a:ea typeface="+mn-ea"/>
              <a:cs typeface="+mn-cs"/>
            </a:defRPr>
          </a:lvl6pPr>
          <a:lvl7pPr marL="2971800" indent="-228600" algn="l" defTabSz="914400" rtl="0" eaLnBrk="1" latinLnBrk="0" hangingPunct="1">
            <a:spcBef>
              <a:spcPct val="20000"/>
            </a:spcBef>
            <a:buFont typeface="Arial" panose="020B0604020202020204" pitchFamily="34" charset="0"/>
            <a:buChar char="•"/>
            <a:defRPr kumimoji="1" sz="2000" kern="1200">
              <a:solidFill>
                <a:schemeClr val="tx1"/>
              </a:solidFill>
              <a:latin typeface="+mn-lt"/>
              <a:ea typeface="+mn-ea"/>
              <a:cs typeface="+mn-cs"/>
            </a:defRPr>
          </a:lvl7pPr>
          <a:lvl8pPr marL="3429000" indent="-228600" algn="l" defTabSz="914400" rtl="0" eaLnBrk="1" latinLnBrk="0" hangingPunct="1">
            <a:spcBef>
              <a:spcPct val="20000"/>
            </a:spcBef>
            <a:buFont typeface="Arial" panose="020B0604020202020204" pitchFamily="34" charset="0"/>
            <a:buChar char="•"/>
            <a:defRPr kumimoji="1" sz="2000" kern="1200">
              <a:solidFill>
                <a:schemeClr val="tx1"/>
              </a:solidFill>
              <a:latin typeface="+mn-lt"/>
              <a:ea typeface="+mn-ea"/>
              <a:cs typeface="+mn-cs"/>
            </a:defRPr>
          </a:lvl8pPr>
          <a:lvl9pPr marL="3886200" indent="-228600" algn="l" defTabSz="914400" rtl="0" eaLnBrk="1" latinLnBrk="0" hangingPunct="1">
            <a:spcBef>
              <a:spcPct val="20000"/>
            </a:spcBef>
            <a:buFont typeface="Arial" panose="020B0604020202020204" pitchFamily="34" charset="0"/>
            <a:buChar char="•"/>
            <a:defRPr kumimoji="1" sz="2000" kern="1200">
              <a:solidFill>
                <a:schemeClr val="tx1"/>
              </a:solidFill>
              <a:latin typeface="+mn-lt"/>
              <a:ea typeface="+mn-ea"/>
              <a:cs typeface="+mn-cs"/>
            </a:defRPr>
          </a:lvl9pPr>
        </a:lstStyle>
        <a:p>
          <a:pPr marL="0" indent="0" algn="ctr" eaLnBrk="1" hangingPunct="1">
            <a:buFont typeface="Arial" charset="0"/>
            <a:buNone/>
            <a:defRPr/>
          </a:pPr>
          <a:r>
            <a:rPr lang="ja-JP" altLang="en-US"/>
            <a:t>シート一覧</a:t>
          </a:r>
          <a:endParaRPr lang="en-US" altLang="ja-JP" sz="1050"/>
        </a:p>
      </xdr:txBody>
    </xdr:sp>
    <xdr:clientData/>
  </xdr:oneCellAnchor>
  <xdr:twoCellAnchor>
    <xdr:from>
      <xdr:col>9</xdr:col>
      <xdr:colOff>22860</xdr:colOff>
      <xdr:row>15</xdr:row>
      <xdr:rowOff>7620</xdr:rowOff>
    </xdr:from>
    <xdr:to>
      <xdr:col>9</xdr:col>
      <xdr:colOff>167640</xdr:colOff>
      <xdr:row>17</xdr:row>
      <xdr:rowOff>228600</xdr:rowOff>
    </xdr:to>
    <xdr:sp macro="" textlink="">
      <xdr:nvSpPr>
        <xdr:cNvPr id="3" name="右中かっこ 2">
          <a:extLst>
            <a:ext uri="{FF2B5EF4-FFF2-40B4-BE49-F238E27FC236}">
              <a16:creationId xmlns:a16="http://schemas.microsoft.com/office/drawing/2014/main" id="{E16307B2-937B-5047-D50E-A8BD621A2AF0}"/>
            </a:ext>
          </a:extLst>
        </xdr:cNvPr>
        <xdr:cNvSpPr/>
      </xdr:nvSpPr>
      <xdr:spPr>
        <a:xfrm>
          <a:off x="6057900" y="3116580"/>
          <a:ext cx="144780" cy="708660"/>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521675</xdr:colOff>
      <xdr:row>13</xdr:row>
      <xdr:rowOff>5862</xdr:rowOff>
    </xdr:from>
    <xdr:to>
      <xdr:col>16</xdr:col>
      <xdr:colOff>11723</xdr:colOff>
      <xdr:row>15</xdr:row>
      <xdr:rowOff>228598</xdr:rowOff>
    </xdr:to>
    <xdr:sp macro="" textlink="">
      <xdr:nvSpPr>
        <xdr:cNvPr id="6" name="矢印: 折線 5">
          <a:extLst>
            <a:ext uri="{FF2B5EF4-FFF2-40B4-BE49-F238E27FC236}">
              <a16:creationId xmlns:a16="http://schemas.microsoft.com/office/drawing/2014/main" id="{2A3AB9AF-ADEF-F9C9-F70B-C2D903711CA7}"/>
            </a:ext>
          </a:extLst>
        </xdr:cNvPr>
        <xdr:cNvSpPr/>
      </xdr:nvSpPr>
      <xdr:spPr>
        <a:xfrm rot="5400000" flipH="1">
          <a:off x="8261838" y="917329"/>
          <a:ext cx="715106" cy="4167556"/>
        </a:xfrm>
        <a:prstGeom prst="bentArrow">
          <a:avLst>
            <a:gd name="adj1" fmla="val 15000"/>
            <a:gd name="adj2" fmla="val 25000"/>
            <a:gd name="adj3" fmla="val 25000"/>
            <a:gd name="adj4" fmla="val 43750"/>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9</xdr:col>
      <xdr:colOff>22860</xdr:colOff>
      <xdr:row>21</xdr:row>
      <xdr:rowOff>7620</xdr:rowOff>
    </xdr:from>
    <xdr:to>
      <xdr:col>9</xdr:col>
      <xdr:colOff>181708</xdr:colOff>
      <xdr:row>24</xdr:row>
      <xdr:rowOff>5862</xdr:rowOff>
    </xdr:to>
    <xdr:sp macro="" textlink="">
      <xdr:nvSpPr>
        <xdr:cNvPr id="7" name="右中かっこ 6">
          <a:extLst>
            <a:ext uri="{FF2B5EF4-FFF2-40B4-BE49-F238E27FC236}">
              <a16:creationId xmlns:a16="http://schemas.microsoft.com/office/drawing/2014/main" id="{5498DB28-5EA3-4C6C-847D-62749D90CE77}"/>
            </a:ext>
          </a:extLst>
        </xdr:cNvPr>
        <xdr:cNvSpPr/>
      </xdr:nvSpPr>
      <xdr:spPr>
        <a:xfrm>
          <a:off x="6036798" y="4614789"/>
          <a:ext cx="158848" cy="736796"/>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0</xdr:row>
      <xdr:rowOff>32658</xdr:rowOff>
    </xdr:from>
    <xdr:ext cx="2088000" cy="648000"/>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BE8F4ED-0F98-45AE-A6BA-C9BED1D168E9}"/>
            </a:ext>
          </a:extLst>
        </xdr:cNvPr>
        <xdr:cNvSpPr/>
      </xdr:nvSpPr>
      <xdr:spPr>
        <a:xfrm>
          <a:off x="10226040" y="32658"/>
          <a:ext cx="2088000" cy="648000"/>
        </a:xfrm>
        <a:prstGeom prst="roundRect">
          <a:avLst/>
        </a:prstGeom>
        <a:solidFill>
          <a:srgbClr val="FFC00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６．エコアップ</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CO₂</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量</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一覧シートに戻る</a:t>
          </a:r>
        </a:p>
      </xdr:txBody>
    </xdr:sp>
    <xdr:clientData fLocksWithSheet="0" fPrintsWithSheet="0"/>
  </xdr:oneCellAnchor>
  <xdr:oneCellAnchor>
    <xdr:from>
      <xdr:col>4</xdr:col>
      <xdr:colOff>2155363</xdr:colOff>
      <xdr:row>0</xdr:row>
      <xdr:rowOff>32658</xdr:rowOff>
    </xdr:from>
    <xdr:ext cx="1728000" cy="648000"/>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F912FF51-1622-4A3B-88A2-7181101CFF9D}"/>
            </a:ext>
          </a:extLst>
        </xdr:cNvPr>
        <xdr:cNvSpPr/>
      </xdr:nvSpPr>
      <xdr:spPr>
        <a:xfrm>
          <a:off x="14536766" y="32658"/>
          <a:ext cx="1728000" cy="648000"/>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燃料シート</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に移動</a:t>
          </a:r>
        </a:p>
      </xdr:txBody>
    </xdr:sp>
    <xdr:clientData fLocksWithSheet="0" fPrintsWithSheet="0"/>
  </xdr:oneCellAnchor>
  <xdr:oneCellAnchor>
    <xdr:from>
      <xdr:col>7</xdr:col>
      <xdr:colOff>1129555</xdr:colOff>
      <xdr:row>0</xdr:row>
      <xdr:rowOff>26895</xdr:rowOff>
    </xdr:from>
    <xdr:ext cx="1728000" cy="648000"/>
    <xdr:sp macro="" textlink="">
      <xdr:nvSpPr>
        <xdr:cNvPr id="7" name="四角形: 角を丸くする 6">
          <a:hlinkClick xmlns:r="http://schemas.openxmlformats.org/officeDocument/2006/relationships" r:id="rId3"/>
          <a:extLst>
            <a:ext uri="{FF2B5EF4-FFF2-40B4-BE49-F238E27FC236}">
              <a16:creationId xmlns:a16="http://schemas.microsoft.com/office/drawing/2014/main" id="{2A1B9216-9E81-44F3-B148-35254E6D9408}"/>
            </a:ext>
          </a:extLst>
        </xdr:cNvPr>
        <xdr:cNvSpPr/>
      </xdr:nvSpPr>
      <xdr:spPr>
        <a:xfrm>
          <a:off x="10856261" y="26895"/>
          <a:ext cx="1728000" cy="648000"/>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14.</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再エネシート</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に移動</a:t>
          </a:r>
        </a:p>
      </xdr:txBody>
    </xdr:sp>
    <xdr:clientData fLocksWithSheet="0" fPrintsWithSheet="0"/>
  </xdr:oneCellAnchor>
  <xdr:oneCellAnchor>
    <xdr:from>
      <xdr:col>6</xdr:col>
      <xdr:colOff>125510</xdr:colOff>
      <xdr:row>0</xdr:row>
      <xdr:rowOff>35860</xdr:rowOff>
    </xdr:from>
    <xdr:ext cx="1728000" cy="648000"/>
    <xdr:sp macro="" textlink="">
      <xdr:nvSpPr>
        <xdr:cNvPr id="8" name="四角形: 角を丸くする 7">
          <a:hlinkClick xmlns:r="http://schemas.openxmlformats.org/officeDocument/2006/relationships" r:id="rId4"/>
          <a:extLst>
            <a:ext uri="{FF2B5EF4-FFF2-40B4-BE49-F238E27FC236}">
              <a16:creationId xmlns:a16="http://schemas.microsoft.com/office/drawing/2014/main" id="{D86B251B-5824-44F4-AF0A-9F7DEAEE612E}"/>
            </a:ext>
          </a:extLst>
        </xdr:cNvPr>
        <xdr:cNvSpPr/>
      </xdr:nvSpPr>
      <xdr:spPr>
        <a:xfrm>
          <a:off x="9072286" y="35860"/>
          <a:ext cx="1728000" cy="648000"/>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電気、都市ガスシートに移動</a:t>
          </a: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twoCellAnchor>
    <xdr:from>
      <xdr:col>3</xdr:col>
      <xdr:colOff>0</xdr:colOff>
      <xdr:row>0</xdr:row>
      <xdr:rowOff>10886</xdr:rowOff>
    </xdr:from>
    <xdr:to>
      <xdr:col>4</xdr:col>
      <xdr:colOff>293915</xdr:colOff>
      <xdr:row>2</xdr:row>
      <xdr:rowOff>54429</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6022F4F-BEF4-4392-8727-BFBD30724E82}"/>
            </a:ext>
          </a:extLst>
        </xdr:cNvPr>
        <xdr:cNvSpPr/>
      </xdr:nvSpPr>
      <xdr:spPr>
        <a:xfrm>
          <a:off x="4419600" y="10886"/>
          <a:ext cx="1175658" cy="522514"/>
        </a:xfrm>
        <a:prstGeom prst="roundRect">
          <a:avLst/>
        </a:prstGeom>
        <a:solidFill>
          <a:srgbClr val="5B9BD5"/>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建物</a:t>
          </a:r>
          <a:r>
            <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系</a:t>
          </a:r>
          <a:r>
            <a:rPr kumimoji="1" lang="en-US"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CO₂</a:t>
          </a:r>
          <a:r>
            <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量</a:t>
          </a:r>
        </a:p>
      </xdr:txBody>
    </xdr:sp>
    <xdr:clientData fPrintsWithSheet="0"/>
  </xdr:twoCellAnchor>
  <xdr:twoCellAnchor>
    <xdr:from>
      <xdr:col>4</xdr:col>
      <xdr:colOff>729343</xdr:colOff>
      <xdr:row>0</xdr:row>
      <xdr:rowOff>0</xdr:rowOff>
    </xdr:from>
    <xdr:to>
      <xdr:col>6</xdr:col>
      <xdr:colOff>587830</xdr:colOff>
      <xdr:row>2</xdr:row>
      <xdr:rowOff>43543</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547385CC-4D00-42D4-9846-570A3F7372C7}"/>
            </a:ext>
          </a:extLst>
        </xdr:cNvPr>
        <xdr:cNvSpPr/>
      </xdr:nvSpPr>
      <xdr:spPr>
        <a:xfrm>
          <a:off x="6030686" y="0"/>
          <a:ext cx="1175658" cy="522514"/>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工場現場</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CO₂</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量</a:t>
          </a:r>
        </a:p>
      </xdr:txBody>
    </xdr:sp>
    <xdr:clientData fPrintsWithSheet="0"/>
  </xdr:twoCellAnchor>
  <xdr:twoCellAnchor>
    <xdr:from>
      <xdr:col>7</xdr:col>
      <xdr:colOff>195943</xdr:colOff>
      <xdr:row>0</xdr:row>
      <xdr:rowOff>0</xdr:rowOff>
    </xdr:from>
    <xdr:to>
      <xdr:col>8</xdr:col>
      <xdr:colOff>76201</xdr:colOff>
      <xdr:row>2</xdr:row>
      <xdr:rowOff>43543</xdr:rowOff>
    </xdr:to>
    <xdr:sp macro="" textlink="">
      <xdr:nvSpPr>
        <xdr:cNvPr id="4" name="四角形: 角を丸くする 3">
          <a:hlinkClick xmlns:r="http://schemas.openxmlformats.org/officeDocument/2006/relationships" r:id="rId3"/>
          <a:extLst>
            <a:ext uri="{FF2B5EF4-FFF2-40B4-BE49-F238E27FC236}">
              <a16:creationId xmlns:a16="http://schemas.microsoft.com/office/drawing/2014/main" id="{81C27735-2D0E-4B03-84A7-43212D4B5A47}"/>
            </a:ext>
          </a:extLst>
        </xdr:cNvPr>
        <xdr:cNvSpPr/>
      </xdr:nvSpPr>
      <xdr:spPr>
        <a:xfrm>
          <a:off x="7565572" y="0"/>
          <a:ext cx="1175658" cy="522514"/>
        </a:xfrm>
        <a:prstGeom prst="roundRect">
          <a:avLst/>
        </a:prstGeom>
        <a:solidFill>
          <a:srgbClr val="ED7D31">
            <a:lumMod val="60000"/>
            <a:lumOff val="40000"/>
          </a:srgbClr>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自動車</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₂</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量</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xdr:col>
      <xdr:colOff>10886</xdr:colOff>
      <xdr:row>0</xdr:row>
      <xdr:rowOff>43538</xdr:rowOff>
    </xdr:from>
    <xdr:to>
      <xdr:col>3</xdr:col>
      <xdr:colOff>1186544</xdr:colOff>
      <xdr:row>2</xdr:row>
      <xdr:rowOff>87081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912E9F1-31CA-41DB-9593-D106F75444FB}"/>
            </a:ext>
          </a:extLst>
        </xdr:cNvPr>
        <xdr:cNvSpPr/>
      </xdr:nvSpPr>
      <xdr:spPr>
        <a:xfrm>
          <a:off x="7990115" y="43538"/>
          <a:ext cx="1175658" cy="522514"/>
        </a:xfrm>
        <a:prstGeom prst="roundRect">
          <a:avLst/>
        </a:prstGeom>
        <a:solidFill>
          <a:srgbClr val="5B9BD5"/>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建物</a:t>
          </a:r>
          <a:r>
            <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系</a:t>
          </a:r>
          <a:r>
            <a:rPr kumimoji="1" lang="en-US"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CO₂</a:t>
          </a:r>
          <a:r>
            <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量</a:t>
          </a:r>
        </a:p>
      </xdr:txBody>
    </xdr:sp>
    <xdr:clientData fPrintsWithSheet="0"/>
  </xdr:twoCellAnchor>
  <xdr:twoCellAnchor>
    <xdr:from>
      <xdr:col>3</xdr:col>
      <xdr:colOff>1621972</xdr:colOff>
      <xdr:row>0</xdr:row>
      <xdr:rowOff>32652</xdr:rowOff>
    </xdr:from>
    <xdr:to>
      <xdr:col>3</xdr:col>
      <xdr:colOff>2797630</xdr:colOff>
      <xdr:row>2</xdr:row>
      <xdr:rowOff>76195</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DF4526B5-458E-45ED-9507-F76C46DECE2C}"/>
            </a:ext>
          </a:extLst>
        </xdr:cNvPr>
        <xdr:cNvSpPr/>
      </xdr:nvSpPr>
      <xdr:spPr>
        <a:xfrm>
          <a:off x="9601201" y="32652"/>
          <a:ext cx="1175658" cy="522514"/>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工場現場</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CO₂</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量</a:t>
          </a:r>
        </a:p>
      </xdr:txBody>
    </xdr:sp>
    <xdr:clientData fPrintsWithSheet="0"/>
  </xdr:twoCellAnchor>
  <xdr:twoCellAnchor>
    <xdr:from>
      <xdr:col>4</xdr:col>
      <xdr:colOff>293916</xdr:colOff>
      <xdr:row>0</xdr:row>
      <xdr:rowOff>32652</xdr:rowOff>
    </xdr:from>
    <xdr:to>
      <xdr:col>5</xdr:col>
      <xdr:colOff>772888</xdr:colOff>
      <xdr:row>2</xdr:row>
      <xdr:rowOff>76195</xdr:rowOff>
    </xdr:to>
    <xdr:sp macro="" textlink="">
      <xdr:nvSpPr>
        <xdr:cNvPr id="4" name="四角形: 角を丸くする 3">
          <a:hlinkClick xmlns:r="http://schemas.openxmlformats.org/officeDocument/2006/relationships" r:id="rId3"/>
          <a:extLst>
            <a:ext uri="{FF2B5EF4-FFF2-40B4-BE49-F238E27FC236}">
              <a16:creationId xmlns:a16="http://schemas.microsoft.com/office/drawing/2014/main" id="{FF753810-3B32-4CF9-8A34-2545F6A72F93}"/>
            </a:ext>
          </a:extLst>
        </xdr:cNvPr>
        <xdr:cNvSpPr/>
      </xdr:nvSpPr>
      <xdr:spPr>
        <a:xfrm>
          <a:off x="11136087" y="32652"/>
          <a:ext cx="1175658" cy="522514"/>
        </a:xfrm>
        <a:prstGeom prst="roundRect">
          <a:avLst/>
        </a:prstGeom>
        <a:solidFill>
          <a:srgbClr val="ED7D31">
            <a:lumMod val="60000"/>
            <a:lumOff val="40000"/>
          </a:srgbClr>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自動車</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₂</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量</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xdr:col>
      <xdr:colOff>10886</xdr:colOff>
      <xdr:row>0</xdr:row>
      <xdr:rowOff>32657</xdr:rowOff>
    </xdr:from>
    <xdr:to>
      <xdr:col>3</xdr:col>
      <xdr:colOff>1186544</xdr:colOff>
      <xdr:row>2</xdr:row>
      <xdr:rowOff>76200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8BE67B7-C919-447F-8D1F-D3BAB918371B}"/>
            </a:ext>
          </a:extLst>
        </xdr:cNvPr>
        <xdr:cNvSpPr/>
      </xdr:nvSpPr>
      <xdr:spPr>
        <a:xfrm>
          <a:off x="7119257" y="32657"/>
          <a:ext cx="1175658" cy="522514"/>
        </a:xfrm>
        <a:prstGeom prst="roundRect">
          <a:avLst/>
        </a:prstGeom>
        <a:solidFill>
          <a:srgbClr val="5B9BD5"/>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建物</a:t>
          </a:r>
          <a:r>
            <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系</a:t>
          </a:r>
          <a:r>
            <a:rPr kumimoji="1" lang="en-US"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CO₂</a:t>
          </a:r>
          <a:r>
            <a:rPr kumimoji="1" lang="ja-JP" altLang="en-US"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量</a:t>
          </a:r>
        </a:p>
      </xdr:txBody>
    </xdr:sp>
    <xdr:clientData fPrintsWithSheet="0"/>
  </xdr:twoCellAnchor>
  <xdr:twoCellAnchor>
    <xdr:from>
      <xdr:col>4</xdr:col>
      <xdr:colOff>359229</xdr:colOff>
      <xdr:row>0</xdr:row>
      <xdr:rowOff>21771</xdr:rowOff>
    </xdr:from>
    <xdr:to>
      <xdr:col>5</xdr:col>
      <xdr:colOff>76201</xdr:colOff>
      <xdr:row>2</xdr:row>
      <xdr:rowOff>65314</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E00A5100-72FD-4B46-B2DF-378CEC38D769}"/>
            </a:ext>
          </a:extLst>
        </xdr:cNvPr>
        <xdr:cNvSpPr/>
      </xdr:nvSpPr>
      <xdr:spPr>
        <a:xfrm>
          <a:off x="8730343" y="21771"/>
          <a:ext cx="1175658" cy="522514"/>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工場現場</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CO₂</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量</a:t>
          </a:r>
        </a:p>
      </xdr:txBody>
    </xdr:sp>
    <xdr:clientData fPrintsWithSheet="0"/>
  </xdr:twoCellAnchor>
  <xdr:twoCellAnchor>
    <xdr:from>
      <xdr:col>5</xdr:col>
      <xdr:colOff>435429</xdr:colOff>
      <xdr:row>0</xdr:row>
      <xdr:rowOff>21771</xdr:rowOff>
    </xdr:from>
    <xdr:to>
      <xdr:col>6</xdr:col>
      <xdr:colOff>424544</xdr:colOff>
      <xdr:row>2</xdr:row>
      <xdr:rowOff>65314</xdr:rowOff>
    </xdr:to>
    <xdr:sp macro="" textlink="">
      <xdr:nvSpPr>
        <xdr:cNvPr id="4" name="四角形: 角を丸くする 3">
          <a:hlinkClick xmlns:r="http://schemas.openxmlformats.org/officeDocument/2006/relationships" r:id="rId3"/>
          <a:extLst>
            <a:ext uri="{FF2B5EF4-FFF2-40B4-BE49-F238E27FC236}">
              <a16:creationId xmlns:a16="http://schemas.microsoft.com/office/drawing/2014/main" id="{D3BA0BC7-8B0C-45BF-8090-713793D1740F}"/>
            </a:ext>
          </a:extLst>
        </xdr:cNvPr>
        <xdr:cNvSpPr/>
      </xdr:nvSpPr>
      <xdr:spPr>
        <a:xfrm>
          <a:off x="10265229" y="21771"/>
          <a:ext cx="1175658" cy="522514"/>
        </a:xfrm>
        <a:prstGeom prst="roundRect">
          <a:avLst/>
        </a:prstGeom>
        <a:solidFill>
          <a:srgbClr val="ED7D31">
            <a:lumMod val="60000"/>
            <a:lumOff val="40000"/>
          </a:srgbClr>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l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自動車</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₂</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量</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11</xdr:col>
      <xdr:colOff>332129</xdr:colOff>
      <xdr:row>87</xdr:row>
      <xdr:rowOff>197304</xdr:rowOff>
    </xdr:from>
    <xdr:to>
      <xdr:col>20</xdr:col>
      <xdr:colOff>398462</xdr:colOff>
      <xdr:row>90</xdr:row>
      <xdr:rowOff>50347</xdr:rowOff>
    </xdr:to>
    <xdr:sp macro="" textlink="">
      <xdr:nvSpPr>
        <xdr:cNvPr id="2" name="テキスト ボックス 1">
          <a:extLst>
            <a:ext uri="{FF2B5EF4-FFF2-40B4-BE49-F238E27FC236}">
              <a16:creationId xmlns:a16="http://schemas.microsoft.com/office/drawing/2014/main" id="{B7C86D20-C004-4904-92E3-ECD6E71B72A8}"/>
            </a:ext>
          </a:extLst>
        </xdr:cNvPr>
        <xdr:cNvSpPr txBox="1"/>
      </xdr:nvSpPr>
      <xdr:spPr>
        <a:xfrm>
          <a:off x="12390779" y="25514754"/>
          <a:ext cx="5552733" cy="624568"/>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ハイドロフルオロカーボンの排出がある場合は、ガスの種類、地球温暖化係数を入力してください。</a:t>
          </a:r>
        </a:p>
      </xdr:txBody>
    </xdr:sp>
    <xdr:clientData/>
  </xdr:twoCellAnchor>
  <xdr:twoCellAnchor>
    <xdr:from>
      <xdr:col>11</xdr:col>
      <xdr:colOff>95250</xdr:colOff>
      <xdr:row>88</xdr:row>
      <xdr:rowOff>0</xdr:rowOff>
    </xdr:from>
    <xdr:to>
      <xdr:col>11</xdr:col>
      <xdr:colOff>309562</xdr:colOff>
      <xdr:row>90</xdr:row>
      <xdr:rowOff>0</xdr:rowOff>
    </xdr:to>
    <xdr:sp macro="" textlink="">
      <xdr:nvSpPr>
        <xdr:cNvPr id="3" name="右中かっこ 2">
          <a:extLst>
            <a:ext uri="{FF2B5EF4-FFF2-40B4-BE49-F238E27FC236}">
              <a16:creationId xmlns:a16="http://schemas.microsoft.com/office/drawing/2014/main" id="{03DD4136-DD72-4B55-834C-9D9892D969E9}"/>
            </a:ext>
          </a:extLst>
        </xdr:cNvPr>
        <xdr:cNvSpPr/>
      </xdr:nvSpPr>
      <xdr:spPr>
        <a:xfrm>
          <a:off x="12153900" y="25574625"/>
          <a:ext cx="214312" cy="51435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332129</xdr:colOff>
      <xdr:row>90</xdr:row>
      <xdr:rowOff>204107</xdr:rowOff>
    </xdr:from>
    <xdr:to>
      <xdr:col>20</xdr:col>
      <xdr:colOff>428624</xdr:colOff>
      <xdr:row>93</xdr:row>
      <xdr:rowOff>57151</xdr:rowOff>
    </xdr:to>
    <xdr:sp macro="" textlink="">
      <xdr:nvSpPr>
        <xdr:cNvPr id="4" name="テキスト ボックス 3">
          <a:extLst>
            <a:ext uri="{FF2B5EF4-FFF2-40B4-BE49-F238E27FC236}">
              <a16:creationId xmlns:a16="http://schemas.microsoft.com/office/drawing/2014/main" id="{A246DAF9-23A9-4348-88AD-CA183D806C59}"/>
            </a:ext>
          </a:extLst>
        </xdr:cNvPr>
        <xdr:cNvSpPr txBox="1"/>
      </xdr:nvSpPr>
      <xdr:spPr>
        <a:xfrm>
          <a:off x="12390779" y="26293082"/>
          <a:ext cx="5582895" cy="624569"/>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パーフルオロカーボンの排出がある場合は、ガスの種類、地球温暖化係数を入力してください。</a:t>
          </a:r>
        </a:p>
      </xdr:txBody>
    </xdr:sp>
    <xdr:clientData/>
  </xdr:twoCellAnchor>
  <xdr:twoCellAnchor>
    <xdr:from>
      <xdr:col>11</xdr:col>
      <xdr:colOff>92868</xdr:colOff>
      <xdr:row>90</xdr:row>
      <xdr:rowOff>259556</xdr:rowOff>
    </xdr:from>
    <xdr:to>
      <xdr:col>11</xdr:col>
      <xdr:colOff>307180</xdr:colOff>
      <xdr:row>92</xdr:row>
      <xdr:rowOff>259556</xdr:rowOff>
    </xdr:to>
    <xdr:sp macro="" textlink="">
      <xdr:nvSpPr>
        <xdr:cNvPr id="5" name="右中かっこ 4">
          <a:extLst>
            <a:ext uri="{FF2B5EF4-FFF2-40B4-BE49-F238E27FC236}">
              <a16:creationId xmlns:a16="http://schemas.microsoft.com/office/drawing/2014/main" id="{E5F0FD18-7F47-4B1C-8988-EED9FF078677}"/>
            </a:ext>
          </a:extLst>
        </xdr:cNvPr>
        <xdr:cNvSpPr/>
      </xdr:nvSpPr>
      <xdr:spPr>
        <a:xfrm>
          <a:off x="12151518" y="26348531"/>
          <a:ext cx="214312" cy="51435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503579</xdr:colOff>
      <xdr:row>81</xdr:row>
      <xdr:rowOff>119063</xdr:rowOff>
    </xdr:from>
    <xdr:to>
      <xdr:col>20</xdr:col>
      <xdr:colOff>564356</xdr:colOff>
      <xdr:row>84</xdr:row>
      <xdr:rowOff>49741</xdr:rowOff>
    </xdr:to>
    <xdr:sp macro="" textlink="">
      <xdr:nvSpPr>
        <xdr:cNvPr id="6" name="テキスト ボックス 5">
          <a:extLst>
            <a:ext uri="{FF2B5EF4-FFF2-40B4-BE49-F238E27FC236}">
              <a16:creationId xmlns:a16="http://schemas.microsoft.com/office/drawing/2014/main" id="{7C85942F-FDDF-47D9-9503-1DC0BF0DFA14}"/>
            </a:ext>
          </a:extLst>
        </xdr:cNvPr>
        <xdr:cNvSpPr txBox="1"/>
      </xdr:nvSpPr>
      <xdr:spPr>
        <a:xfrm>
          <a:off x="10809629" y="24874538"/>
          <a:ext cx="9233352" cy="702203"/>
        </a:xfrm>
        <a:prstGeom prst="rect">
          <a:avLst/>
        </a:prstGeom>
        <a:solidFill>
          <a:srgbClr val="E2F0D9"/>
        </a:solidFill>
        <a:ln w="12700" cmpd="sng">
          <a:solidFill>
            <a:schemeClr val="tx1">
              <a:alpha val="99000"/>
            </a:schemeClr>
          </a:solidFill>
        </a:ln>
        <a:effectLst>
          <a:outerShdw blurRad="50800" dist="38100" dir="2700000" algn="tl" rotWithShape="0">
            <a:prstClr val="black">
              <a:alpha val="40000"/>
            </a:prstClr>
          </a:outerShdw>
        </a:effectLst>
        <a:scene3d>
          <a:camera prst="orthographicFront"/>
          <a:lightRig rig="threePt" dir="t">
            <a:rot lat="0" lon="0" rev="600000"/>
          </a:lightRig>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mn-ea"/>
              <a:ea typeface="+mn-ea"/>
            </a:rPr>
            <a:t>その他の排出活動がある場合や、</a:t>
          </a:r>
          <a:endParaRPr lang="ja-JP" altLang="en-US" sz="1100" b="1" i="0" u="none" strike="noStrike" baseline="0">
            <a:solidFill>
              <a:srgbClr val="FF0000"/>
            </a:solidFill>
            <a:latin typeface="+mn-lt"/>
            <a:ea typeface="+mn-ea"/>
            <a:cs typeface="+mn-cs"/>
          </a:endParaRPr>
        </a:p>
        <a:p>
          <a:r>
            <a:rPr lang="ja-JP" altLang="en-US" sz="1100" b="1" i="0" u="none" strike="noStrike" baseline="0">
              <a:solidFill>
                <a:srgbClr val="FF0000"/>
              </a:solidFill>
              <a:latin typeface="+mn-lt"/>
              <a:ea typeface="+mn-ea"/>
              <a:cs typeface="+mn-cs"/>
            </a:rPr>
            <a:t> </a:t>
          </a:r>
          <a:r>
            <a:rPr lang="ja-JP" altLang="en-US" sz="1100" b="1" i="0" u="none" strike="noStrike" baseline="0">
              <a:solidFill>
                <a:srgbClr val="FF0000"/>
              </a:solidFill>
              <a:latin typeface="+mn-ea"/>
              <a:ea typeface="+mn-ea"/>
              <a:cs typeface="+mn-cs"/>
            </a:rPr>
            <a:t>実測等に基づく方法で別途算定した排出係数を使用する</a:t>
          </a:r>
          <a:r>
            <a:rPr kumimoji="1" lang="ja-JP" altLang="en-US" sz="1100" b="1">
              <a:solidFill>
                <a:srgbClr val="FF0000"/>
              </a:solidFill>
              <a:latin typeface="+mn-ea"/>
              <a:ea typeface="+mn-ea"/>
            </a:rPr>
            <a:t>場合には、ここに入力してください。</a:t>
          </a:r>
          <a:endParaRPr kumimoji="1" lang="en-US" altLang="ja-JP" sz="1100" b="1">
            <a:solidFill>
              <a:srgbClr val="FF0000"/>
            </a:solidFill>
            <a:latin typeface="+mn-ea"/>
            <a:ea typeface="+mn-ea"/>
          </a:endParaRPr>
        </a:p>
        <a:p>
          <a:endParaRPr kumimoji="1" lang="ja-JP" altLang="en-US" sz="1100" b="1">
            <a:solidFill>
              <a:srgbClr val="FF0000"/>
            </a:solidFill>
            <a:latin typeface="+mn-ea"/>
            <a:ea typeface="+mn-ea"/>
          </a:endParaRPr>
        </a:p>
      </xdr:txBody>
    </xdr:sp>
    <xdr:clientData/>
  </xdr:twoCellAnchor>
  <xdr:twoCellAnchor>
    <xdr:from>
      <xdr:col>11</xdr:col>
      <xdr:colOff>57150</xdr:colOff>
      <xdr:row>81</xdr:row>
      <xdr:rowOff>45244</xdr:rowOff>
    </xdr:from>
    <xdr:to>
      <xdr:col>11</xdr:col>
      <xdr:colOff>238125</xdr:colOff>
      <xdr:row>84</xdr:row>
      <xdr:rowOff>23812</xdr:rowOff>
    </xdr:to>
    <xdr:sp macro="" textlink="">
      <xdr:nvSpPr>
        <xdr:cNvPr id="7" name="右中かっこ 6">
          <a:extLst>
            <a:ext uri="{FF2B5EF4-FFF2-40B4-BE49-F238E27FC236}">
              <a16:creationId xmlns:a16="http://schemas.microsoft.com/office/drawing/2014/main" id="{CA7D0287-2515-4C32-A3D8-7AB0E2F00E0F}"/>
            </a:ext>
          </a:extLst>
        </xdr:cNvPr>
        <xdr:cNvSpPr/>
      </xdr:nvSpPr>
      <xdr:spPr>
        <a:xfrm>
          <a:off x="12115800" y="23476744"/>
          <a:ext cx="180975" cy="750093"/>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105335</xdr:colOff>
      <xdr:row>1</xdr:row>
      <xdr:rowOff>118036</xdr:rowOff>
    </xdr:from>
    <xdr:to>
      <xdr:col>16</xdr:col>
      <xdr:colOff>87902</xdr:colOff>
      <xdr:row>4</xdr:row>
      <xdr:rowOff>50801</xdr:rowOff>
    </xdr:to>
    <xdr:sp macro="" textlink="">
      <xdr:nvSpPr>
        <xdr:cNvPr id="2" name="四角形吹き出し 1">
          <a:extLst>
            <a:ext uri="{FF2B5EF4-FFF2-40B4-BE49-F238E27FC236}">
              <a16:creationId xmlns:a16="http://schemas.microsoft.com/office/drawing/2014/main" id="{B6AAACDD-8068-4D56-A2CC-884B68D353BA}"/>
            </a:ext>
          </a:extLst>
        </xdr:cNvPr>
        <xdr:cNvSpPr/>
      </xdr:nvSpPr>
      <xdr:spPr>
        <a:xfrm>
          <a:off x="3618155" y="285676"/>
          <a:ext cx="1003647" cy="580465"/>
        </a:xfrm>
        <a:prstGeom prst="wedgeRectCallout">
          <a:avLst>
            <a:gd name="adj1" fmla="val -49528"/>
            <a:gd name="adj2" fmla="val 181730"/>
          </a:avLst>
        </a:prstGeom>
        <a:solidFill>
          <a:schemeClr val="accent1">
            <a:lumMod val="20000"/>
            <a:lumOff val="80000"/>
          </a:schemeClr>
        </a:solidFill>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該当の単位を選択します。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549088</xdr:colOff>
      <xdr:row>6</xdr:row>
      <xdr:rowOff>448236</xdr:rowOff>
    </xdr:from>
    <xdr:to>
      <xdr:col>31</xdr:col>
      <xdr:colOff>33618</xdr:colOff>
      <xdr:row>55</xdr:row>
      <xdr:rowOff>56029</xdr:rowOff>
    </xdr:to>
    <xdr:sp macro="" textlink="">
      <xdr:nvSpPr>
        <xdr:cNvPr id="2" name="角丸四角形 1">
          <a:extLst>
            <a:ext uri="{FF2B5EF4-FFF2-40B4-BE49-F238E27FC236}">
              <a16:creationId xmlns:a16="http://schemas.microsoft.com/office/drawing/2014/main" id="{D26DE193-7B86-45CD-9B94-AD320EF1624B}"/>
            </a:ext>
          </a:extLst>
        </xdr:cNvPr>
        <xdr:cNvSpPr/>
      </xdr:nvSpPr>
      <xdr:spPr>
        <a:xfrm>
          <a:off x="1653988" y="2894256"/>
          <a:ext cx="8343452" cy="4560793"/>
        </a:xfrm>
        <a:prstGeom prst="roundRect">
          <a:avLst>
            <a:gd name="adj" fmla="val 5597"/>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31</xdr:col>
      <xdr:colOff>22412</xdr:colOff>
      <xdr:row>49</xdr:row>
      <xdr:rowOff>394607</xdr:rowOff>
    </xdr:from>
    <xdr:to>
      <xdr:col>48</xdr:col>
      <xdr:colOff>51289</xdr:colOff>
      <xdr:row>56</xdr:row>
      <xdr:rowOff>56030</xdr:rowOff>
    </xdr:to>
    <xdr:sp macro="" textlink="">
      <xdr:nvSpPr>
        <xdr:cNvPr id="3" name="角丸四角形 2">
          <a:extLst>
            <a:ext uri="{FF2B5EF4-FFF2-40B4-BE49-F238E27FC236}">
              <a16:creationId xmlns:a16="http://schemas.microsoft.com/office/drawing/2014/main" id="{35BC1CA7-7F24-4BC2-A83A-60E1197AF80D}"/>
            </a:ext>
          </a:extLst>
        </xdr:cNvPr>
        <xdr:cNvSpPr/>
      </xdr:nvSpPr>
      <xdr:spPr>
        <a:xfrm>
          <a:off x="9997440" y="7328807"/>
          <a:ext cx="9265920" cy="629163"/>
        </a:xfrm>
        <a:prstGeom prst="roundRect">
          <a:avLst>
            <a:gd name="adj" fmla="val 5597"/>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216173</xdr:colOff>
      <xdr:row>55</xdr:row>
      <xdr:rowOff>77421</xdr:rowOff>
    </xdr:from>
    <xdr:to>
      <xdr:col>12</xdr:col>
      <xdr:colOff>477493</xdr:colOff>
      <xdr:row>56</xdr:row>
      <xdr:rowOff>413597</xdr:rowOff>
    </xdr:to>
    <xdr:sp macro="" textlink="">
      <xdr:nvSpPr>
        <xdr:cNvPr id="4" name="下矢印 3">
          <a:extLst>
            <a:ext uri="{FF2B5EF4-FFF2-40B4-BE49-F238E27FC236}">
              <a16:creationId xmlns:a16="http://schemas.microsoft.com/office/drawing/2014/main" id="{92855C13-1EA5-406E-9C7E-AC86EBA97CF5}"/>
            </a:ext>
          </a:extLst>
        </xdr:cNvPr>
        <xdr:cNvSpPr/>
      </xdr:nvSpPr>
      <xdr:spPr>
        <a:xfrm flipV="1">
          <a:off x="5207273" y="7476441"/>
          <a:ext cx="261320" cy="839096"/>
        </a:xfrm>
        <a:prstGeom prst="downArrow">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9</xdr:col>
      <xdr:colOff>33616</xdr:colOff>
      <xdr:row>56</xdr:row>
      <xdr:rowOff>436011</xdr:rowOff>
    </xdr:from>
    <xdr:to>
      <xdr:col>13</xdr:col>
      <xdr:colOff>432954</xdr:colOff>
      <xdr:row>56</xdr:row>
      <xdr:rowOff>1139741</xdr:rowOff>
    </xdr:to>
    <xdr:sp macro="" textlink="">
      <xdr:nvSpPr>
        <xdr:cNvPr id="5" name="角丸四角形 4">
          <a:extLst>
            <a:ext uri="{FF2B5EF4-FFF2-40B4-BE49-F238E27FC236}">
              <a16:creationId xmlns:a16="http://schemas.microsoft.com/office/drawing/2014/main" id="{AD421958-C1F4-4D42-BB0C-C2109A33DE92}"/>
            </a:ext>
          </a:extLst>
        </xdr:cNvPr>
        <xdr:cNvSpPr/>
      </xdr:nvSpPr>
      <xdr:spPr>
        <a:xfrm>
          <a:off x="3355936" y="8337951"/>
          <a:ext cx="2624378" cy="70373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latin typeface="ＭＳ ゴシック" pitchFamily="49" charset="-128"/>
              <a:ea typeface="ＭＳ ゴシック" pitchFamily="49" charset="-128"/>
            </a:rPr>
            <a:t>計算に必要な年度の</a:t>
          </a:r>
          <a:r>
            <a:rPr kumimoji="1" lang="en-US" altLang="ja-JP" sz="1100">
              <a:solidFill>
                <a:schemeClr val="tx1"/>
              </a:solidFill>
              <a:latin typeface="ＭＳ ゴシック" pitchFamily="49" charset="-128"/>
              <a:ea typeface="ＭＳ ゴシック" pitchFamily="49" charset="-128"/>
            </a:rPr>
            <a:t>1</a:t>
          </a:r>
          <a:r>
            <a:rPr kumimoji="1" lang="ja-JP" altLang="en-US" sz="1100">
              <a:solidFill>
                <a:schemeClr val="tx1"/>
              </a:solidFill>
              <a:latin typeface="ＭＳ ゴシック" pitchFamily="49" charset="-128"/>
              <a:ea typeface="ＭＳ ゴシック" pitchFamily="49" charset="-128"/>
            </a:rPr>
            <a:t>年間の</a:t>
          </a:r>
          <a:endParaRPr kumimoji="1" lang="en-US" altLang="ja-JP" sz="1100">
            <a:solidFill>
              <a:schemeClr val="tx1"/>
            </a:solidFill>
            <a:latin typeface="ＭＳ ゴシック" pitchFamily="49" charset="-128"/>
            <a:ea typeface="ＭＳ ゴシック" pitchFamily="49" charset="-128"/>
          </a:endParaRPr>
        </a:p>
        <a:p>
          <a:pPr algn="l">
            <a:lnSpc>
              <a:spcPts val="1200"/>
            </a:lnSpc>
          </a:pPr>
          <a:r>
            <a:rPr kumimoji="1" lang="ja-JP" altLang="en-US" sz="1100">
              <a:solidFill>
                <a:schemeClr val="tx1"/>
              </a:solidFill>
              <a:latin typeface="ＭＳ ゴシック" pitchFamily="49" charset="-128"/>
              <a:ea typeface="ＭＳ ゴシック" pitchFamily="49" charset="-128"/>
            </a:rPr>
            <a:t>　自動車の燃料使用量を入力する</a:t>
          </a:r>
        </a:p>
      </xdr:txBody>
    </xdr:sp>
    <xdr:clientData fPrintsWithSheet="0"/>
  </xdr:twoCellAnchor>
  <xdr:twoCellAnchor>
    <xdr:from>
      <xdr:col>35</xdr:col>
      <xdr:colOff>44822</xdr:colOff>
      <xdr:row>56</xdr:row>
      <xdr:rowOff>515471</xdr:rowOff>
    </xdr:from>
    <xdr:to>
      <xdr:col>41</xdr:col>
      <xdr:colOff>346364</xdr:colOff>
      <xdr:row>56</xdr:row>
      <xdr:rowOff>1176058</xdr:rowOff>
    </xdr:to>
    <xdr:sp macro="" textlink="">
      <xdr:nvSpPr>
        <xdr:cNvPr id="6" name="角丸四角形 5">
          <a:extLst>
            <a:ext uri="{FF2B5EF4-FFF2-40B4-BE49-F238E27FC236}">
              <a16:creationId xmlns:a16="http://schemas.microsoft.com/office/drawing/2014/main" id="{AB50F722-90A7-4553-850C-1DF9272A0B0A}"/>
            </a:ext>
          </a:extLst>
        </xdr:cNvPr>
        <xdr:cNvSpPr/>
      </xdr:nvSpPr>
      <xdr:spPr>
        <a:xfrm>
          <a:off x="11154782" y="8417411"/>
          <a:ext cx="3761022" cy="652967"/>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en-US" altLang="ja-JP" sz="1100">
              <a:solidFill>
                <a:schemeClr val="tx1"/>
              </a:solidFill>
              <a:latin typeface="ＭＳ ゴシック" pitchFamily="49" charset="-128"/>
              <a:ea typeface="ＭＳ ゴシック" pitchFamily="49" charset="-128"/>
            </a:rPr>
            <a:t>《</a:t>
          </a:r>
          <a:r>
            <a:rPr kumimoji="1" lang="ja-JP" altLang="en-US" sz="1100">
              <a:solidFill>
                <a:schemeClr val="tx1"/>
              </a:solidFill>
              <a:latin typeface="ＭＳ ゴシック" pitchFamily="49" charset="-128"/>
              <a:ea typeface="ＭＳ ゴシック" pitchFamily="49" charset="-128"/>
            </a:rPr>
            <a:t>６．ＣＯ₂補正計算結果</a:t>
          </a:r>
          <a:r>
            <a:rPr kumimoji="1" lang="en-US" altLang="ja-JP" sz="1100">
              <a:solidFill>
                <a:schemeClr val="tx1"/>
              </a:solidFill>
              <a:latin typeface="ＭＳ ゴシック" pitchFamily="49" charset="-128"/>
              <a:ea typeface="ＭＳ ゴシック" pitchFamily="49" charset="-128"/>
            </a:rPr>
            <a:t>》</a:t>
          </a:r>
          <a:r>
            <a:rPr kumimoji="1" lang="ja-JP" altLang="en-US" sz="1100">
              <a:solidFill>
                <a:schemeClr val="tx1"/>
              </a:solidFill>
              <a:latin typeface="ＭＳ ゴシック" pitchFamily="49" charset="-128"/>
              <a:ea typeface="ＭＳ ゴシック" pitchFamily="49" charset="-128"/>
            </a:rPr>
            <a:t>シートの</a:t>
          </a:r>
          <a:r>
            <a:rPr kumimoji="1" lang="en-US" altLang="ja-JP" sz="1100">
              <a:solidFill>
                <a:schemeClr val="tx1"/>
              </a:solidFill>
              <a:latin typeface="ＭＳ ゴシック" pitchFamily="49" charset="-128"/>
              <a:ea typeface="ＭＳ ゴシック" pitchFamily="49" charset="-128"/>
            </a:rPr>
            <a:t>(1)</a:t>
          </a:r>
          <a:r>
            <a:rPr kumimoji="1" lang="ja-JP" altLang="en-US" sz="1100">
              <a:solidFill>
                <a:schemeClr val="tx1"/>
              </a:solidFill>
              <a:latin typeface="ＭＳ ゴシック" pitchFamily="49" charset="-128"/>
              <a:ea typeface="ＭＳ ゴシック" pitchFamily="49" charset="-128"/>
            </a:rPr>
            <a:t>ＣＯ₂排出量表の「ｳ）自動車燃料系ＣＯ₂」へリンク表示される</a:t>
          </a:r>
        </a:p>
      </xdr:txBody>
    </xdr:sp>
    <xdr:clientData fPrintsWithSheet="0"/>
  </xdr:twoCellAnchor>
  <xdr:twoCellAnchor>
    <xdr:from>
      <xdr:col>36</xdr:col>
      <xdr:colOff>298078</xdr:colOff>
      <xdr:row>56</xdr:row>
      <xdr:rowOff>40341</xdr:rowOff>
    </xdr:from>
    <xdr:to>
      <xdr:col>38</xdr:col>
      <xdr:colOff>246531</xdr:colOff>
      <xdr:row>56</xdr:row>
      <xdr:rowOff>481853</xdr:rowOff>
    </xdr:to>
    <xdr:sp macro="" textlink="">
      <xdr:nvSpPr>
        <xdr:cNvPr id="7" name="下矢印 6">
          <a:extLst>
            <a:ext uri="{FF2B5EF4-FFF2-40B4-BE49-F238E27FC236}">
              <a16:creationId xmlns:a16="http://schemas.microsoft.com/office/drawing/2014/main" id="{030759FE-85EE-4AD1-8E09-0FBFBFCF7FE2}"/>
            </a:ext>
          </a:extLst>
        </xdr:cNvPr>
        <xdr:cNvSpPr/>
      </xdr:nvSpPr>
      <xdr:spPr>
        <a:xfrm flipH="1">
          <a:off x="11964298" y="7942281"/>
          <a:ext cx="1060973" cy="441512"/>
        </a:xfrm>
        <a:prstGeom prst="downArrow">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0</xdr:col>
      <xdr:colOff>899310</xdr:colOff>
      <xdr:row>49</xdr:row>
      <xdr:rowOff>435428</xdr:rowOff>
    </xdr:from>
    <xdr:to>
      <xdr:col>0</xdr:col>
      <xdr:colOff>1156608</xdr:colOff>
      <xdr:row>56</xdr:row>
      <xdr:rowOff>440083</xdr:rowOff>
    </xdr:to>
    <xdr:sp macro="" textlink="">
      <xdr:nvSpPr>
        <xdr:cNvPr id="8" name="下矢印 9">
          <a:extLst>
            <a:ext uri="{FF2B5EF4-FFF2-40B4-BE49-F238E27FC236}">
              <a16:creationId xmlns:a16="http://schemas.microsoft.com/office/drawing/2014/main" id="{4051393E-120E-4C52-9954-C2E6B0C46068}"/>
            </a:ext>
          </a:extLst>
        </xdr:cNvPr>
        <xdr:cNvSpPr/>
      </xdr:nvSpPr>
      <xdr:spPr>
        <a:xfrm flipV="1">
          <a:off x="899310" y="7369628"/>
          <a:ext cx="226818" cy="972395"/>
        </a:xfrm>
        <a:prstGeom prst="downArrow">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0</xdr:col>
      <xdr:colOff>0</xdr:colOff>
      <xdr:row>55</xdr:row>
      <xdr:rowOff>405493</xdr:rowOff>
    </xdr:from>
    <xdr:to>
      <xdr:col>11</xdr:col>
      <xdr:colOff>514133</xdr:colOff>
      <xdr:row>56</xdr:row>
      <xdr:rowOff>500744</xdr:rowOff>
    </xdr:to>
    <xdr:sp macro="" textlink="">
      <xdr:nvSpPr>
        <xdr:cNvPr id="9" name="角丸四角形 8">
          <a:extLst>
            <a:ext uri="{FF2B5EF4-FFF2-40B4-BE49-F238E27FC236}">
              <a16:creationId xmlns:a16="http://schemas.microsoft.com/office/drawing/2014/main" id="{1582E8D0-D6F3-4511-8E71-6526139EF212}"/>
            </a:ext>
          </a:extLst>
        </xdr:cNvPr>
        <xdr:cNvSpPr/>
      </xdr:nvSpPr>
      <xdr:spPr>
        <a:xfrm>
          <a:off x="0" y="7804513"/>
          <a:ext cx="4948973" cy="598171"/>
        </a:xfrm>
        <a:prstGeom prst="roundRect">
          <a:avLst>
            <a:gd name="adj" fmla="val 13100"/>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100">
              <a:solidFill>
                <a:schemeClr val="tx1"/>
              </a:solidFill>
              <a:latin typeface="ＭＳ ゴシック" pitchFamily="49" charset="-128"/>
              <a:ea typeface="ＭＳ ゴシック" pitchFamily="49" charset="-128"/>
            </a:rPr>
            <a:t>電気自動車や低炭素電力、バイオ燃料などを利用した場合は排出係数はこちらにこちらに記入する</a:t>
          </a:r>
        </a:p>
      </xdr:txBody>
    </xdr:sp>
    <xdr:clientData fPrintsWithSheet="0"/>
  </xdr:twoCellAnchor>
  <xdr:oneCellAnchor>
    <xdr:from>
      <xdr:col>14</xdr:col>
      <xdr:colOff>408214</xdr:colOff>
      <xdr:row>56</xdr:row>
      <xdr:rowOff>381000</xdr:rowOff>
    </xdr:from>
    <xdr:ext cx="3497036" cy="708563"/>
    <xdr:sp macro="" textlink="">
      <xdr:nvSpPr>
        <xdr:cNvPr id="10" name="角丸四角形 8">
          <a:extLst>
            <a:ext uri="{FF2B5EF4-FFF2-40B4-BE49-F238E27FC236}">
              <a16:creationId xmlns:a16="http://schemas.microsoft.com/office/drawing/2014/main" id="{F8B07B35-2CA1-4DBA-A3F5-464070DF2F9C}"/>
            </a:ext>
          </a:extLst>
        </xdr:cNvPr>
        <xdr:cNvSpPr/>
      </xdr:nvSpPr>
      <xdr:spPr>
        <a:xfrm>
          <a:off x="6511834" y="8282940"/>
          <a:ext cx="3497036" cy="708563"/>
        </a:xfrm>
        <a:prstGeom prst="roundRect">
          <a:avLst>
            <a:gd name="adj" fmla="val 0"/>
          </a:avLst>
        </a:prstGeom>
        <a:solidFill>
          <a:srgbClr val="00B0F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lnSpc>
              <a:spcPts val="1200"/>
            </a:lnSpc>
          </a:pPr>
          <a:r>
            <a:rPr kumimoji="1" lang="en-US" altLang="ja-JP" sz="1100">
              <a:solidFill>
                <a:schemeClr val="tx1"/>
              </a:solidFill>
              <a:latin typeface="ＭＳ ゴシック" pitchFamily="49" charset="-128"/>
              <a:ea typeface="ＭＳ ゴシック" pitchFamily="49" charset="-128"/>
            </a:rPr>
            <a:t>※</a:t>
          </a:r>
          <a:r>
            <a:rPr kumimoji="1" lang="ja-JP" altLang="en-US" sz="1100">
              <a:solidFill>
                <a:schemeClr val="tx1"/>
              </a:solidFill>
              <a:latin typeface="ＭＳ ゴシック" pitchFamily="49" charset="-128"/>
              <a:ea typeface="ＭＳ ゴシック" pitchFamily="49" charset="-128"/>
            </a:rPr>
            <a:t>電気自動車は電力メーターで別計量ができる。あるいは外部充電での計量値がある場合に記入する。建物等と計量が一括の場合は記入する必要はない。</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5</xdr:col>
      <xdr:colOff>369794</xdr:colOff>
      <xdr:row>1</xdr:row>
      <xdr:rowOff>67236</xdr:rowOff>
    </xdr:from>
    <xdr:to>
      <xdr:col>15</xdr:col>
      <xdr:colOff>33618</xdr:colOff>
      <xdr:row>4</xdr:row>
      <xdr:rowOff>1</xdr:rowOff>
    </xdr:to>
    <xdr:sp macro="" textlink="">
      <xdr:nvSpPr>
        <xdr:cNvPr id="2" name="四角形吹き出し 1">
          <a:extLst>
            <a:ext uri="{FF2B5EF4-FFF2-40B4-BE49-F238E27FC236}">
              <a16:creationId xmlns:a16="http://schemas.microsoft.com/office/drawing/2014/main" id="{909D51E2-2164-464A-8F05-CC97582088F0}"/>
            </a:ext>
          </a:extLst>
        </xdr:cNvPr>
        <xdr:cNvSpPr/>
      </xdr:nvSpPr>
      <xdr:spPr>
        <a:xfrm>
          <a:off x="3455894" y="234876"/>
          <a:ext cx="601084" cy="580465"/>
        </a:xfrm>
        <a:prstGeom prst="wedgeRectCallout">
          <a:avLst>
            <a:gd name="adj1" fmla="val -49528"/>
            <a:gd name="adj2" fmla="val 181730"/>
          </a:avLst>
        </a:prstGeom>
        <a:solidFill>
          <a:schemeClr val="accent1">
            <a:lumMod val="20000"/>
            <a:lumOff val="80000"/>
          </a:schemeClr>
        </a:solidFill>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該当の単位を選択します。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28</xdr:col>
      <xdr:colOff>816429</xdr:colOff>
      <xdr:row>0</xdr:row>
      <xdr:rowOff>97971</xdr:rowOff>
    </xdr:from>
    <xdr:to>
      <xdr:col>34</xdr:col>
      <xdr:colOff>544286</xdr:colOff>
      <xdr:row>4</xdr:row>
      <xdr:rowOff>43543</xdr:rowOff>
    </xdr:to>
    <xdr:sp macro="" textlink="">
      <xdr:nvSpPr>
        <xdr:cNvPr id="2" name="正方形/長方形 1">
          <a:extLst>
            <a:ext uri="{FF2B5EF4-FFF2-40B4-BE49-F238E27FC236}">
              <a16:creationId xmlns:a16="http://schemas.microsoft.com/office/drawing/2014/main" id="{3D37D07D-8393-4DFD-A282-DFB4A9A3927C}"/>
            </a:ext>
          </a:extLst>
        </xdr:cNvPr>
        <xdr:cNvSpPr/>
      </xdr:nvSpPr>
      <xdr:spPr>
        <a:xfrm>
          <a:off x="8604069" y="97971"/>
          <a:ext cx="4757057" cy="791392"/>
        </a:xfrm>
        <a:prstGeom prst="rect">
          <a:avLst/>
        </a:prstGeom>
        <a:noFill/>
        <a:ln w="190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27</xdr:row>
          <xdr:rowOff>44450</xdr:rowOff>
        </xdr:from>
        <xdr:to>
          <xdr:col>6</xdr:col>
          <xdr:colOff>69850</xdr:colOff>
          <xdr:row>27</xdr:row>
          <xdr:rowOff>260350</xdr:rowOff>
        </xdr:to>
        <xdr:sp macro="" textlink="">
          <xdr:nvSpPr>
            <xdr:cNvPr id="50177" name="Option Button 1" hidden="1">
              <a:extLst>
                <a:ext uri="{63B3BB69-23CF-44E3-9099-C40C66FF867C}">
                  <a14:compatExt spid="_x0000_s50177"/>
                </a:ext>
                <a:ext uri="{FF2B5EF4-FFF2-40B4-BE49-F238E27FC236}">
                  <a16:creationId xmlns:a16="http://schemas.microsoft.com/office/drawing/2014/main" id="{00000000-0008-0000-07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38100</xdr:rowOff>
        </xdr:from>
        <xdr:to>
          <xdr:col>6</xdr:col>
          <xdr:colOff>107950</xdr:colOff>
          <xdr:row>28</xdr:row>
          <xdr:rowOff>273050</xdr:rowOff>
        </xdr:to>
        <xdr:sp macro="" textlink="">
          <xdr:nvSpPr>
            <xdr:cNvPr id="50178" name="Option Button 2" hidden="1">
              <a:extLst>
                <a:ext uri="{63B3BB69-23CF-44E3-9099-C40C66FF867C}">
                  <a14:compatExt spid="_x0000_s50178"/>
                </a:ext>
                <a:ext uri="{FF2B5EF4-FFF2-40B4-BE49-F238E27FC236}">
                  <a16:creationId xmlns:a16="http://schemas.microsoft.com/office/drawing/2014/main" id="{00000000-0008-0000-07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38100</xdr:rowOff>
        </xdr:from>
        <xdr:to>
          <xdr:col>6</xdr:col>
          <xdr:colOff>107950</xdr:colOff>
          <xdr:row>29</xdr:row>
          <xdr:rowOff>273050</xdr:rowOff>
        </xdr:to>
        <xdr:sp macro="" textlink="">
          <xdr:nvSpPr>
            <xdr:cNvPr id="50179" name="Option Button 3" hidden="1">
              <a:extLst>
                <a:ext uri="{63B3BB69-23CF-44E3-9099-C40C66FF867C}">
                  <a14:compatExt spid="_x0000_s50179"/>
                </a:ext>
                <a:ext uri="{FF2B5EF4-FFF2-40B4-BE49-F238E27FC236}">
                  <a16:creationId xmlns:a16="http://schemas.microsoft.com/office/drawing/2014/main" id="{00000000-0008-0000-07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38100</xdr:rowOff>
        </xdr:from>
        <xdr:to>
          <xdr:col>6</xdr:col>
          <xdr:colOff>107950</xdr:colOff>
          <xdr:row>30</xdr:row>
          <xdr:rowOff>273050</xdr:rowOff>
        </xdr:to>
        <xdr:sp macro="" textlink="">
          <xdr:nvSpPr>
            <xdr:cNvPr id="50180" name="Option Button 4" hidden="1">
              <a:extLst>
                <a:ext uri="{63B3BB69-23CF-44E3-9099-C40C66FF867C}">
                  <a14:compatExt spid="_x0000_s50180"/>
                </a:ext>
                <a:ext uri="{FF2B5EF4-FFF2-40B4-BE49-F238E27FC236}">
                  <a16:creationId xmlns:a16="http://schemas.microsoft.com/office/drawing/2014/main" id="{00000000-0008-0000-07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38100</xdr:rowOff>
        </xdr:from>
        <xdr:to>
          <xdr:col>6</xdr:col>
          <xdr:colOff>107950</xdr:colOff>
          <xdr:row>31</xdr:row>
          <xdr:rowOff>273050</xdr:rowOff>
        </xdr:to>
        <xdr:sp macro="" textlink="">
          <xdr:nvSpPr>
            <xdr:cNvPr id="50181" name="Option Button 5" hidden="1">
              <a:extLst>
                <a:ext uri="{63B3BB69-23CF-44E3-9099-C40C66FF867C}">
                  <a14:compatExt spid="_x0000_s50181"/>
                </a:ext>
                <a:ext uri="{FF2B5EF4-FFF2-40B4-BE49-F238E27FC236}">
                  <a16:creationId xmlns:a16="http://schemas.microsoft.com/office/drawing/2014/main" id="{00000000-0008-0000-07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38100</xdr:rowOff>
        </xdr:from>
        <xdr:to>
          <xdr:col>6</xdr:col>
          <xdr:colOff>107950</xdr:colOff>
          <xdr:row>32</xdr:row>
          <xdr:rowOff>273050</xdr:rowOff>
        </xdr:to>
        <xdr:sp macro="" textlink="">
          <xdr:nvSpPr>
            <xdr:cNvPr id="50182" name="Option Button 6" hidden="1">
              <a:extLst>
                <a:ext uri="{63B3BB69-23CF-44E3-9099-C40C66FF867C}">
                  <a14:compatExt spid="_x0000_s50182"/>
                </a:ext>
                <a:ext uri="{FF2B5EF4-FFF2-40B4-BE49-F238E27FC236}">
                  <a16:creationId xmlns:a16="http://schemas.microsoft.com/office/drawing/2014/main" id="{00000000-0008-0000-07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38100</xdr:rowOff>
        </xdr:from>
        <xdr:to>
          <xdr:col>6</xdr:col>
          <xdr:colOff>107950</xdr:colOff>
          <xdr:row>33</xdr:row>
          <xdr:rowOff>273050</xdr:rowOff>
        </xdr:to>
        <xdr:sp macro="" textlink="">
          <xdr:nvSpPr>
            <xdr:cNvPr id="50183" name="Option Button 7" hidden="1">
              <a:extLst>
                <a:ext uri="{63B3BB69-23CF-44E3-9099-C40C66FF867C}">
                  <a14:compatExt spid="_x0000_s50183"/>
                </a:ext>
                <a:ext uri="{FF2B5EF4-FFF2-40B4-BE49-F238E27FC236}">
                  <a16:creationId xmlns:a16="http://schemas.microsoft.com/office/drawing/2014/main" id="{00000000-0008-0000-07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327660</xdr:colOff>
      <xdr:row>4</xdr:row>
      <xdr:rowOff>203835</xdr:rowOff>
    </xdr:from>
    <xdr:to>
      <xdr:col>11</xdr:col>
      <xdr:colOff>396240</xdr:colOff>
      <xdr:row>6</xdr:row>
      <xdr:rowOff>186690</xdr:rowOff>
    </xdr:to>
    <xdr:sp macro="" textlink="">
      <xdr:nvSpPr>
        <xdr:cNvPr id="3" name="四角形吹き出し 1">
          <a:extLst>
            <a:ext uri="{FF2B5EF4-FFF2-40B4-BE49-F238E27FC236}">
              <a16:creationId xmlns:a16="http://schemas.microsoft.com/office/drawing/2014/main" id="{8162331B-D485-43BB-943E-1E030B7B7EAF}"/>
            </a:ext>
          </a:extLst>
        </xdr:cNvPr>
        <xdr:cNvSpPr/>
      </xdr:nvSpPr>
      <xdr:spPr>
        <a:xfrm>
          <a:off x="3589020" y="1049655"/>
          <a:ext cx="0" cy="668655"/>
        </a:xfrm>
        <a:prstGeom prst="wedgeRectCallout">
          <a:avLst>
            <a:gd name="adj1" fmla="val 93846"/>
            <a:gd name="adj2" fmla="val -8287"/>
          </a:avLst>
        </a:prstGeom>
        <a:solidFill>
          <a:schemeClr val="bg1"/>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ysClr val="windowText" lastClr="000000"/>
              </a:solidFill>
            </a:rPr>
            <a:t>該当年度</a:t>
          </a:r>
          <a:r>
            <a:rPr kumimoji="1" lang="en-US" altLang="ja-JP" sz="900">
              <a:solidFill>
                <a:sysClr val="windowText" lastClr="000000"/>
              </a:solidFill>
            </a:rPr>
            <a:t>3</a:t>
          </a:r>
          <a:r>
            <a:rPr kumimoji="1" lang="ja-JP" altLang="en-US" sz="900">
              <a:solidFill>
                <a:sysClr val="windowText" lastClr="000000"/>
              </a:solidFill>
            </a:rPr>
            <a:t>ヵ年の水色のセルに”○”を選択する。</a:t>
          </a:r>
        </a:p>
      </xdr:txBody>
    </xdr:sp>
    <xdr:clientData fPrintsWithSheet="0"/>
  </xdr:twoCellAnchor>
  <xdr:twoCellAnchor>
    <xdr:from>
      <xdr:col>14</xdr:col>
      <xdr:colOff>253734</xdr:colOff>
      <xdr:row>20</xdr:row>
      <xdr:rowOff>0</xdr:rowOff>
    </xdr:from>
    <xdr:to>
      <xdr:col>16</xdr:col>
      <xdr:colOff>512109</xdr:colOff>
      <xdr:row>22</xdr:row>
      <xdr:rowOff>128307</xdr:rowOff>
    </xdr:to>
    <xdr:sp macro="" textlink="">
      <xdr:nvSpPr>
        <xdr:cNvPr id="4" name="四角形吹き出し 17">
          <a:extLst>
            <a:ext uri="{FF2B5EF4-FFF2-40B4-BE49-F238E27FC236}">
              <a16:creationId xmlns:a16="http://schemas.microsoft.com/office/drawing/2014/main" id="{D87170FD-D3BF-4B48-AADF-DC086F06F7DD}"/>
            </a:ext>
          </a:extLst>
        </xdr:cNvPr>
        <xdr:cNvSpPr/>
      </xdr:nvSpPr>
      <xdr:spPr>
        <a:xfrm>
          <a:off x="3589020" y="6400800"/>
          <a:ext cx="0" cy="615987"/>
        </a:xfrm>
        <a:prstGeom prst="wedgeRectCallout">
          <a:avLst>
            <a:gd name="adj1" fmla="val 14522"/>
            <a:gd name="adj2" fmla="val 255900"/>
          </a:avLst>
        </a:prstGeom>
        <a:no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薄黄色の該当部セルに数値を記入する。</a:t>
          </a:r>
          <a:endParaRPr kumimoji="1" lang="en-US" altLang="ja-JP" sz="900">
            <a:solidFill>
              <a:sysClr val="windowText" lastClr="000000"/>
            </a:solidFill>
          </a:endParaRPr>
        </a:p>
        <a:p>
          <a:pPr algn="l"/>
          <a:r>
            <a:rPr kumimoji="1" lang="ja-JP" altLang="en-US" sz="900">
              <a:solidFill>
                <a:sysClr val="windowText" lastClr="000000"/>
              </a:solidFill>
            </a:rPr>
            <a:t>記入する単位に注意</a:t>
          </a:r>
        </a:p>
      </xdr:txBody>
    </xdr:sp>
    <xdr:clientData fPrintsWithSheet="0"/>
  </xdr:twoCellAnchor>
  <xdr:oneCellAnchor>
    <xdr:from>
      <xdr:col>33</xdr:col>
      <xdr:colOff>764289</xdr:colOff>
      <xdr:row>18</xdr:row>
      <xdr:rowOff>201707</xdr:rowOff>
    </xdr:from>
    <xdr:ext cx="3581673" cy="443767"/>
    <xdr:sp macro="" textlink="">
      <xdr:nvSpPr>
        <xdr:cNvPr id="5" name="四角形吹き出し 22">
          <a:extLst>
            <a:ext uri="{FF2B5EF4-FFF2-40B4-BE49-F238E27FC236}">
              <a16:creationId xmlns:a16="http://schemas.microsoft.com/office/drawing/2014/main" id="{72F1CDBD-2A5F-4B80-98BE-34908B8AA070}"/>
            </a:ext>
          </a:extLst>
        </xdr:cNvPr>
        <xdr:cNvSpPr/>
      </xdr:nvSpPr>
      <xdr:spPr>
        <a:xfrm>
          <a:off x="16940460" y="5938478"/>
          <a:ext cx="3581673" cy="443767"/>
        </a:xfrm>
        <a:prstGeom prst="wedgeRectCallout">
          <a:avLst>
            <a:gd name="adj1" fmla="val -91694"/>
            <a:gd name="adj2" fmla="val -27324"/>
          </a:avLst>
        </a:prstGeom>
        <a:solidFill>
          <a:schemeClr val="bg1"/>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spAutoFit/>
        </a:bodyPr>
        <a:lstStyle/>
        <a:p>
          <a:pPr algn="l"/>
          <a:r>
            <a:rPr kumimoji="1" lang="ja-JP" altLang="en-US" sz="1000">
              <a:solidFill>
                <a:sysClr val="windowText" lastClr="000000"/>
              </a:solidFill>
            </a:rPr>
            <a:t>・基準年度の選択に不備がなければ、”ＯＫ”と表示される。</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fPrintsWithSheet="0"/>
  </xdr:oneCellAnchor>
  <xdr:oneCellAnchor>
    <xdr:from>
      <xdr:col>33</xdr:col>
      <xdr:colOff>670750</xdr:colOff>
      <xdr:row>34</xdr:row>
      <xdr:rowOff>122607</xdr:rowOff>
    </xdr:from>
    <xdr:ext cx="2759531" cy="521425"/>
    <xdr:sp macro="" textlink="">
      <xdr:nvSpPr>
        <xdr:cNvPr id="6" name="四角形吹き出し 19">
          <a:extLst>
            <a:ext uri="{FF2B5EF4-FFF2-40B4-BE49-F238E27FC236}">
              <a16:creationId xmlns:a16="http://schemas.microsoft.com/office/drawing/2014/main" id="{53E3F397-65EF-4045-8742-227A0E168664}"/>
            </a:ext>
          </a:extLst>
        </xdr:cNvPr>
        <xdr:cNvSpPr/>
      </xdr:nvSpPr>
      <xdr:spPr>
        <a:xfrm>
          <a:off x="16846921" y="11128064"/>
          <a:ext cx="2759531" cy="521425"/>
        </a:xfrm>
        <a:prstGeom prst="wedgeRectCallout">
          <a:avLst>
            <a:gd name="adj1" fmla="val -98240"/>
            <a:gd name="adj2" fmla="val -18022"/>
          </a:avLst>
        </a:prstGeom>
        <a:solidFill>
          <a:schemeClr val="bg1"/>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spAutoFit/>
        </a:bodyPr>
        <a:lstStyle/>
        <a:p>
          <a:pPr algn="l"/>
          <a:r>
            <a:rPr kumimoji="1" lang="ja-JP" altLang="en-US" sz="1000">
              <a:solidFill>
                <a:sysClr val="windowText" lastClr="000000"/>
              </a:solidFill>
            </a:rPr>
            <a:t>・基準年度の選択に不備がなければ、”ＯＫ”と表示される。</a:t>
          </a:r>
          <a:endParaRPr kumimoji="1" lang="en-US" altLang="ja-JP" sz="1000">
            <a:solidFill>
              <a:sysClr val="windowText" lastClr="000000"/>
            </a:solidFill>
          </a:endParaRPr>
        </a:p>
      </xdr:txBody>
    </xdr:sp>
    <xdr:clientData fPrintsWithSheet="0"/>
  </xdr:oneCellAnchor>
  <mc:AlternateContent xmlns:mc="http://schemas.openxmlformats.org/markup-compatibility/2006">
    <mc:Choice xmlns:a14="http://schemas.microsoft.com/office/drawing/2010/main" Requires="a14">
      <xdr:twoCellAnchor editAs="oneCell">
        <xdr:from>
          <xdr:col>29</xdr:col>
          <xdr:colOff>488950</xdr:colOff>
          <xdr:row>0</xdr:row>
          <xdr:rowOff>76200</xdr:rowOff>
        </xdr:from>
        <xdr:to>
          <xdr:col>30</xdr:col>
          <xdr:colOff>273050</xdr:colOff>
          <xdr:row>5</xdr:row>
          <xdr:rowOff>0</xdr:rowOff>
        </xdr:to>
        <xdr:sp macro="" textlink="">
          <xdr:nvSpPr>
            <xdr:cNvPr id="50184" name="Group Box 8" hidden="1">
              <a:extLst>
                <a:ext uri="{63B3BB69-23CF-44E3-9099-C40C66FF867C}">
                  <a14:compatExt spid="_x0000_s50184"/>
                </a:ext>
                <a:ext uri="{FF2B5EF4-FFF2-40B4-BE49-F238E27FC236}">
                  <a16:creationId xmlns:a16="http://schemas.microsoft.com/office/drawing/2014/main" id="{00000000-0008-0000-0700-000008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26</xdr:row>
          <xdr:rowOff>273050</xdr:rowOff>
        </xdr:from>
        <xdr:to>
          <xdr:col>6</xdr:col>
          <xdr:colOff>260350</xdr:colOff>
          <xdr:row>34</xdr:row>
          <xdr:rowOff>222250</xdr:rowOff>
        </xdr:to>
        <xdr:sp macro="" textlink="">
          <xdr:nvSpPr>
            <xdr:cNvPr id="50185" name="Group Box 9" hidden="1">
              <a:extLst>
                <a:ext uri="{63B3BB69-23CF-44E3-9099-C40C66FF867C}">
                  <a14:compatExt spid="_x0000_s50185"/>
                </a:ext>
                <a:ext uri="{FF2B5EF4-FFF2-40B4-BE49-F238E27FC236}">
                  <a16:creationId xmlns:a16="http://schemas.microsoft.com/office/drawing/2014/main" id="{00000000-0008-0000-0700-000009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120</a:t>
              </a:r>
            </a:p>
          </xdr:txBody>
        </xdr:sp>
        <xdr:clientData/>
      </xdr:twoCellAnchor>
    </mc:Choice>
    <mc:Fallback/>
  </mc:AlternateContent>
  <xdr:oneCellAnchor>
    <xdr:from>
      <xdr:col>23</xdr:col>
      <xdr:colOff>555171</xdr:colOff>
      <xdr:row>1</xdr:row>
      <xdr:rowOff>175260</xdr:rowOff>
    </xdr:from>
    <xdr:ext cx="3461113" cy="564385"/>
    <xdr:sp macro="" textlink="">
      <xdr:nvSpPr>
        <xdr:cNvPr id="8" name="四角形吹き出し 15">
          <a:extLst>
            <a:ext uri="{FF2B5EF4-FFF2-40B4-BE49-F238E27FC236}">
              <a16:creationId xmlns:a16="http://schemas.microsoft.com/office/drawing/2014/main" id="{93A0D315-F02F-4325-8E2B-09446EFF7CFF}"/>
            </a:ext>
          </a:extLst>
        </xdr:cNvPr>
        <xdr:cNvSpPr/>
      </xdr:nvSpPr>
      <xdr:spPr>
        <a:xfrm>
          <a:off x="4147457" y="262346"/>
          <a:ext cx="3461113" cy="564385"/>
        </a:xfrm>
        <a:prstGeom prst="wedgeRectCallout">
          <a:avLst>
            <a:gd name="adj1" fmla="val -49955"/>
            <a:gd name="adj2" fmla="val -23336"/>
          </a:avLst>
        </a:prstGeom>
        <a:solidFill>
          <a:schemeClr val="accent2">
            <a:lumMod val="40000"/>
            <a:lumOff val="60000"/>
          </a:schemeClr>
        </a:solidFill>
        <a:ln w="317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rIns="36000" rtlCol="0" anchor="t">
          <a:spAutoFit/>
        </a:bodyPr>
        <a:lstStyle/>
        <a:p>
          <a:pPr algn="l"/>
          <a:r>
            <a:rPr kumimoji="1" lang="ja-JP" altLang="en-US" sz="1100" b="1">
              <a:solidFill>
                <a:sysClr val="windowText" lastClr="000000"/>
              </a:solidFill>
            </a:rPr>
            <a:t>令和６年度までの実績を記入しないと、正しく算出されません。</a:t>
          </a:r>
        </a:p>
      </xdr:txBody>
    </xdr:sp>
    <xdr:clientData fPrintsWithSheet="0"/>
  </xdr:oneCellAnchor>
  <xdr:oneCellAnchor>
    <xdr:from>
      <xdr:col>32</xdr:col>
      <xdr:colOff>766082</xdr:colOff>
      <xdr:row>10</xdr:row>
      <xdr:rowOff>156965</xdr:rowOff>
    </xdr:from>
    <xdr:ext cx="2516282" cy="478721"/>
    <xdr:sp macro="" textlink="">
      <xdr:nvSpPr>
        <xdr:cNvPr id="9" name="四角形吹き出し 22">
          <a:extLst>
            <a:ext uri="{FF2B5EF4-FFF2-40B4-BE49-F238E27FC236}">
              <a16:creationId xmlns:a16="http://schemas.microsoft.com/office/drawing/2014/main" id="{C29F4C2E-96E6-4252-8DFA-D6B2C1F5836A}"/>
            </a:ext>
          </a:extLst>
        </xdr:cNvPr>
        <xdr:cNvSpPr/>
      </xdr:nvSpPr>
      <xdr:spPr>
        <a:xfrm>
          <a:off x="11906522" y="3441185"/>
          <a:ext cx="2516282" cy="478721"/>
        </a:xfrm>
        <a:prstGeom prst="wedgeRectCallout">
          <a:avLst>
            <a:gd name="adj1" fmla="val -110469"/>
            <a:gd name="adj2" fmla="val -18022"/>
          </a:avLst>
        </a:prstGeom>
        <a:solidFill>
          <a:schemeClr val="bg1"/>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spAutoFit/>
        </a:bodyPr>
        <a:lstStyle/>
        <a:p>
          <a:pPr algn="l"/>
          <a:r>
            <a:rPr kumimoji="1" lang="ja-JP" altLang="en-US" sz="900">
              <a:solidFill>
                <a:sysClr val="windowText" lastClr="000000"/>
              </a:solidFill>
            </a:rPr>
            <a:t>令和</a:t>
          </a:r>
          <a:r>
            <a:rPr kumimoji="1" lang="en-US" altLang="ja-JP" sz="900">
              <a:solidFill>
                <a:sysClr val="windowText" lastClr="000000"/>
              </a:solidFill>
            </a:rPr>
            <a:t>7</a:t>
          </a:r>
          <a:r>
            <a:rPr kumimoji="1" lang="ja-JP" altLang="en-US" sz="900">
              <a:solidFill>
                <a:sysClr val="windowText" lastClr="000000"/>
              </a:solidFill>
            </a:rPr>
            <a:t>年度以降の太再生可能エネルギー（太陽光）自家消費分電力量実績はこの欄に記入する。</a:t>
          </a:r>
        </a:p>
      </xdr:txBody>
    </xdr:sp>
    <xdr:clientData fPrintsWithSheet="0"/>
  </xdr:oneCellAnchor>
  <xdr:oneCellAnchor>
    <xdr:from>
      <xdr:col>39</xdr:col>
      <xdr:colOff>87086</xdr:colOff>
      <xdr:row>7</xdr:row>
      <xdr:rowOff>32658</xdr:rowOff>
    </xdr:from>
    <xdr:ext cx="4644934" cy="1399902"/>
    <xdr:sp macro="" textlink="">
      <xdr:nvSpPr>
        <xdr:cNvPr id="10" name="吹き出し: 四角形 9">
          <a:extLst>
            <a:ext uri="{FF2B5EF4-FFF2-40B4-BE49-F238E27FC236}">
              <a16:creationId xmlns:a16="http://schemas.microsoft.com/office/drawing/2014/main" id="{B7882D14-2B7A-4715-96E9-86A25894FB5F}"/>
            </a:ext>
          </a:extLst>
        </xdr:cNvPr>
        <xdr:cNvSpPr/>
      </xdr:nvSpPr>
      <xdr:spPr>
        <a:xfrm>
          <a:off x="16637726" y="1876698"/>
          <a:ext cx="4644934" cy="1399902"/>
        </a:xfrm>
        <a:prstGeom prst="wedgeRectCallout">
          <a:avLst>
            <a:gd name="adj1" fmla="val -55548"/>
            <a:gd name="adj2" fmla="val 7767"/>
          </a:avLst>
        </a:prstGeom>
        <a:solidFill>
          <a:schemeClr val="accent2">
            <a:lumMod val="40000"/>
            <a:lumOff val="60000"/>
          </a:schemeClr>
        </a:solidFill>
        <a:ln w="12700">
          <a:solidFill>
            <a:schemeClr val="tx1"/>
          </a:solidFill>
          <a:tailEnd type="non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t">
          <a:noAutofit/>
        </a:bodyPr>
        <a:lstStyle/>
        <a:p>
          <a:pPr algn="l"/>
          <a:r>
            <a:rPr kumimoji="1" lang="ja-JP" altLang="en-US" sz="1200" b="1"/>
            <a:t> </a:t>
          </a:r>
          <a:r>
            <a:rPr kumimoji="1" lang="ja-JP" altLang="en-US" sz="1200" b="1">
              <a:latin typeface="+mn-ea"/>
              <a:ea typeface="+mn-ea"/>
            </a:rPr>
            <a:t>・</a:t>
          </a:r>
          <a:r>
            <a:rPr kumimoji="1" lang="en-US" altLang="ja-JP" sz="1200" b="1">
              <a:latin typeface="+mn-ea"/>
              <a:ea typeface="+mn-ea"/>
            </a:rPr>
            <a:t>#9</a:t>
          </a:r>
          <a:r>
            <a:rPr kumimoji="1" lang="ja-JP" altLang="en-US" sz="1200" b="1">
              <a:latin typeface="+mn-ea"/>
              <a:ea typeface="+mn-ea"/>
            </a:rPr>
            <a:t>、</a:t>
          </a:r>
          <a:r>
            <a:rPr kumimoji="1" lang="en-US" altLang="ja-JP" sz="1200" b="1">
              <a:latin typeface="+mn-ea"/>
              <a:ea typeface="+mn-ea"/>
            </a:rPr>
            <a:t>10</a:t>
          </a:r>
          <a:r>
            <a:rPr kumimoji="1" lang="ja-JP" altLang="en-US" sz="1200" b="1">
              <a:latin typeface="+mn-ea"/>
              <a:ea typeface="+mn-ea"/>
            </a:rPr>
            <a:t>、</a:t>
          </a:r>
          <a:r>
            <a:rPr kumimoji="1" lang="en-US" altLang="ja-JP" sz="1200" b="1">
              <a:latin typeface="+mn-ea"/>
              <a:ea typeface="+mn-ea"/>
            </a:rPr>
            <a:t>11</a:t>
          </a:r>
          <a:r>
            <a:rPr kumimoji="1" lang="ja-JP" altLang="en-US" sz="1200" b="1">
              <a:latin typeface="+mn-ea"/>
              <a:ea typeface="+mn-ea"/>
            </a:rPr>
            <a:t>シートで算定された</a:t>
          </a:r>
          <a:r>
            <a:rPr kumimoji="1" lang="en-US" altLang="ja-JP" sz="1200" b="1">
              <a:latin typeface="+mn-ea"/>
              <a:ea typeface="+mn-ea"/>
            </a:rPr>
            <a:t>CO₂</a:t>
          </a:r>
          <a:r>
            <a:rPr kumimoji="1" lang="ja-JP" altLang="en-US" sz="1200" b="1">
              <a:latin typeface="+mn-ea"/>
              <a:ea typeface="+mn-ea"/>
            </a:rPr>
            <a:t>量数値を  ｱ</a:t>
          </a:r>
          <a:r>
            <a:rPr kumimoji="1" lang="en-US" altLang="ja-JP" sz="1200" b="1">
              <a:latin typeface="+mn-ea"/>
              <a:ea typeface="+mn-ea"/>
            </a:rPr>
            <a:t>)</a:t>
          </a:r>
          <a:r>
            <a:rPr kumimoji="1" lang="ja-JP" altLang="en-US" sz="1200" b="1">
              <a:latin typeface="+mn-ea"/>
              <a:ea typeface="+mn-ea"/>
            </a:rPr>
            <a:t>、 ｲ</a:t>
          </a:r>
          <a:r>
            <a:rPr kumimoji="1" lang="en-US" altLang="ja-JP" sz="1200" b="1">
              <a:latin typeface="+mn-ea"/>
              <a:ea typeface="+mn-ea"/>
            </a:rPr>
            <a:t>)</a:t>
          </a:r>
          <a:r>
            <a:rPr kumimoji="1" lang="ja-JP" altLang="en-US" sz="1200" b="1">
              <a:latin typeface="+mn-ea"/>
              <a:ea typeface="+mn-ea"/>
            </a:rPr>
            <a:t>、 ｳ</a:t>
          </a:r>
          <a:r>
            <a:rPr kumimoji="1" lang="en-US" altLang="ja-JP" sz="1200" b="1">
              <a:latin typeface="+mn-ea"/>
              <a:ea typeface="+mn-ea"/>
            </a:rPr>
            <a:t>)</a:t>
          </a:r>
          <a:r>
            <a:rPr kumimoji="1" lang="ja-JP" altLang="en-US" sz="1200" b="1">
              <a:latin typeface="+mn-ea"/>
              <a:ea typeface="+mn-ea"/>
            </a:rPr>
            <a:t>行</a:t>
          </a:r>
          <a:endParaRPr kumimoji="1" lang="en-US" altLang="ja-JP" sz="1200" b="1">
            <a:latin typeface="+mn-ea"/>
            <a:ea typeface="+mn-ea"/>
          </a:endParaRPr>
        </a:p>
        <a:p>
          <a:pPr algn="l"/>
          <a:r>
            <a:rPr kumimoji="1" lang="ja-JP" altLang="en-US" sz="1200" b="1">
              <a:latin typeface="+mn-ea"/>
              <a:ea typeface="+mn-ea"/>
            </a:rPr>
            <a:t>　に記入する。</a:t>
          </a:r>
          <a:endParaRPr kumimoji="1" lang="en-US" altLang="ja-JP" sz="1200" b="1">
            <a:latin typeface="+mn-ea"/>
            <a:ea typeface="+mn-ea"/>
          </a:endParaRPr>
        </a:p>
        <a:p>
          <a:pPr algn="l"/>
          <a:r>
            <a:rPr kumimoji="1" lang="en-US" altLang="ja-JP" sz="1200" b="1">
              <a:latin typeface="+mn-ea"/>
              <a:ea typeface="+mn-ea"/>
            </a:rPr>
            <a:t>※</a:t>
          </a:r>
          <a:r>
            <a:rPr kumimoji="1" lang="ja-JP" altLang="en-US" sz="1200" b="1">
              <a:latin typeface="+mn-ea"/>
              <a:ea typeface="+mn-ea"/>
            </a:rPr>
            <a:t>太陽光自家消費をしている事業者は</a:t>
          </a:r>
          <a:endParaRPr kumimoji="1" lang="en-US" altLang="ja-JP" sz="1200" b="1">
            <a:latin typeface="+mn-ea"/>
            <a:ea typeface="+mn-ea"/>
          </a:endParaRPr>
        </a:p>
        <a:p>
          <a:pPr algn="l"/>
          <a:r>
            <a:rPr kumimoji="1" lang="ja-JP" altLang="en-US" sz="1200" b="1"/>
            <a:t>①自家消費電力量</a:t>
          </a:r>
          <a:r>
            <a:rPr kumimoji="1" lang="en-US" altLang="ja-JP" sz="1200" b="1"/>
            <a:t>(kWh)</a:t>
          </a:r>
          <a:r>
            <a:rPr kumimoji="1" lang="ja-JP" altLang="en-US" sz="1200" b="1"/>
            <a:t>を  ｱ＊、ｲ＊ 行に記入する。</a:t>
          </a:r>
          <a:endParaRPr kumimoji="1" lang="en-US" altLang="ja-JP" sz="1200" b="1"/>
        </a:p>
        <a:p>
          <a:pPr algn="l"/>
          <a:r>
            <a:rPr kumimoji="1" lang="ja-JP" altLang="en-US" sz="1200" b="1"/>
            <a:t>②令和９年度までの</a:t>
          </a:r>
          <a:r>
            <a:rPr kumimoji="1" lang="en-US" altLang="ja-JP" sz="1200" b="1"/>
            <a:t>CO₂</a:t>
          </a:r>
          <a:r>
            <a:rPr kumimoji="1" lang="ja-JP" altLang="en-US" sz="1200" b="1"/>
            <a:t>量実績報告は ｵ、ｷ  行の実績値を引用する。</a:t>
          </a:r>
        </a:p>
      </xdr:txBody>
    </xdr:sp>
    <xdr:clientData fPrintsWithSheet="0"/>
  </xdr:oneCellAnchor>
  <xdr:twoCellAnchor>
    <xdr:from>
      <xdr:col>29</xdr:col>
      <xdr:colOff>185057</xdr:colOff>
      <xdr:row>1</xdr:row>
      <xdr:rowOff>43543</xdr:rowOff>
    </xdr:from>
    <xdr:to>
      <xdr:col>30</xdr:col>
      <xdr:colOff>522515</xdr:colOff>
      <xdr:row>3</xdr:row>
      <xdr:rowOff>141514</xdr:rowOff>
    </xdr:to>
    <xdr:sp macro="" textlink="">
      <xdr:nvSpPr>
        <xdr:cNvPr id="11" name="四角形: 角を丸くする 10">
          <a:hlinkClick xmlns:r="http://schemas.openxmlformats.org/officeDocument/2006/relationships" r:id="rId1"/>
          <a:extLst>
            <a:ext uri="{FF2B5EF4-FFF2-40B4-BE49-F238E27FC236}">
              <a16:creationId xmlns:a16="http://schemas.microsoft.com/office/drawing/2014/main" id="{6ED875E2-8AEA-432F-AE2A-3EF782CF851F}"/>
            </a:ext>
          </a:extLst>
        </xdr:cNvPr>
        <xdr:cNvSpPr/>
      </xdr:nvSpPr>
      <xdr:spPr>
        <a:xfrm>
          <a:off x="8810897" y="211183"/>
          <a:ext cx="1175658" cy="52469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1200" b="1"/>
            <a:t>建物</a:t>
          </a:r>
          <a:r>
            <a:rPr kumimoji="1" lang="ja-JP" altLang="en-US" sz="1200"/>
            <a:t>系</a:t>
          </a:r>
          <a:r>
            <a:rPr kumimoji="1" lang="en-US" altLang="ja-JP" sz="1200"/>
            <a:t>CO₂</a:t>
          </a:r>
          <a:r>
            <a:rPr kumimoji="1" lang="ja-JP" altLang="en-US" sz="1200"/>
            <a:t>量</a:t>
          </a:r>
        </a:p>
      </xdr:txBody>
    </xdr:sp>
    <xdr:clientData fPrintsWithSheet="0"/>
  </xdr:twoCellAnchor>
  <xdr:twoCellAnchor>
    <xdr:from>
      <xdr:col>31</xdr:col>
      <xdr:colOff>119743</xdr:colOff>
      <xdr:row>1</xdr:row>
      <xdr:rowOff>32657</xdr:rowOff>
    </xdr:from>
    <xdr:to>
      <xdr:col>32</xdr:col>
      <xdr:colOff>457201</xdr:colOff>
      <xdr:row>3</xdr:row>
      <xdr:rowOff>130628</xdr:rowOff>
    </xdr:to>
    <xdr:sp macro="" textlink="">
      <xdr:nvSpPr>
        <xdr:cNvPr id="12" name="四角形: 角を丸くする 11">
          <a:hlinkClick xmlns:r="http://schemas.openxmlformats.org/officeDocument/2006/relationships" r:id="rId2"/>
          <a:extLst>
            <a:ext uri="{FF2B5EF4-FFF2-40B4-BE49-F238E27FC236}">
              <a16:creationId xmlns:a16="http://schemas.microsoft.com/office/drawing/2014/main" id="{F927730C-D776-4926-AB7C-2E18B1BBDD1E}"/>
            </a:ext>
          </a:extLst>
        </xdr:cNvPr>
        <xdr:cNvSpPr/>
      </xdr:nvSpPr>
      <xdr:spPr>
        <a:xfrm>
          <a:off x="10421983" y="200297"/>
          <a:ext cx="1175658" cy="524691"/>
        </a:xfrm>
        <a:prstGeom prst="roundRect">
          <a:avLst/>
        </a:prstGeom>
        <a:solidFill>
          <a:srgbClr val="92D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1200" b="1">
              <a:solidFill>
                <a:sysClr val="windowText" lastClr="000000"/>
              </a:solidFill>
            </a:rPr>
            <a:t>工場現場</a:t>
          </a:r>
          <a:r>
            <a:rPr kumimoji="1" lang="en-US" altLang="ja-JP" sz="1200" b="1">
              <a:solidFill>
                <a:sysClr val="windowText" lastClr="000000"/>
              </a:solidFill>
            </a:rPr>
            <a:t>CO₂</a:t>
          </a:r>
          <a:r>
            <a:rPr kumimoji="1" lang="ja-JP" altLang="en-US" sz="1200" b="1">
              <a:solidFill>
                <a:sysClr val="windowText" lastClr="000000"/>
              </a:solidFill>
            </a:rPr>
            <a:t>量</a:t>
          </a:r>
        </a:p>
      </xdr:txBody>
    </xdr:sp>
    <xdr:clientData fPrintsWithSheet="0"/>
  </xdr:twoCellAnchor>
  <xdr:twoCellAnchor>
    <xdr:from>
      <xdr:col>32</xdr:col>
      <xdr:colOff>816429</xdr:colOff>
      <xdr:row>1</xdr:row>
      <xdr:rowOff>32657</xdr:rowOff>
    </xdr:from>
    <xdr:to>
      <xdr:col>34</xdr:col>
      <xdr:colOff>315687</xdr:colOff>
      <xdr:row>3</xdr:row>
      <xdr:rowOff>130628</xdr:rowOff>
    </xdr:to>
    <xdr:sp macro="" textlink="">
      <xdr:nvSpPr>
        <xdr:cNvPr id="13" name="四角形: 角を丸くする 12">
          <a:hlinkClick xmlns:r="http://schemas.openxmlformats.org/officeDocument/2006/relationships" r:id="rId3"/>
          <a:extLst>
            <a:ext uri="{FF2B5EF4-FFF2-40B4-BE49-F238E27FC236}">
              <a16:creationId xmlns:a16="http://schemas.microsoft.com/office/drawing/2014/main" id="{60C81799-8965-4E87-915F-1C610B64DA74}"/>
            </a:ext>
          </a:extLst>
        </xdr:cNvPr>
        <xdr:cNvSpPr/>
      </xdr:nvSpPr>
      <xdr:spPr>
        <a:xfrm>
          <a:off x="11956869" y="200297"/>
          <a:ext cx="1175658" cy="524691"/>
        </a:xfrm>
        <a:prstGeom prst="roundRect">
          <a:avLst/>
        </a:prstGeom>
        <a:solidFill>
          <a:schemeClr val="accent2">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1200">
              <a:solidFill>
                <a:sysClr val="windowText" lastClr="000000"/>
              </a:solidFill>
            </a:rPr>
            <a:t>自動車</a:t>
          </a:r>
          <a:r>
            <a:rPr kumimoji="1" lang="en-US" altLang="ja-JP" sz="1200" b="1">
              <a:solidFill>
                <a:sysClr val="windowText" lastClr="000000"/>
              </a:solidFill>
            </a:rPr>
            <a:t>CO</a:t>
          </a:r>
          <a:r>
            <a:rPr kumimoji="1" lang="en-US" altLang="ja-JP" sz="1200">
              <a:solidFill>
                <a:sysClr val="windowText" lastClr="000000"/>
              </a:solidFill>
            </a:rPr>
            <a:t>₂</a:t>
          </a:r>
          <a:r>
            <a:rPr kumimoji="1" lang="ja-JP" altLang="en-US" sz="1200">
              <a:solidFill>
                <a:sysClr val="windowText" lastClr="000000"/>
              </a:solidFill>
            </a:rPr>
            <a:t>量</a:t>
          </a:r>
        </a:p>
      </xdr:txBody>
    </xdr:sp>
    <xdr:clientData fPrintsWithSheet="0"/>
  </xdr:twoCellAnchor>
  <xdr:oneCellAnchor>
    <xdr:from>
      <xdr:col>36</xdr:col>
      <xdr:colOff>566057</xdr:colOff>
      <xdr:row>1</xdr:row>
      <xdr:rowOff>54428</xdr:rowOff>
    </xdr:from>
    <xdr:ext cx="2329543" cy="501795"/>
    <xdr:sp macro="" textlink="">
      <xdr:nvSpPr>
        <xdr:cNvPr id="14" name="四角形吹き出し 22">
          <a:extLst>
            <a:ext uri="{FF2B5EF4-FFF2-40B4-BE49-F238E27FC236}">
              <a16:creationId xmlns:a16="http://schemas.microsoft.com/office/drawing/2014/main" id="{43B193E7-D021-42C3-8BDD-B1A13CB57E04}"/>
            </a:ext>
          </a:extLst>
        </xdr:cNvPr>
        <xdr:cNvSpPr/>
      </xdr:nvSpPr>
      <xdr:spPr>
        <a:xfrm>
          <a:off x="15065828" y="217714"/>
          <a:ext cx="2329543" cy="501795"/>
        </a:xfrm>
        <a:prstGeom prst="wedgeRectCallout">
          <a:avLst>
            <a:gd name="adj1" fmla="val -110469"/>
            <a:gd name="adj2" fmla="val -18022"/>
          </a:avLst>
        </a:prstGeom>
        <a:solidFill>
          <a:schemeClr val="bg1"/>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ysClr val="windowText" lastClr="000000"/>
              </a:solidFill>
            </a:rPr>
            <a:t>クリックすると、該当のＣＯ₂排出量</a:t>
          </a:r>
          <a:endParaRPr kumimoji="1" lang="en-US" altLang="ja-JP" sz="1000">
            <a:solidFill>
              <a:sysClr val="windowText" lastClr="000000"/>
            </a:solidFill>
          </a:endParaRPr>
        </a:p>
        <a:p>
          <a:pPr algn="l"/>
          <a:r>
            <a:rPr kumimoji="1" lang="ja-JP" altLang="en-US" sz="1000">
              <a:solidFill>
                <a:sysClr val="windowText" lastClr="000000"/>
              </a:solidFill>
            </a:rPr>
            <a:t>シートへ移動します。</a:t>
          </a:r>
        </a:p>
      </xdr:txBody>
    </xdr:sp>
    <xdr:clientData fPrintsWithSheet="0"/>
  </xdr:oneCellAnchor>
  <xdr:oneCellAnchor>
    <xdr:from>
      <xdr:col>40</xdr:col>
      <xdr:colOff>21771</xdr:colOff>
      <xdr:row>4</xdr:row>
      <xdr:rowOff>97970</xdr:rowOff>
    </xdr:from>
    <xdr:ext cx="2329543" cy="521425"/>
    <xdr:sp macro="" textlink="">
      <xdr:nvSpPr>
        <xdr:cNvPr id="15" name="四角形吹き出し 22">
          <a:extLst>
            <a:ext uri="{FF2B5EF4-FFF2-40B4-BE49-F238E27FC236}">
              <a16:creationId xmlns:a16="http://schemas.microsoft.com/office/drawing/2014/main" id="{43CF7F70-6C15-45D9-A0EB-39BBD678E9A0}"/>
            </a:ext>
          </a:extLst>
        </xdr:cNvPr>
        <xdr:cNvSpPr/>
      </xdr:nvSpPr>
      <xdr:spPr>
        <a:xfrm>
          <a:off x="17417142" y="936170"/>
          <a:ext cx="2329543" cy="521425"/>
        </a:xfrm>
        <a:prstGeom prst="wedgeRectCallout">
          <a:avLst>
            <a:gd name="adj1" fmla="val -104394"/>
            <a:gd name="adj2" fmla="val 87478"/>
          </a:avLst>
        </a:prstGeom>
        <a:solidFill>
          <a:schemeClr val="bg1"/>
        </a:solidFill>
        <a:ln w="952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000">
              <a:solidFill>
                <a:sysClr val="windowText" lastClr="000000"/>
              </a:solidFill>
            </a:rPr>
            <a:t>認証時の新しい削減目標を作成する際に基準年に○をつける。</a:t>
          </a:r>
        </a:p>
      </xdr:txBody>
    </xdr:sp>
    <xdr:clientData fPrintsWithSheet="0"/>
  </xdr:oneCellAnchor>
</xdr:wsDr>
</file>

<file path=xl/drawings/drawing6.xml><?xml version="1.0" encoding="utf-8"?>
<xdr:wsDr xmlns:xdr="http://schemas.openxmlformats.org/drawingml/2006/spreadsheetDrawing" xmlns:a="http://schemas.openxmlformats.org/drawingml/2006/main">
  <xdr:twoCellAnchor>
    <xdr:from>
      <xdr:col>10</xdr:col>
      <xdr:colOff>499108</xdr:colOff>
      <xdr:row>23</xdr:row>
      <xdr:rowOff>87628</xdr:rowOff>
    </xdr:from>
    <xdr:to>
      <xdr:col>14</xdr:col>
      <xdr:colOff>424069</xdr:colOff>
      <xdr:row>26</xdr:row>
      <xdr:rowOff>66260</xdr:rowOff>
    </xdr:to>
    <xdr:sp macro="" textlink="">
      <xdr:nvSpPr>
        <xdr:cNvPr id="2" name="四角形吹き出し 2">
          <a:extLst>
            <a:ext uri="{FF2B5EF4-FFF2-40B4-BE49-F238E27FC236}">
              <a16:creationId xmlns:a16="http://schemas.microsoft.com/office/drawing/2014/main" id="{D42A0D66-FA72-4927-8090-EDC575ABAA76}"/>
            </a:ext>
          </a:extLst>
        </xdr:cNvPr>
        <xdr:cNvSpPr/>
      </xdr:nvSpPr>
      <xdr:spPr>
        <a:xfrm>
          <a:off x="7125195" y="4235558"/>
          <a:ext cx="2124822" cy="495467"/>
        </a:xfrm>
        <a:prstGeom prst="wedgeRectCallout">
          <a:avLst>
            <a:gd name="adj1" fmla="val -3943"/>
            <a:gd name="adj2" fmla="val -135416"/>
          </a:avLst>
        </a:prstGeom>
        <a:solidFill>
          <a:schemeClr val="tx2">
            <a:lumMod val="20000"/>
            <a:lumOff val="8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適切な指標がない場合、黄色のセルに追記する。</a:t>
          </a:r>
        </a:p>
      </xdr:txBody>
    </xdr:sp>
    <xdr:clientData fPrintsWithSheet="0"/>
  </xdr:twoCellAnchor>
  <xdr:twoCellAnchor>
    <xdr:from>
      <xdr:col>9</xdr:col>
      <xdr:colOff>360046</xdr:colOff>
      <xdr:row>4</xdr:row>
      <xdr:rowOff>83820</xdr:rowOff>
    </xdr:from>
    <xdr:to>
      <xdr:col>14</xdr:col>
      <xdr:colOff>274320</xdr:colOff>
      <xdr:row>5</xdr:row>
      <xdr:rowOff>161925</xdr:rowOff>
    </xdr:to>
    <xdr:sp macro="" textlink="">
      <xdr:nvSpPr>
        <xdr:cNvPr id="3" name="四角形吹き出し 3">
          <a:extLst>
            <a:ext uri="{FF2B5EF4-FFF2-40B4-BE49-F238E27FC236}">
              <a16:creationId xmlns:a16="http://schemas.microsoft.com/office/drawing/2014/main" id="{50FCDD08-3AEF-4F92-B51F-05866340C91E}"/>
            </a:ext>
          </a:extLst>
        </xdr:cNvPr>
        <xdr:cNvSpPr/>
      </xdr:nvSpPr>
      <xdr:spPr>
        <a:xfrm>
          <a:off x="6174106" y="937260"/>
          <a:ext cx="2322194" cy="291465"/>
        </a:xfrm>
        <a:prstGeom prst="wedgeRectCallout">
          <a:avLst>
            <a:gd name="adj1" fmla="val -64851"/>
            <a:gd name="adj2" fmla="val 10661"/>
          </a:avLst>
        </a:prstGeom>
        <a:solidFill>
          <a:schemeClr val="tx2">
            <a:lumMod val="20000"/>
            <a:lumOff val="8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直近の年度数字</a:t>
          </a:r>
          <a:r>
            <a:rPr kumimoji="1" lang="en-US" altLang="ja-JP" sz="900">
              <a:solidFill>
                <a:sysClr val="windowText" lastClr="000000"/>
              </a:solidFill>
            </a:rPr>
            <a:t>(</a:t>
          </a:r>
          <a:r>
            <a:rPr kumimoji="1" lang="ja-JP" altLang="en-US" sz="900">
              <a:solidFill>
                <a:sysClr val="windowText" lastClr="000000"/>
              </a:solidFill>
            </a:rPr>
            <a:t>半角）を記入する</a:t>
          </a:r>
        </a:p>
      </xdr:txBody>
    </xdr:sp>
    <xdr:clientData fPrintsWithSheet="0"/>
  </xdr:twoCellAnchor>
  <xdr:twoCellAnchor>
    <xdr:from>
      <xdr:col>5</xdr:col>
      <xdr:colOff>15240</xdr:colOff>
      <xdr:row>9</xdr:row>
      <xdr:rowOff>205740</xdr:rowOff>
    </xdr:from>
    <xdr:to>
      <xdr:col>6</xdr:col>
      <xdr:colOff>739140</xdr:colOff>
      <xdr:row>11</xdr:row>
      <xdr:rowOff>68580</xdr:rowOff>
    </xdr:to>
    <xdr:sp macro="" textlink="">
      <xdr:nvSpPr>
        <xdr:cNvPr id="4" name="四角形吹き出し 6">
          <a:extLst>
            <a:ext uri="{FF2B5EF4-FFF2-40B4-BE49-F238E27FC236}">
              <a16:creationId xmlns:a16="http://schemas.microsoft.com/office/drawing/2014/main" id="{29B28B42-DEDF-4BEA-B3C4-9D6A86DA1443}"/>
            </a:ext>
          </a:extLst>
        </xdr:cNvPr>
        <xdr:cNvSpPr/>
      </xdr:nvSpPr>
      <xdr:spPr>
        <a:xfrm>
          <a:off x="2537460" y="2125980"/>
          <a:ext cx="1546860" cy="289560"/>
        </a:xfrm>
        <a:prstGeom prst="wedgeRectCallout">
          <a:avLst>
            <a:gd name="adj1" fmla="val -80831"/>
            <a:gd name="adj2" fmla="val -67466"/>
          </a:avLst>
        </a:prstGeom>
        <a:solidFill>
          <a:schemeClr val="tx2">
            <a:lumMod val="20000"/>
            <a:lumOff val="8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原単位の指標を選択する</a:t>
          </a:r>
        </a:p>
      </xdr:txBody>
    </xdr:sp>
    <xdr:clientData fPrintsWithSheet="0"/>
  </xdr:twoCellAnchor>
  <xdr:oneCellAnchor>
    <xdr:from>
      <xdr:col>10</xdr:col>
      <xdr:colOff>441960</xdr:colOff>
      <xdr:row>37</xdr:row>
      <xdr:rowOff>1904</xdr:rowOff>
    </xdr:from>
    <xdr:ext cx="1645920" cy="865109"/>
    <xdr:sp macro="" textlink="">
      <xdr:nvSpPr>
        <xdr:cNvPr id="5" name="四角形吹き出し 11">
          <a:extLst>
            <a:ext uri="{FF2B5EF4-FFF2-40B4-BE49-F238E27FC236}">
              <a16:creationId xmlns:a16="http://schemas.microsoft.com/office/drawing/2014/main" id="{DD93A74E-3A5C-4DCD-B02F-FE31F530C46C}"/>
            </a:ext>
          </a:extLst>
        </xdr:cNvPr>
        <xdr:cNvSpPr/>
      </xdr:nvSpPr>
      <xdr:spPr>
        <a:xfrm>
          <a:off x="7078980" y="6661784"/>
          <a:ext cx="1645920" cy="865109"/>
        </a:xfrm>
        <a:prstGeom prst="wedgeRectCallout">
          <a:avLst>
            <a:gd name="adj1" fmla="val -72607"/>
            <a:gd name="adj2" fmla="val -25377"/>
          </a:avLst>
        </a:prstGeom>
        <a:solidFill>
          <a:schemeClr val="tx2">
            <a:lumMod val="20000"/>
            <a:lumOff val="8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spAutoFit/>
        </a:bodyPr>
        <a:lstStyle/>
        <a:p>
          <a:pPr algn="l"/>
          <a:r>
            <a:rPr kumimoji="1" lang="ja-JP" altLang="en-US" sz="900">
              <a:solidFill>
                <a:sysClr val="windowText" lastClr="000000"/>
              </a:solidFill>
            </a:rPr>
            <a:t>認証申請書での削減目標表における実績表</a:t>
          </a:r>
          <a:endParaRPr kumimoji="1" lang="en-US" altLang="ja-JP" sz="900">
            <a:solidFill>
              <a:sysClr val="windowText" lastClr="000000"/>
            </a:solidFill>
          </a:endParaRPr>
        </a:p>
        <a:p>
          <a:pPr algn="l"/>
          <a:r>
            <a:rPr kumimoji="1" lang="ja-JP" altLang="en-US" sz="900">
              <a:solidFill>
                <a:sysClr val="windowText" lastClr="000000"/>
              </a:solidFill>
            </a:rPr>
            <a:t>認証申請書の目標表の最初の年度をＢ３８セルに記入する。</a:t>
          </a:r>
        </a:p>
      </xdr:txBody>
    </xdr:sp>
    <xdr:clientData fPrintsWithSheet="0"/>
  </xdr:oneCellAnchor>
  <xdr:oneCellAnchor>
    <xdr:from>
      <xdr:col>9</xdr:col>
      <xdr:colOff>22860</xdr:colOff>
      <xdr:row>0</xdr:row>
      <xdr:rowOff>60960</xdr:rowOff>
    </xdr:from>
    <xdr:ext cx="3276600" cy="544755"/>
    <xdr:sp macro="" textlink="">
      <xdr:nvSpPr>
        <xdr:cNvPr id="6" name="四角形吹き出し 9">
          <a:extLst>
            <a:ext uri="{FF2B5EF4-FFF2-40B4-BE49-F238E27FC236}">
              <a16:creationId xmlns:a16="http://schemas.microsoft.com/office/drawing/2014/main" id="{56C84D76-79E3-4A4D-9719-7A67B6EF7478}"/>
            </a:ext>
          </a:extLst>
        </xdr:cNvPr>
        <xdr:cNvSpPr/>
      </xdr:nvSpPr>
      <xdr:spPr>
        <a:xfrm>
          <a:off x="5836920" y="60960"/>
          <a:ext cx="3276600" cy="544755"/>
        </a:xfrm>
        <a:prstGeom prst="wedgeRectCallout">
          <a:avLst>
            <a:gd name="adj1" fmla="val -49955"/>
            <a:gd name="adj2" fmla="val -23336"/>
          </a:avLst>
        </a:prstGeom>
        <a:solidFill>
          <a:schemeClr val="tx2">
            <a:lumMod val="20000"/>
            <a:lumOff val="8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l"/>
          <a:r>
            <a:rPr kumimoji="1" lang="ja-JP" altLang="en-US" sz="1100" b="1">
              <a:solidFill>
                <a:sysClr val="windowText" lastClr="000000"/>
              </a:solidFill>
            </a:rPr>
            <a:t>本シートは必ず指標値や基準値を記入して、報告に必要な表を完成させてください。</a:t>
          </a:r>
        </a:p>
      </xdr:txBody>
    </xdr:sp>
    <xdr:clientData fPrintsWithSheet="0"/>
  </xdr:oneCellAnchor>
  <xdr:twoCellAnchor>
    <xdr:from>
      <xdr:col>9</xdr:col>
      <xdr:colOff>360045</xdr:colOff>
      <xdr:row>6</xdr:row>
      <xdr:rowOff>66675</xdr:rowOff>
    </xdr:from>
    <xdr:to>
      <xdr:col>13</xdr:col>
      <xdr:colOff>312420</xdr:colOff>
      <xdr:row>8</xdr:row>
      <xdr:rowOff>62993</xdr:rowOff>
    </xdr:to>
    <xdr:sp macro="" textlink="">
      <xdr:nvSpPr>
        <xdr:cNvPr id="7" name="四角形吹き出し 12">
          <a:extLst>
            <a:ext uri="{FF2B5EF4-FFF2-40B4-BE49-F238E27FC236}">
              <a16:creationId xmlns:a16="http://schemas.microsoft.com/office/drawing/2014/main" id="{CAB60FFD-A4E2-4D02-BA00-64226F6219EA}"/>
            </a:ext>
          </a:extLst>
        </xdr:cNvPr>
        <xdr:cNvSpPr/>
      </xdr:nvSpPr>
      <xdr:spPr>
        <a:xfrm>
          <a:off x="6174105" y="1346835"/>
          <a:ext cx="1598295" cy="423038"/>
        </a:xfrm>
        <a:prstGeom prst="wedgeRectCallout">
          <a:avLst>
            <a:gd name="adj1" fmla="val -55001"/>
            <a:gd name="adj2" fmla="val 95272"/>
          </a:avLst>
        </a:prstGeom>
        <a:no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薄黄色の該当部セルに数値を記入する。</a:t>
          </a:r>
          <a:endParaRPr kumimoji="1" lang="en-US" altLang="ja-JP" sz="9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222250</xdr:colOff>
          <xdr:row>1</xdr:row>
          <xdr:rowOff>0</xdr:rowOff>
        </xdr:from>
        <xdr:to>
          <xdr:col>1</xdr:col>
          <xdr:colOff>222250</xdr:colOff>
          <xdr:row>2</xdr:row>
          <xdr:rowOff>6350</xdr:rowOff>
        </xdr:to>
        <xdr:sp macro="" textlink="">
          <xdr:nvSpPr>
            <xdr:cNvPr id="51201" name="Option Button 1" hidden="1">
              <a:extLst>
                <a:ext uri="{63B3BB69-23CF-44E3-9099-C40C66FF867C}">
                  <a14:compatExt spid="_x0000_s51201"/>
                </a:ext>
                <a:ext uri="{FF2B5EF4-FFF2-40B4-BE49-F238E27FC236}">
                  <a16:creationId xmlns:a16="http://schemas.microsoft.com/office/drawing/2014/main" id="{00000000-0008-0000-08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xdr:row>
          <xdr:rowOff>0</xdr:rowOff>
        </xdr:from>
        <xdr:to>
          <xdr:col>1</xdr:col>
          <xdr:colOff>222250</xdr:colOff>
          <xdr:row>3</xdr:row>
          <xdr:rowOff>6350</xdr:rowOff>
        </xdr:to>
        <xdr:sp macro="" textlink="">
          <xdr:nvSpPr>
            <xdr:cNvPr id="51202" name="Option Button 2" hidden="1">
              <a:extLst>
                <a:ext uri="{63B3BB69-23CF-44E3-9099-C40C66FF867C}">
                  <a14:compatExt spid="_x0000_s51202"/>
                </a:ext>
                <a:ext uri="{FF2B5EF4-FFF2-40B4-BE49-F238E27FC236}">
                  <a16:creationId xmlns:a16="http://schemas.microsoft.com/office/drawing/2014/main" id="{00000000-0008-0000-08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320040</xdr:colOff>
      <xdr:row>1</xdr:row>
      <xdr:rowOff>182880</xdr:rowOff>
    </xdr:from>
    <xdr:to>
      <xdr:col>5</xdr:col>
      <xdr:colOff>784860</xdr:colOff>
      <xdr:row>2</xdr:row>
      <xdr:rowOff>198120</xdr:rowOff>
    </xdr:to>
    <xdr:sp macro="" textlink="">
      <xdr:nvSpPr>
        <xdr:cNvPr id="8" name="四角形吹き出し 3">
          <a:extLst>
            <a:ext uri="{FF2B5EF4-FFF2-40B4-BE49-F238E27FC236}">
              <a16:creationId xmlns:a16="http://schemas.microsoft.com/office/drawing/2014/main" id="{816C867E-DFCB-4A16-9E61-DD05B23C7058}"/>
            </a:ext>
          </a:extLst>
        </xdr:cNvPr>
        <xdr:cNvSpPr/>
      </xdr:nvSpPr>
      <xdr:spPr>
        <a:xfrm>
          <a:off x="1760220" y="396240"/>
          <a:ext cx="1546860" cy="228600"/>
        </a:xfrm>
        <a:prstGeom prst="wedgeRectCallout">
          <a:avLst>
            <a:gd name="adj1" fmla="val -67807"/>
            <a:gd name="adj2" fmla="val -16006"/>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いずれかを選択する。</a:t>
          </a:r>
        </a:p>
      </xdr:txBody>
    </xdr:sp>
    <xdr:clientData fPrintsWithSheet="0"/>
  </xdr:twoCellAnchor>
  <xdr:twoCellAnchor>
    <xdr:from>
      <xdr:col>8</xdr:col>
      <xdr:colOff>558248</xdr:colOff>
      <xdr:row>3</xdr:row>
      <xdr:rowOff>15904</xdr:rowOff>
    </xdr:from>
    <xdr:to>
      <xdr:col>13</xdr:col>
      <xdr:colOff>198783</xdr:colOff>
      <xdr:row>4</xdr:row>
      <xdr:rowOff>94008</xdr:rowOff>
    </xdr:to>
    <xdr:sp macro="" textlink="">
      <xdr:nvSpPr>
        <xdr:cNvPr id="9" name="四角形吹き出し 3">
          <a:extLst>
            <a:ext uri="{FF2B5EF4-FFF2-40B4-BE49-F238E27FC236}">
              <a16:creationId xmlns:a16="http://schemas.microsoft.com/office/drawing/2014/main" id="{6290BC21-04B2-441B-A418-E8DF6BA54C44}"/>
            </a:ext>
          </a:extLst>
        </xdr:cNvPr>
        <xdr:cNvSpPr/>
      </xdr:nvSpPr>
      <xdr:spPr>
        <a:xfrm>
          <a:off x="5541065" y="652008"/>
          <a:ext cx="2721666" cy="290139"/>
        </a:xfrm>
        <a:prstGeom prst="wedgeRectCallout">
          <a:avLst>
            <a:gd name="adj1" fmla="val -66164"/>
            <a:gd name="adj2" fmla="val -78228"/>
          </a:avLst>
        </a:prstGeom>
        <a:solidFill>
          <a:srgbClr val="FFFF99"/>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自社の直近の認証年度を必ず記入する</a:t>
          </a:r>
          <a:r>
            <a:rPr kumimoji="1" lang="ja-JP" altLang="en-US" sz="900">
              <a:solidFill>
                <a:sysClr val="windowText" lastClr="000000"/>
              </a:solidFill>
            </a:rPr>
            <a:t>。</a:t>
          </a:r>
        </a:p>
      </xdr:txBody>
    </xdr:sp>
    <xdr:clientData fPrintsWithSheet="0"/>
  </xdr:twoCellAnchor>
  <xdr:oneCellAnchor>
    <xdr:from>
      <xdr:col>10</xdr:col>
      <xdr:colOff>477078</xdr:colOff>
      <xdr:row>30</xdr:row>
      <xdr:rowOff>106018</xdr:rowOff>
    </xdr:from>
    <xdr:ext cx="2398644" cy="671915"/>
    <xdr:sp macro="" textlink="">
      <xdr:nvSpPr>
        <xdr:cNvPr id="10" name="四角形吹き出し 2">
          <a:extLst>
            <a:ext uri="{FF2B5EF4-FFF2-40B4-BE49-F238E27FC236}">
              <a16:creationId xmlns:a16="http://schemas.microsoft.com/office/drawing/2014/main" id="{16EFB8AC-113D-40DE-8392-AB0BB6D586A8}"/>
            </a:ext>
          </a:extLst>
        </xdr:cNvPr>
        <xdr:cNvSpPr/>
      </xdr:nvSpPr>
      <xdr:spPr>
        <a:xfrm>
          <a:off x="7103165" y="5459896"/>
          <a:ext cx="2398644" cy="671915"/>
        </a:xfrm>
        <a:prstGeom prst="wedgeRectCallout">
          <a:avLst>
            <a:gd name="adj1" fmla="val -65448"/>
            <a:gd name="adj2" fmla="val -30723"/>
          </a:avLst>
        </a:prstGeom>
        <a:solidFill>
          <a:srgbClr val="00B0F0"/>
        </a:solidFill>
        <a:ln w="31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t">
          <a:spAutoFit/>
        </a:bodyPr>
        <a:lstStyle/>
        <a:p>
          <a:pPr algn="l"/>
          <a:r>
            <a:rPr kumimoji="1" lang="ja-JP" altLang="en-US" sz="900">
              <a:solidFill>
                <a:sysClr val="windowText" lastClr="000000"/>
              </a:solidFill>
            </a:rPr>
            <a:t>太陽光自家消費有りを選択した事業所の場合は、エ）表の数値と庫なる場合があります。</a:t>
          </a: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7</xdr:col>
      <xdr:colOff>525780</xdr:colOff>
      <xdr:row>1</xdr:row>
      <xdr:rowOff>76200</xdr:rowOff>
    </xdr:from>
    <xdr:ext cx="2907702" cy="521618"/>
    <xdr:sp macro="" textlink="">
      <xdr:nvSpPr>
        <xdr:cNvPr id="2" name="四角形吹き出し 5">
          <a:extLst>
            <a:ext uri="{FF2B5EF4-FFF2-40B4-BE49-F238E27FC236}">
              <a16:creationId xmlns:a16="http://schemas.microsoft.com/office/drawing/2014/main" id="{C421688F-6A6B-4A3F-8502-31C7E910DDE0}"/>
            </a:ext>
          </a:extLst>
        </xdr:cNvPr>
        <xdr:cNvSpPr/>
      </xdr:nvSpPr>
      <xdr:spPr>
        <a:xfrm>
          <a:off x="4703333" y="291353"/>
          <a:ext cx="2907702" cy="521618"/>
        </a:xfrm>
        <a:prstGeom prst="wedgeRectCallout">
          <a:avLst>
            <a:gd name="adj1" fmla="val -46373"/>
            <a:gd name="adj2" fmla="val 161608"/>
          </a:avLst>
        </a:prstGeom>
        <a:solidFill>
          <a:schemeClr val="bg1"/>
        </a:solidFill>
        <a:ln w="3175">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900">
              <a:solidFill>
                <a:sysClr val="windowText" lastClr="000000"/>
              </a:solidFill>
            </a:rPr>
            <a:t>原単位指標名を”（</a:t>
          </a:r>
          <a:r>
            <a:rPr kumimoji="1" lang="ja-JP" altLang="en-US" sz="900" u="sng">
              <a:solidFill>
                <a:sysClr val="windowText" lastClr="000000"/>
              </a:solidFill>
            </a:rPr>
            <a:t>　　　</a:t>
          </a:r>
          <a:r>
            <a:rPr kumimoji="1" lang="ja-JP" altLang="en-US" sz="900">
              <a:solidFill>
                <a:sysClr val="windowText" lastClr="000000"/>
              </a:solidFill>
            </a:rPr>
            <a:t>）当たり”</a:t>
          </a:r>
          <a:r>
            <a:rPr lang="ja-JP" altLang="en-US" sz="1100" b="0" i="0" u="none" strike="noStrike">
              <a:solidFill>
                <a:schemeClr val="lt1"/>
              </a:solidFill>
              <a:effectLst/>
              <a:latin typeface="+mn-lt"/>
              <a:ea typeface="+mn-ea"/>
              <a:cs typeface="+mn-cs"/>
            </a:rPr>
            <a:t>　</a:t>
          </a:r>
          <a:r>
            <a:rPr lang="ja-JP" altLang="en-US" sz="900"/>
            <a:t> </a:t>
          </a:r>
          <a:endParaRPr lang="en-US" altLang="ja-JP" sz="900"/>
        </a:p>
        <a:p>
          <a:pPr algn="l"/>
          <a:r>
            <a:rPr kumimoji="1" lang="ja-JP" altLang="en-US" sz="900">
              <a:solidFill>
                <a:sysClr val="windowText" lastClr="000000"/>
              </a:solidFill>
            </a:rPr>
            <a:t>および、その単位（ｔ</a:t>
          </a:r>
          <a:r>
            <a:rPr kumimoji="1" lang="en-US" altLang="ja-JP" sz="900">
              <a:solidFill>
                <a:sysClr val="windowText" lastClr="000000"/>
              </a:solidFill>
            </a:rPr>
            <a:t>-</a:t>
          </a:r>
          <a:r>
            <a:rPr kumimoji="1" lang="ja-JP" altLang="en-US" sz="900">
              <a:solidFill>
                <a:sysClr val="windowText" lastClr="000000"/>
              </a:solidFill>
            </a:rPr>
            <a:t>ＣＯ₂</a:t>
          </a:r>
          <a:r>
            <a:rPr kumimoji="1" lang="en-US" altLang="ja-JP" sz="900">
              <a:solidFill>
                <a:sysClr val="windowText" lastClr="000000"/>
              </a:solidFill>
            </a:rPr>
            <a:t>/</a:t>
          </a:r>
          <a:r>
            <a:rPr kumimoji="1" lang="ja-JP" altLang="en-US" sz="900" u="sng">
              <a:solidFill>
                <a:sysClr val="windowText" lastClr="000000"/>
              </a:solidFill>
            </a:rPr>
            <a:t>　　</a:t>
          </a:r>
          <a:r>
            <a:rPr kumimoji="1" lang="ja-JP" altLang="en-US" sz="900">
              <a:solidFill>
                <a:sysClr val="windowText" lastClr="000000"/>
              </a:solidFill>
            </a:rPr>
            <a:t>）を記入する</a:t>
          </a:r>
        </a:p>
      </xdr:txBody>
    </xdr:sp>
    <xdr:clientData fPrintsWithSheet="0"/>
  </xdr:oneCellAnchor>
  <xdr:twoCellAnchor>
    <xdr:from>
      <xdr:col>2</xdr:col>
      <xdr:colOff>0</xdr:colOff>
      <xdr:row>27</xdr:row>
      <xdr:rowOff>214591</xdr:rowOff>
    </xdr:from>
    <xdr:to>
      <xdr:col>9</xdr:col>
      <xdr:colOff>89646</xdr:colOff>
      <xdr:row>30</xdr:row>
      <xdr:rowOff>179294</xdr:rowOff>
    </xdr:to>
    <xdr:sp macro="" textlink="">
      <xdr:nvSpPr>
        <xdr:cNvPr id="3" name="四角形吹き出し 2">
          <a:extLst>
            <a:ext uri="{FF2B5EF4-FFF2-40B4-BE49-F238E27FC236}">
              <a16:creationId xmlns:a16="http://schemas.microsoft.com/office/drawing/2014/main" id="{5D7CC7FF-19BF-4FB9-9AA3-7F0F8C541BEF}"/>
            </a:ext>
          </a:extLst>
        </xdr:cNvPr>
        <xdr:cNvSpPr/>
      </xdr:nvSpPr>
      <xdr:spPr>
        <a:xfrm>
          <a:off x="967740" y="3414991"/>
          <a:ext cx="4935966" cy="604783"/>
        </a:xfrm>
        <a:prstGeom prst="wedgeRectCallout">
          <a:avLst>
            <a:gd name="adj1" fmla="val -49955"/>
            <a:gd name="adj2" fmla="val -23336"/>
          </a:avLst>
        </a:prstGeom>
        <a:solidFill>
          <a:schemeClr val="accent2">
            <a:lumMod val="40000"/>
            <a:lumOff val="6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本シートは申請時の目標作成もしくは変更時には、必ず作成してください。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oneCellAnchor>
    <xdr:from>
      <xdr:col>4</xdr:col>
      <xdr:colOff>0</xdr:colOff>
      <xdr:row>0</xdr:row>
      <xdr:rowOff>32658</xdr:rowOff>
    </xdr:from>
    <xdr:ext cx="2088000" cy="648000"/>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7648091-7957-46A3-9621-D3955F1D7B01}"/>
            </a:ext>
          </a:extLst>
        </xdr:cNvPr>
        <xdr:cNvSpPr/>
      </xdr:nvSpPr>
      <xdr:spPr>
        <a:xfrm>
          <a:off x="5113020" y="32658"/>
          <a:ext cx="2088000" cy="648000"/>
        </a:xfrm>
        <a:prstGeom prst="roundRect">
          <a:avLst/>
        </a:prstGeom>
        <a:solidFill>
          <a:srgbClr val="FFC00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６．エコアップ</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CO₂</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量</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一覧シートに戻る</a:t>
          </a:r>
        </a:p>
      </xdr:txBody>
    </xdr:sp>
    <xdr:clientData fLocksWithSheet="0" fPrintsWithSheet="0"/>
  </xdr:oneCellAnchor>
  <xdr:oneCellAnchor>
    <xdr:from>
      <xdr:col>4</xdr:col>
      <xdr:colOff>2155363</xdr:colOff>
      <xdr:row>0</xdr:row>
      <xdr:rowOff>32658</xdr:rowOff>
    </xdr:from>
    <xdr:ext cx="1728000" cy="648000"/>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9BAB2196-604E-4891-A652-81723BE03635}"/>
            </a:ext>
          </a:extLst>
        </xdr:cNvPr>
        <xdr:cNvSpPr/>
      </xdr:nvSpPr>
      <xdr:spPr>
        <a:xfrm>
          <a:off x="7268383" y="32658"/>
          <a:ext cx="1728000" cy="648000"/>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燃料シート</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に移動</a:t>
          </a:r>
        </a:p>
      </xdr:txBody>
    </xdr:sp>
    <xdr:clientData fLocksWithSheet="0" fPrintsWithSheet="0"/>
  </xdr:oneCellAnchor>
  <xdr:oneCellAnchor>
    <xdr:from>
      <xdr:col>7</xdr:col>
      <xdr:colOff>1111621</xdr:colOff>
      <xdr:row>0</xdr:row>
      <xdr:rowOff>26895</xdr:rowOff>
    </xdr:from>
    <xdr:ext cx="1728000" cy="648000"/>
    <xdr:sp macro="" textlink="">
      <xdr:nvSpPr>
        <xdr:cNvPr id="4" name="四角形: 角を丸くする 3">
          <a:hlinkClick xmlns:r="http://schemas.openxmlformats.org/officeDocument/2006/relationships" r:id="rId3"/>
          <a:extLst>
            <a:ext uri="{FF2B5EF4-FFF2-40B4-BE49-F238E27FC236}">
              <a16:creationId xmlns:a16="http://schemas.microsoft.com/office/drawing/2014/main" id="{20D2C500-DDC0-419F-9ABD-706ED50E2469}"/>
            </a:ext>
          </a:extLst>
        </xdr:cNvPr>
        <xdr:cNvSpPr/>
      </xdr:nvSpPr>
      <xdr:spPr>
        <a:xfrm>
          <a:off x="10838327" y="26895"/>
          <a:ext cx="1728000" cy="648000"/>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14.</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再エネシート</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に移動</a:t>
          </a:r>
        </a:p>
      </xdr:txBody>
    </xdr:sp>
    <xdr:clientData fLocksWithSheet="0" fPrintsWithSheet="0"/>
  </xdr:oneCellAnchor>
  <xdr:oneCellAnchor>
    <xdr:from>
      <xdr:col>6</xdr:col>
      <xdr:colOff>98611</xdr:colOff>
      <xdr:row>0</xdr:row>
      <xdr:rowOff>35860</xdr:rowOff>
    </xdr:from>
    <xdr:ext cx="1728000" cy="648000"/>
    <xdr:sp macro="" textlink="">
      <xdr:nvSpPr>
        <xdr:cNvPr id="5" name="四角形: 角を丸くする 4">
          <a:hlinkClick xmlns:r="http://schemas.openxmlformats.org/officeDocument/2006/relationships" r:id="rId4"/>
          <a:extLst>
            <a:ext uri="{FF2B5EF4-FFF2-40B4-BE49-F238E27FC236}">
              <a16:creationId xmlns:a16="http://schemas.microsoft.com/office/drawing/2014/main" id="{A684F2E9-13FB-4548-B10C-5AA4F8D178F2}"/>
            </a:ext>
          </a:extLst>
        </xdr:cNvPr>
        <xdr:cNvSpPr/>
      </xdr:nvSpPr>
      <xdr:spPr>
        <a:xfrm>
          <a:off x="9036871" y="35860"/>
          <a:ext cx="1728000" cy="648000"/>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電気、都市ガスシートに移動</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4</xdr:col>
      <xdr:colOff>0</xdr:colOff>
      <xdr:row>0</xdr:row>
      <xdr:rowOff>32658</xdr:rowOff>
    </xdr:from>
    <xdr:ext cx="2088000" cy="648000"/>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5BEB366-556B-4F1B-8E49-E352F94AE980}"/>
            </a:ext>
          </a:extLst>
        </xdr:cNvPr>
        <xdr:cNvSpPr/>
      </xdr:nvSpPr>
      <xdr:spPr>
        <a:xfrm>
          <a:off x="5113020" y="32658"/>
          <a:ext cx="2088000" cy="648000"/>
        </a:xfrm>
        <a:prstGeom prst="roundRect">
          <a:avLst/>
        </a:prstGeom>
        <a:solidFill>
          <a:srgbClr val="FFC00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６．エコアップ</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CO₂</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量</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一覧シートに戻る</a:t>
          </a:r>
        </a:p>
      </xdr:txBody>
    </xdr:sp>
    <xdr:clientData fLocksWithSheet="0" fPrintsWithSheet="0"/>
  </xdr:oneCellAnchor>
  <xdr:oneCellAnchor>
    <xdr:from>
      <xdr:col>4</xdr:col>
      <xdr:colOff>2155363</xdr:colOff>
      <xdr:row>0</xdr:row>
      <xdr:rowOff>32658</xdr:rowOff>
    </xdr:from>
    <xdr:ext cx="1728000" cy="648000"/>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8702DCF6-A471-4A24-9474-A3E0FA314DCC}"/>
            </a:ext>
          </a:extLst>
        </xdr:cNvPr>
        <xdr:cNvSpPr/>
      </xdr:nvSpPr>
      <xdr:spPr>
        <a:xfrm>
          <a:off x="7268383" y="32658"/>
          <a:ext cx="1728000" cy="648000"/>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燃料シート</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に移動</a:t>
          </a:r>
        </a:p>
      </xdr:txBody>
    </xdr:sp>
    <xdr:clientData fLocksWithSheet="0" fPrintsWithSheet="0"/>
  </xdr:oneCellAnchor>
  <xdr:oneCellAnchor>
    <xdr:from>
      <xdr:col>7</xdr:col>
      <xdr:colOff>1102656</xdr:colOff>
      <xdr:row>0</xdr:row>
      <xdr:rowOff>26895</xdr:rowOff>
    </xdr:from>
    <xdr:ext cx="1728000" cy="648000"/>
    <xdr:sp macro="" textlink="">
      <xdr:nvSpPr>
        <xdr:cNvPr id="4" name="四角形: 角を丸くする 3">
          <a:hlinkClick xmlns:r="http://schemas.openxmlformats.org/officeDocument/2006/relationships" r:id="rId3"/>
          <a:extLst>
            <a:ext uri="{FF2B5EF4-FFF2-40B4-BE49-F238E27FC236}">
              <a16:creationId xmlns:a16="http://schemas.microsoft.com/office/drawing/2014/main" id="{8E1AD1DB-656C-44C3-B5E6-3077F355BD6B}"/>
            </a:ext>
          </a:extLst>
        </xdr:cNvPr>
        <xdr:cNvSpPr/>
      </xdr:nvSpPr>
      <xdr:spPr>
        <a:xfrm>
          <a:off x="10829362" y="26895"/>
          <a:ext cx="1728000" cy="648000"/>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14.</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再エネシート</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に移動</a:t>
          </a:r>
        </a:p>
      </xdr:txBody>
    </xdr:sp>
    <xdr:clientData fLocksWithSheet="0" fPrintsWithSheet="0"/>
  </xdr:oneCellAnchor>
  <xdr:oneCellAnchor>
    <xdr:from>
      <xdr:col>6</xdr:col>
      <xdr:colOff>98611</xdr:colOff>
      <xdr:row>0</xdr:row>
      <xdr:rowOff>35860</xdr:rowOff>
    </xdr:from>
    <xdr:ext cx="1728000" cy="648000"/>
    <xdr:sp macro="" textlink="">
      <xdr:nvSpPr>
        <xdr:cNvPr id="6" name="四角形: 角を丸くする 5">
          <a:hlinkClick xmlns:r="http://schemas.openxmlformats.org/officeDocument/2006/relationships" r:id="rId4"/>
          <a:extLst>
            <a:ext uri="{FF2B5EF4-FFF2-40B4-BE49-F238E27FC236}">
              <a16:creationId xmlns:a16="http://schemas.microsoft.com/office/drawing/2014/main" id="{A84FBFD1-44CE-4A9F-8674-F57E6A605F3D}"/>
            </a:ext>
          </a:extLst>
        </xdr:cNvPr>
        <xdr:cNvSpPr/>
      </xdr:nvSpPr>
      <xdr:spPr>
        <a:xfrm>
          <a:off x="9045387" y="35860"/>
          <a:ext cx="1728000" cy="648000"/>
        </a:xfrm>
        <a:prstGeom prst="roundRect">
          <a:avLst/>
        </a:prstGeom>
        <a:solidFill>
          <a:srgbClr val="92D050"/>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overflow" horzOverflow="overflow"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電気、都市ガスシートに移動</a:t>
          </a:r>
        </a:p>
      </xdr:txBody>
    </xdr:sp>
    <xdr:clientData fLocksWithSheet="0"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omments" Target="../comments3.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249977111117893"/>
    <pageSetUpPr fitToPage="1"/>
  </sheetPr>
  <dimension ref="A1:AB42"/>
  <sheetViews>
    <sheetView showGridLines="0" tabSelected="1" zoomScale="115" zoomScaleNormal="115" zoomScaleSheetLayoutView="100" workbookViewId="0">
      <selection activeCell="Q6" sqref="Q6"/>
    </sheetView>
  </sheetViews>
  <sheetFormatPr defaultColWidth="5.58203125" defaultRowHeight="17.5"/>
  <cols>
    <col min="1" max="15" width="5.58203125" style="84"/>
    <col min="16" max="17" width="5.58203125" style="84" customWidth="1"/>
    <col min="18" max="18" width="11" style="84" customWidth="1"/>
    <col min="19" max="27" width="5.58203125" style="84"/>
    <col min="28" max="28" width="18.9140625" style="84" customWidth="1"/>
    <col min="29" max="16384" width="5.58203125" style="84"/>
  </cols>
  <sheetData>
    <row r="1" spans="1:28" s="64" customFormat="1" ht="23.5" thickTop="1" thickBot="1">
      <c r="A1" s="1309" t="s">
        <v>2491</v>
      </c>
      <c r="B1" s="3"/>
      <c r="C1" s="3"/>
      <c r="D1" s="3"/>
      <c r="E1" s="3"/>
      <c r="F1" s="3"/>
      <c r="G1" s="3"/>
      <c r="H1" s="3"/>
      <c r="I1" s="3"/>
      <c r="J1" s="3"/>
      <c r="K1" s="63"/>
      <c r="L1" s="1376" t="str">
        <f>"令和"&amp;C3&amp;"年実績報告"</f>
        <v>令和７年実績報告</v>
      </c>
      <c r="M1" s="1377"/>
      <c r="N1" s="1377"/>
      <c r="O1" s="1377"/>
      <c r="P1" s="1378"/>
      <c r="X1" s="65"/>
    </row>
    <row r="2" spans="1:28" s="64" customFormat="1" ht="18" customHeight="1" thickTop="1">
      <c r="A2" s="3"/>
      <c r="B2" s="3"/>
      <c r="C2" s="3"/>
      <c r="D2" s="3"/>
      <c r="E2" s="3"/>
      <c r="F2" s="3"/>
      <c r="G2" s="3"/>
      <c r="H2" s="3"/>
      <c r="I2" s="3"/>
      <c r="J2" s="3"/>
      <c r="K2" s="3"/>
      <c r="L2" s="3"/>
      <c r="M2" s="3"/>
      <c r="N2" s="3"/>
      <c r="O2" s="3"/>
      <c r="P2" s="66"/>
    </row>
    <row r="3" spans="1:28" s="71" customFormat="1" ht="25.5" customHeight="1">
      <c r="A3" s="67"/>
      <c r="B3" s="68" t="s">
        <v>225</v>
      </c>
      <c r="C3" s="1379" t="s">
        <v>1612</v>
      </c>
      <c r="D3" s="1380"/>
      <c r="E3" s="3" t="s">
        <v>2064</v>
      </c>
      <c r="F3" s="67"/>
      <c r="G3" s="3"/>
      <c r="H3" s="3"/>
      <c r="I3" s="3"/>
      <c r="J3" s="67"/>
      <c r="K3" s="67"/>
      <c r="L3" s="41"/>
      <c r="M3" s="41"/>
      <c r="N3" s="41"/>
      <c r="O3" s="41"/>
      <c r="P3" s="67"/>
      <c r="Q3" s="69" t="s">
        <v>2492</v>
      </c>
      <c r="R3" s="70"/>
    </row>
    <row r="4" spans="1:28" s="71" customFormat="1" ht="26.5" thickBot="1">
      <c r="A4" s="72"/>
      <c r="B4" s="72"/>
      <c r="C4" s="73"/>
      <c r="D4" s="73"/>
      <c r="E4" s="67"/>
      <c r="F4" s="67"/>
      <c r="G4" s="67"/>
      <c r="H4" s="67"/>
      <c r="I4" s="67"/>
      <c r="J4" s="67"/>
      <c r="K4" s="67"/>
      <c r="L4" s="522"/>
      <c r="M4" s="522"/>
      <c r="N4" s="522"/>
      <c r="O4" s="522"/>
      <c r="P4" s="67"/>
      <c r="Q4" s="69"/>
      <c r="R4" s="70"/>
    </row>
    <row r="5" spans="1:28" s="76" customFormat="1" ht="32.15" customHeight="1">
      <c r="A5" s="74"/>
      <c r="B5" s="75"/>
      <c r="C5" s="1388" t="s">
        <v>2527</v>
      </c>
      <c r="D5" s="1389"/>
      <c r="E5" s="1389"/>
      <c r="F5" s="1389"/>
      <c r="G5" s="1389"/>
      <c r="H5" s="1389"/>
      <c r="I5" s="1389"/>
      <c r="J5" s="1389"/>
      <c r="K5" s="1389"/>
      <c r="L5" s="1389"/>
      <c r="M5" s="1390"/>
      <c r="N5" s="75"/>
      <c r="O5" s="74"/>
      <c r="P5" s="74"/>
      <c r="X5" s="71"/>
    </row>
    <row r="6" spans="1:28" s="76" customFormat="1" ht="32.15" customHeight="1" thickBot="1">
      <c r="A6" s="74"/>
      <c r="B6" s="75"/>
      <c r="C6" s="1391" t="s">
        <v>2065</v>
      </c>
      <c r="D6" s="1392"/>
      <c r="E6" s="1392"/>
      <c r="F6" s="1392"/>
      <c r="G6" s="1392"/>
      <c r="H6" s="1392"/>
      <c r="I6" s="1392"/>
      <c r="J6" s="1392"/>
      <c r="K6" s="1392"/>
      <c r="L6" s="1392"/>
      <c r="M6" s="1393"/>
      <c r="N6" s="75"/>
      <c r="O6" s="74"/>
      <c r="P6" s="74"/>
      <c r="R6" s="77"/>
    </row>
    <row r="7" spans="1:28" s="64" customFormat="1" ht="13.5" customHeight="1">
      <c r="A7" s="3"/>
      <c r="B7" s="3"/>
      <c r="C7" s="3"/>
      <c r="D7" s="3"/>
      <c r="E7" s="3"/>
      <c r="F7" s="3"/>
      <c r="G7" s="3"/>
      <c r="H7" s="3"/>
      <c r="I7" s="3"/>
      <c r="J7" s="3"/>
      <c r="K7" s="3"/>
      <c r="L7" s="3"/>
      <c r="M7" s="3"/>
      <c r="N7" s="3"/>
      <c r="O7" s="3"/>
      <c r="P7" s="3"/>
      <c r="R7" s="77"/>
    </row>
    <row r="8" spans="1:28" s="64" customFormat="1" ht="18.75" customHeight="1">
      <c r="A8" s="3"/>
      <c r="B8" s="3"/>
      <c r="C8" s="3"/>
      <c r="D8" s="3"/>
      <c r="E8" s="3"/>
      <c r="F8" s="3"/>
      <c r="G8" s="3"/>
      <c r="H8" s="3"/>
      <c r="I8" s="3"/>
      <c r="J8" s="3"/>
      <c r="K8" s="579" t="s">
        <v>226</v>
      </c>
      <c r="L8" s="1394"/>
      <c r="M8" s="1395"/>
      <c r="N8" s="1395"/>
      <c r="O8" s="1396"/>
      <c r="P8" s="3"/>
      <c r="Q8" s="69" t="str">
        <f>IF($L$8="","← 提出日を入力してください。","")</f>
        <v>← 提出日を入力してください。</v>
      </c>
    </row>
    <row r="9" spans="1:28" s="64" customFormat="1" ht="9" customHeight="1">
      <c r="A9" s="3"/>
      <c r="B9" s="3"/>
      <c r="C9" s="3"/>
      <c r="D9" s="3"/>
      <c r="E9" s="3"/>
      <c r="F9" s="3"/>
      <c r="G9" s="3"/>
      <c r="H9" s="3"/>
      <c r="I9" s="3"/>
      <c r="J9" s="3"/>
      <c r="K9" s="3"/>
      <c r="L9" s="3"/>
      <c r="M9" s="3"/>
      <c r="N9" s="3"/>
      <c r="O9" s="3"/>
      <c r="P9" s="3"/>
    </row>
    <row r="10" spans="1:28" s="64" customFormat="1" ht="14.25" customHeight="1" thickBot="1">
      <c r="A10" s="78" t="s">
        <v>227</v>
      </c>
      <c r="B10" s="3"/>
      <c r="C10" s="3"/>
      <c r="D10" s="3"/>
      <c r="E10" s="3"/>
      <c r="F10" s="3"/>
      <c r="G10" s="3"/>
      <c r="H10" s="3"/>
      <c r="I10" s="3"/>
      <c r="J10" s="3"/>
      <c r="K10" s="3"/>
      <c r="L10" s="3"/>
      <c r="M10" s="3"/>
      <c r="N10" s="3"/>
      <c r="O10" s="3"/>
      <c r="P10" s="3"/>
    </row>
    <row r="11" spans="1:28" s="64" customFormat="1" ht="39.9" customHeight="1">
      <c r="A11" s="1397" t="s">
        <v>2066</v>
      </c>
      <c r="B11" s="1398"/>
      <c r="C11" s="1399"/>
      <c r="D11" s="1400" t="s">
        <v>2522</v>
      </c>
      <c r="E11" s="1401"/>
      <c r="F11" s="1401"/>
      <c r="G11" s="1401"/>
      <c r="H11" s="1401"/>
      <c r="I11" s="1401"/>
      <c r="J11" s="1401"/>
      <c r="K11" s="1401"/>
      <c r="L11" s="1401"/>
      <c r="M11" s="1401"/>
      <c r="N11" s="1401"/>
      <c r="O11" s="1402"/>
      <c r="P11" s="3"/>
      <c r="Q11" s="1381" t="s">
        <v>2528</v>
      </c>
      <c r="R11" s="1381"/>
      <c r="S11" s="1381"/>
      <c r="T11" s="1381"/>
      <c r="U11" s="1381"/>
      <c r="V11" s="1381"/>
      <c r="W11" s="1381"/>
      <c r="X11" s="1381"/>
      <c r="Y11" s="1381"/>
      <c r="Z11" s="1381"/>
      <c r="AA11" s="1381"/>
      <c r="AB11" s="1381"/>
    </row>
    <row r="12" spans="1:28" s="64" customFormat="1" ht="31.75" customHeight="1">
      <c r="A12" s="1372" t="s">
        <v>228</v>
      </c>
      <c r="B12" s="1366"/>
      <c r="C12" s="1367"/>
      <c r="D12" s="1382" t="s">
        <v>2523</v>
      </c>
      <c r="E12" s="1383"/>
      <c r="F12" s="1383"/>
      <c r="G12" s="1383"/>
      <c r="H12" s="1383"/>
      <c r="I12" s="1383"/>
      <c r="J12" s="1383"/>
      <c r="K12" s="1383"/>
      <c r="L12" s="1383"/>
      <c r="M12" s="1383"/>
      <c r="N12" s="1383"/>
      <c r="O12" s="1384"/>
      <c r="P12" s="3"/>
      <c r="Q12" s="1381"/>
      <c r="R12" s="1381"/>
      <c r="S12" s="1381"/>
      <c r="T12" s="1381"/>
      <c r="U12" s="1381"/>
      <c r="V12" s="1381"/>
      <c r="W12" s="1381"/>
      <c r="X12" s="1381"/>
      <c r="Y12" s="1381"/>
      <c r="Z12" s="1381"/>
      <c r="AA12" s="1381"/>
      <c r="AB12" s="1381"/>
    </row>
    <row r="13" spans="1:28" s="64" customFormat="1" ht="23.4" hidden="1" customHeight="1">
      <c r="A13" s="1372" t="s">
        <v>0</v>
      </c>
      <c r="B13" s="1366"/>
      <c r="C13" s="1367"/>
      <c r="D13" s="1385"/>
      <c r="E13" s="1386"/>
      <c r="F13" s="1386"/>
      <c r="G13" s="1386"/>
      <c r="H13" s="1386"/>
      <c r="I13" s="1386"/>
      <c r="J13" s="1386"/>
      <c r="K13" s="1386"/>
      <c r="L13" s="1386"/>
      <c r="M13" s="1386"/>
      <c r="N13" s="1386"/>
      <c r="O13" s="1387"/>
      <c r="P13" s="3"/>
      <c r="Q13" s="1381"/>
      <c r="R13" s="1381"/>
      <c r="S13" s="1381"/>
      <c r="T13" s="1381"/>
      <c r="U13" s="1381"/>
      <c r="V13" s="1381"/>
      <c r="W13" s="1381"/>
      <c r="X13" s="1381"/>
      <c r="Y13" s="1381"/>
      <c r="Z13" s="1381"/>
      <c r="AA13" s="1381"/>
      <c r="AB13" s="1381"/>
    </row>
    <row r="14" spans="1:28" s="64" customFormat="1" ht="23.4" customHeight="1">
      <c r="A14" s="1372" t="s">
        <v>229</v>
      </c>
      <c r="B14" s="1366"/>
      <c r="C14" s="1366"/>
      <c r="D14" s="1366"/>
      <c r="E14" s="1366"/>
      <c r="F14" s="1367"/>
      <c r="G14" s="1361">
        <f>IF('９建物系エネルギー・CO₂量'!H102="","",'９建物系エネルギー・CO₂量'!H102)+IF('10工場現場_エネルギー・CO₂量'!H102="","",'10工場現場_エネルギー・CO₂量'!H102)+IF('11自動車_エネルギー・CO₂量'!H102="","",'11自動車_エネルギー・CO₂量'!H102)</f>
        <v>0</v>
      </c>
      <c r="H14" s="1362"/>
      <c r="I14" s="1362"/>
      <c r="J14" s="1362"/>
      <c r="K14" s="1362"/>
      <c r="L14" s="1362"/>
      <c r="M14" s="1362"/>
      <c r="N14" s="79" t="s">
        <v>230</v>
      </c>
      <c r="O14" s="80"/>
      <c r="P14" s="3"/>
    </row>
    <row r="15" spans="1:28" s="64" customFormat="1" ht="23.4" customHeight="1">
      <c r="A15" s="1372" t="s">
        <v>255</v>
      </c>
      <c r="B15" s="1366"/>
      <c r="C15" s="1366"/>
      <c r="D15" s="1366"/>
      <c r="E15" s="1366"/>
      <c r="F15" s="1367"/>
      <c r="G15" s="1361">
        <f>IF('９建物系エネルギー・CO₂量'!H103="","",'９建物系エネルギー・CO₂量'!H103)+IF('10工場現場_エネルギー・CO₂量'!H103="","",'10工場現場_エネルギー・CO₂量'!H103)+IF('11自動車_エネルギー・CO₂量'!H103="","",'11自動車_エネルギー・CO₂量'!H103)</f>
        <v>0</v>
      </c>
      <c r="H15" s="1362"/>
      <c r="I15" s="1362"/>
      <c r="J15" s="1362"/>
      <c r="K15" s="1362"/>
      <c r="L15" s="1362"/>
      <c r="M15" s="1362"/>
      <c r="N15" s="79" t="s">
        <v>230</v>
      </c>
      <c r="O15" s="80"/>
      <c r="P15" s="3"/>
    </row>
    <row r="16" spans="1:28" s="64" customFormat="1" ht="23.4" customHeight="1">
      <c r="A16" s="1372" t="s">
        <v>275</v>
      </c>
      <c r="B16" s="1366"/>
      <c r="C16" s="1366"/>
      <c r="D16" s="1366"/>
      <c r="E16" s="1366"/>
      <c r="F16" s="1367"/>
      <c r="G16" s="1361">
        <f>IF('９建物系エネルギー・CO₂量'!H104="","",'９建物系エネルギー・CO₂量'!H104)+IF('10工場現場_エネルギー・CO₂量'!H104="","",'10工場現場_エネルギー・CO₂量'!H104)+IF('11自動車_エネルギー・CO₂量'!H104="","",'11自動車_エネルギー・CO₂量'!H104)</f>
        <v>0</v>
      </c>
      <c r="H16" s="1362"/>
      <c r="I16" s="1362"/>
      <c r="J16" s="1362"/>
      <c r="K16" s="1362"/>
      <c r="L16" s="1362"/>
      <c r="M16" s="1362"/>
      <c r="N16" s="79" t="s">
        <v>260</v>
      </c>
      <c r="O16" s="80"/>
      <c r="P16" s="3"/>
    </row>
    <row r="17" spans="1:28" s="64" customFormat="1" ht="23.4" customHeight="1">
      <c r="A17" s="1373" t="s">
        <v>256</v>
      </c>
      <c r="B17" s="1374"/>
      <c r="C17" s="1374"/>
      <c r="D17" s="1374"/>
      <c r="E17" s="1374"/>
      <c r="F17" s="1375"/>
      <c r="G17" s="1361">
        <f>IF('19その他ガス'!$K$97="","",'19その他ガス'!$K$97)</f>
        <v>0</v>
      </c>
      <c r="H17" s="1362"/>
      <c r="I17" s="1362"/>
      <c r="J17" s="1362"/>
      <c r="K17" s="1362"/>
      <c r="L17" s="1362"/>
      <c r="M17" s="1362"/>
      <c r="N17" s="79" t="s">
        <v>260</v>
      </c>
      <c r="O17" s="107"/>
      <c r="P17" s="3"/>
    </row>
    <row r="18" spans="1:28" s="64" customFormat="1" ht="23.4" customHeight="1">
      <c r="A18" s="1359"/>
      <c r="B18" s="1365" t="s">
        <v>295</v>
      </c>
      <c r="C18" s="1366"/>
      <c r="D18" s="1366"/>
      <c r="E18" s="1366"/>
      <c r="F18" s="1367"/>
      <c r="G18" s="1361">
        <f>IF('19その他ガス'!K85="","",'19その他ガス'!K85)</f>
        <v>0</v>
      </c>
      <c r="H18" s="1362"/>
      <c r="I18" s="1362"/>
      <c r="J18" s="1362"/>
      <c r="K18" s="1362"/>
      <c r="L18" s="1362"/>
      <c r="M18" s="1362"/>
      <c r="N18" s="79" t="s">
        <v>260</v>
      </c>
      <c r="O18" s="107"/>
      <c r="P18" s="3"/>
    </row>
    <row r="19" spans="1:28" s="64" customFormat="1" ht="23.4" customHeight="1" thickBot="1">
      <c r="A19" s="1360"/>
      <c r="B19" s="1356" t="s">
        <v>276</v>
      </c>
      <c r="C19" s="1357"/>
      <c r="D19" s="1357"/>
      <c r="E19" s="1357"/>
      <c r="F19" s="1358"/>
      <c r="G19" s="1363" t="str">
        <f>IF('19その他ガス'!K96="","",'19その他ガス'!K96)</f>
        <v/>
      </c>
      <c r="H19" s="1364"/>
      <c r="I19" s="1364"/>
      <c r="J19" s="1364"/>
      <c r="K19" s="1364"/>
      <c r="L19" s="1364"/>
      <c r="M19" s="1364"/>
      <c r="N19" s="81" t="s">
        <v>260</v>
      </c>
      <c r="O19" s="82"/>
      <c r="P19" s="3"/>
    </row>
    <row r="20" spans="1:28" s="64" customFormat="1" ht="9.75" customHeight="1">
      <c r="A20" s="83"/>
      <c r="B20" s="3"/>
      <c r="C20" s="3"/>
      <c r="D20" s="3"/>
      <c r="E20" s="3"/>
      <c r="F20" s="3"/>
      <c r="G20" s="3"/>
      <c r="H20" s="3"/>
      <c r="I20" s="3"/>
      <c r="J20" s="3"/>
      <c r="K20" s="3"/>
      <c r="L20" s="3"/>
      <c r="M20" s="3"/>
      <c r="N20" s="3"/>
      <c r="O20" s="3"/>
      <c r="P20" s="3"/>
      <c r="AB20" s="84"/>
    </row>
    <row r="21" spans="1:28" s="64" customFormat="1" ht="18" customHeight="1">
      <c r="A21" s="3" t="s">
        <v>2067</v>
      </c>
      <c r="B21" s="3"/>
      <c r="C21" s="3"/>
      <c r="D21" s="3"/>
      <c r="E21" s="3"/>
      <c r="F21" s="3"/>
      <c r="G21" s="3"/>
      <c r="H21" s="3"/>
      <c r="I21" s="3"/>
      <c r="J21" s="3"/>
      <c r="K21" s="3"/>
      <c r="L21" s="3"/>
      <c r="M21" s="3"/>
      <c r="N21" s="3"/>
      <c r="O21" s="3"/>
      <c r="P21" s="3"/>
      <c r="AB21" s="84"/>
    </row>
    <row r="22" spans="1:28" s="64" customFormat="1" ht="13.5" customHeight="1">
      <c r="A22" s="3"/>
      <c r="B22" s="3"/>
      <c r="C22" s="3"/>
      <c r="D22" s="3"/>
      <c r="E22" s="3"/>
      <c r="F22" s="3"/>
      <c r="G22" s="3"/>
      <c r="H22" s="3"/>
      <c r="I22" s="3"/>
      <c r="J22" s="3"/>
      <c r="K22" s="3"/>
      <c r="L22" s="3"/>
      <c r="M22" s="3"/>
      <c r="N22" s="3"/>
      <c r="O22" s="3"/>
      <c r="P22" s="3"/>
      <c r="AB22" s="84"/>
    </row>
    <row r="23" spans="1:28" s="64" customFormat="1" ht="13.5" customHeight="1" thickBot="1">
      <c r="A23" s="78" t="s">
        <v>1613</v>
      </c>
      <c r="B23" s="3"/>
      <c r="C23" s="3"/>
      <c r="D23" s="3"/>
      <c r="E23" s="3"/>
      <c r="F23" s="3"/>
      <c r="G23" s="3"/>
      <c r="H23" s="3"/>
      <c r="I23" s="3"/>
      <c r="J23" s="3" t="s">
        <v>1614</v>
      </c>
      <c r="K23" s="3"/>
      <c r="L23" s="3"/>
      <c r="M23" s="3"/>
      <c r="N23" s="3"/>
      <c r="O23" s="3"/>
      <c r="P23" s="3"/>
      <c r="AB23" s="84"/>
    </row>
    <row r="24" spans="1:28" s="64" customFormat="1" ht="23.4" customHeight="1">
      <c r="A24" s="1370" t="s">
        <v>231</v>
      </c>
      <c r="B24" s="1371"/>
      <c r="C24" s="1371"/>
      <c r="D24" s="1355"/>
      <c r="E24" s="1338" t="s">
        <v>232</v>
      </c>
      <c r="F24" s="1355"/>
      <c r="G24" s="1338" t="s">
        <v>233</v>
      </c>
      <c r="H24" s="1339"/>
      <c r="I24" s="3"/>
      <c r="J24" s="1370" t="s">
        <v>231</v>
      </c>
      <c r="K24" s="1355"/>
      <c r="L24" s="85" t="s">
        <v>69</v>
      </c>
      <c r="M24" s="1338" t="s">
        <v>234</v>
      </c>
      <c r="N24" s="1355"/>
      <c r="O24" s="1338" t="s">
        <v>235</v>
      </c>
      <c r="P24" s="1339"/>
      <c r="AB24" s="84"/>
    </row>
    <row r="25" spans="1:28" s="64" customFormat="1" ht="23.4" customHeight="1">
      <c r="A25" s="1347" t="s">
        <v>26</v>
      </c>
      <c r="B25" s="1348"/>
      <c r="C25" s="1348"/>
      <c r="D25" s="1349"/>
      <c r="E25" s="1350"/>
      <c r="F25" s="1351"/>
      <c r="G25" s="1350"/>
      <c r="H25" s="1352"/>
      <c r="I25" s="579" t="s">
        <v>4</v>
      </c>
      <c r="J25" s="1368"/>
      <c r="K25" s="1369"/>
      <c r="L25" s="86"/>
      <c r="M25" s="87"/>
      <c r="N25" s="88" t="str">
        <f>CONCATENATE("GJ/",L25)</f>
        <v>GJ/</v>
      </c>
      <c r="O25" s="87"/>
      <c r="P25" s="89" t="s">
        <v>12</v>
      </c>
      <c r="Q25" s="69" t="s">
        <v>2529</v>
      </c>
      <c r="AB25" s="84"/>
    </row>
    <row r="26" spans="1:28" s="64" customFormat="1" ht="23.4" customHeight="1" thickBot="1">
      <c r="A26" s="1347" t="s">
        <v>29</v>
      </c>
      <c r="B26" s="1348"/>
      <c r="C26" s="1348"/>
      <c r="D26" s="1349"/>
      <c r="E26" s="1350"/>
      <c r="F26" s="1351"/>
      <c r="G26" s="1350"/>
      <c r="H26" s="1352"/>
      <c r="I26" s="579" t="s">
        <v>5</v>
      </c>
      <c r="J26" s="1353"/>
      <c r="K26" s="1354"/>
      <c r="L26" s="90"/>
      <c r="M26" s="91"/>
      <c r="N26" s="92" t="str">
        <f>CONCATENATE("GJ/",L26)</f>
        <v>GJ/</v>
      </c>
      <c r="O26" s="91"/>
      <c r="P26" s="93" t="s">
        <v>12</v>
      </c>
      <c r="AB26" s="84"/>
    </row>
    <row r="27" spans="1:28" s="64" customFormat="1" ht="23.4" customHeight="1">
      <c r="A27" s="1347" t="s">
        <v>350</v>
      </c>
      <c r="B27" s="1348"/>
      <c r="C27" s="1348"/>
      <c r="D27" s="1349"/>
      <c r="E27" s="1350"/>
      <c r="F27" s="1351"/>
      <c r="G27" s="1350"/>
      <c r="H27" s="1352"/>
      <c r="I27" s="94"/>
      <c r="J27" s="1346"/>
      <c r="K27" s="1346"/>
      <c r="L27" s="45"/>
      <c r="M27" s="41"/>
      <c r="N27" s="95"/>
      <c r="O27" s="41"/>
      <c r="P27" s="95"/>
      <c r="AB27" s="84"/>
    </row>
    <row r="28" spans="1:28" s="64" customFormat="1" ht="23.4" customHeight="1">
      <c r="A28" s="1347" t="s">
        <v>1618</v>
      </c>
      <c r="B28" s="1348"/>
      <c r="C28" s="1348"/>
      <c r="D28" s="1349"/>
      <c r="E28" s="1350"/>
      <c r="F28" s="1351"/>
      <c r="G28" s="1350"/>
      <c r="H28" s="1352"/>
      <c r="I28" s="94"/>
      <c r="J28" s="41"/>
      <c r="K28" s="41"/>
      <c r="L28" s="45"/>
      <c r="M28" s="41"/>
      <c r="N28" s="95"/>
      <c r="O28" s="41"/>
      <c r="P28" s="95"/>
      <c r="AB28" s="84"/>
    </row>
    <row r="29" spans="1:28" s="64" customFormat="1" ht="23.4" customHeight="1" thickBot="1">
      <c r="A29" s="1340" t="s">
        <v>30</v>
      </c>
      <c r="B29" s="1341"/>
      <c r="C29" s="1341"/>
      <c r="D29" s="1342"/>
      <c r="E29" s="1343"/>
      <c r="F29" s="1344"/>
      <c r="G29" s="1343"/>
      <c r="H29" s="1345"/>
      <c r="I29" s="94"/>
      <c r="J29" s="1346"/>
      <c r="K29" s="1346"/>
      <c r="L29" s="45"/>
      <c r="M29" s="41"/>
      <c r="N29" s="95"/>
      <c r="O29" s="41"/>
      <c r="P29" s="95"/>
      <c r="AB29" s="84"/>
    </row>
    <row r="30" spans="1:28" s="64" customFormat="1" ht="13.5" customHeight="1">
      <c r="A30" s="518"/>
      <c r="B30" s="519"/>
      <c r="C30" s="519"/>
      <c r="D30" s="519"/>
      <c r="E30" s="519"/>
      <c r="F30" s="519"/>
      <c r="G30" s="519"/>
      <c r="H30" s="519"/>
      <c r="I30" s="519"/>
      <c r="J30" s="519"/>
      <c r="K30" s="519"/>
      <c r="L30" s="519"/>
      <c r="M30" s="519"/>
      <c r="N30" s="519"/>
      <c r="O30" s="519"/>
      <c r="P30" s="519"/>
      <c r="AB30" s="84"/>
    </row>
    <row r="32" spans="1:28" s="64" customFormat="1">
      <c r="A32" s="96"/>
      <c r="B32" s="96"/>
      <c r="C32" s="96"/>
      <c r="R32" s="84"/>
      <c r="S32" s="84"/>
      <c r="T32" s="84"/>
      <c r="U32" s="84"/>
      <c r="V32" s="84"/>
      <c r="W32" s="84"/>
      <c r="X32" s="84"/>
      <c r="Y32" s="84"/>
      <c r="Z32" s="84"/>
      <c r="AA32" s="84"/>
      <c r="AB32" s="84"/>
    </row>
    <row r="33" spans="1:28" s="64" customFormat="1">
      <c r="A33" s="96"/>
      <c r="B33" s="96"/>
      <c r="C33" s="96"/>
      <c r="R33" s="84"/>
      <c r="S33" s="84"/>
      <c r="T33" s="84"/>
      <c r="U33" s="84"/>
      <c r="V33" s="84"/>
      <c r="W33" s="84"/>
      <c r="X33" s="84"/>
      <c r="Y33" s="84"/>
      <c r="Z33" s="84"/>
      <c r="AA33" s="84"/>
      <c r="AB33" s="84"/>
    </row>
    <row r="34" spans="1:28" s="64" customFormat="1">
      <c r="A34" s="96"/>
      <c r="B34" s="96"/>
      <c r="C34" s="96"/>
      <c r="R34" s="84"/>
      <c r="S34" s="84"/>
      <c r="T34" s="84"/>
      <c r="U34" s="84"/>
      <c r="V34" s="84"/>
      <c r="W34" s="84"/>
      <c r="X34" s="84"/>
      <c r="Y34" s="84"/>
      <c r="Z34" s="84"/>
      <c r="AA34" s="84"/>
      <c r="AB34" s="84"/>
    </row>
    <row r="35" spans="1:28" s="64" customFormat="1">
      <c r="A35" s="96"/>
      <c r="B35" s="96"/>
      <c r="C35" s="96"/>
      <c r="R35" s="84"/>
      <c r="S35" s="84"/>
      <c r="T35" s="84"/>
      <c r="U35" s="84"/>
      <c r="V35" s="84"/>
      <c r="W35" s="84"/>
      <c r="X35" s="84"/>
      <c r="Y35" s="84"/>
      <c r="Z35" s="84"/>
      <c r="AA35" s="84"/>
      <c r="AB35" s="84"/>
    </row>
    <row r="36" spans="1:28" s="64" customFormat="1">
      <c r="C36" s="96"/>
      <c r="R36" s="84"/>
      <c r="S36" s="84"/>
      <c r="T36" s="84"/>
      <c r="U36" s="84"/>
      <c r="V36" s="84"/>
      <c r="W36" s="84"/>
      <c r="X36" s="84"/>
      <c r="Y36" s="84"/>
      <c r="Z36" s="84"/>
      <c r="AA36" s="84"/>
      <c r="AB36" s="84"/>
    </row>
    <row r="37" spans="1:28" s="64" customFormat="1">
      <c r="A37" s="96"/>
      <c r="C37" s="96"/>
      <c r="R37" s="84"/>
      <c r="S37" s="84"/>
      <c r="T37" s="84"/>
      <c r="U37" s="84"/>
      <c r="V37" s="84"/>
      <c r="W37" s="84"/>
      <c r="X37" s="84"/>
      <c r="Y37" s="84"/>
      <c r="Z37" s="84"/>
      <c r="AA37" s="84"/>
      <c r="AB37" s="84"/>
    </row>
    <row r="38" spans="1:28" s="64" customFormat="1">
      <c r="A38" s="96"/>
      <c r="C38" s="96"/>
      <c r="R38" s="84"/>
      <c r="S38" s="84"/>
      <c r="T38" s="84"/>
      <c r="U38" s="84"/>
      <c r="V38" s="84"/>
      <c r="W38" s="84"/>
      <c r="X38" s="84"/>
      <c r="Y38" s="84"/>
      <c r="Z38" s="84"/>
      <c r="AA38" s="84"/>
      <c r="AB38" s="84"/>
    </row>
    <row r="39" spans="1:28" s="97" customFormat="1">
      <c r="C39" s="98"/>
    </row>
    <row r="40" spans="1:28" s="99" customFormat="1" ht="18.75" hidden="1" customHeight="1">
      <c r="A40" s="99" t="s">
        <v>236</v>
      </c>
      <c r="C40" s="100" t="s">
        <v>237</v>
      </c>
    </row>
    <row r="41" spans="1:28" s="99" customFormat="1" ht="18.75" hidden="1" customHeight="1">
      <c r="B41" s="99" t="s">
        <v>238</v>
      </c>
      <c r="C41" s="101"/>
      <c r="D41" s="99" t="s">
        <v>239</v>
      </c>
      <c r="F41" s="99" t="s">
        <v>240</v>
      </c>
    </row>
    <row r="42" spans="1:28" s="64" customFormat="1">
      <c r="R42" s="84"/>
      <c r="S42" s="84"/>
      <c r="T42" s="84"/>
      <c r="U42" s="84"/>
      <c r="V42" s="84"/>
      <c r="W42" s="84"/>
      <c r="X42" s="84"/>
      <c r="Y42" s="84"/>
      <c r="Z42" s="84"/>
      <c r="AA42" s="84"/>
      <c r="AB42" s="84"/>
    </row>
  </sheetData>
  <sheetProtection algorithmName="SHA-512" hashValue="OB2z3qnkDkTNGtjWAXXRXTr6yYnLHmBWOng7ImxMaC4q2XAbgQmBDkwWVN8K0EcCtpVZcW7nLxw7Qc/Ple6JWg==" saltValue="vL4NOYC1TrVhXFYOp0JT9A==" spinCount="100000" sheet="1" objects="1" scenarios="1"/>
  <mergeCells count="50">
    <mergeCell ref="L1:P1"/>
    <mergeCell ref="C3:D3"/>
    <mergeCell ref="A14:F14"/>
    <mergeCell ref="G14:M14"/>
    <mergeCell ref="Q11:AB13"/>
    <mergeCell ref="A12:C12"/>
    <mergeCell ref="D12:O12"/>
    <mergeCell ref="A13:C13"/>
    <mergeCell ref="D13:O13"/>
    <mergeCell ref="C5:M5"/>
    <mergeCell ref="C6:M6"/>
    <mergeCell ref="L8:O8"/>
    <mergeCell ref="A11:C11"/>
    <mergeCell ref="D11:O11"/>
    <mergeCell ref="A15:F15"/>
    <mergeCell ref="A16:F16"/>
    <mergeCell ref="G16:M16"/>
    <mergeCell ref="G15:M15"/>
    <mergeCell ref="A17:F17"/>
    <mergeCell ref="J25:K25"/>
    <mergeCell ref="A25:D25"/>
    <mergeCell ref="E25:F25"/>
    <mergeCell ref="G25:H25"/>
    <mergeCell ref="A24:D24"/>
    <mergeCell ref="E24:F24"/>
    <mergeCell ref="J24:K24"/>
    <mergeCell ref="M24:N24"/>
    <mergeCell ref="B19:F19"/>
    <mergeCell ref="A18:A19"/>
    <mergeCell ref="G17:M17"/>
    <mergeCell ref="G19:M19"/>
    <mergeCell ref="G24:H24"/>
    <mergeCell ref="G18:M18"/>
    <mergeCell ref="B18:F18"/>
    <mergeCell ref="O24:P24"/>
    <mergeCell ref="A29:D29"/>
    <mergeCell ref="E29:F29"/>
    <mergeCell ref="G29:H29"/>
    <mergeCell ref="J29:K29"/>
    <mergeCell ref="A26:D26"/>
    <mergeCell ref="E26:F26"/>
    <mergeCell ref="G26:H26"/>
    <mergeCell ref="J26:K26"/>
    <mergeCell ref="A27:D27"/>
    <mergeCell ref="E27:F27"/>
    <mergeCell ref="G27:H27"/>
    <mergeCell ref="J27:K27"/>
    <mergeCell ref="A28:D28"/>
    <mergeCell ref="E28:F28"/>
    <mergeCell ref="G28:H28"/>
  </mergeCells>
  <phoneticPr fontId="5"/>
  <dataValidations count="8">
    <dataValidation type="whole" imeMode="disabled" allowBlank="1" showInputMessage="1" showErrorMessage="1" sqref="D13:O13" xr:uid="{00000000-0002-0000-0000-000001000000}">
      <formula1>1</formula1>
      <formula2>999999</formula2>
    </dataValidation>
    <dataValidation imeMode="on" allowBlank="1" showInputMessage="1" showErrorMessage="1" sqref="J25:K26 D11:O12" xr:uid="{00000000-0002-0000-0000-000002000000}"/>
    <dataValidation type="date" imeMode="disabled" operator="greaterThanOrEqual" allowBlank="1" showInputMessage="1" showErrorMessage="1" sqref="L8:O8" xr:uid="{00000000-0002-0000-0000-000003000000}">
      <formula1>1</formula1>
    </dataValidation>
    <dataValidation imeMode="disabled" allowBlank="1" showInputMessage="1" showErrorMessage="1" sqref="M25:M26 O25:O26 F26:F27 F29 H29 G25:G29 H25:H27 E26:E29" xr:uid="{00000000-0002-0000-0000-000004000000}"/>
    <dataValidation type="whole" allowBlank="1" showInputMessage="1" showErrorMessage="1" sqref="C4:D4" xr:uid="{00000000-0002-0000-0000-000005000000}">
      <formula1>1</formula1>
      <formula2>31</formula2>
    </dataValidation>
    <dataValidation type="list" allowBlank="1" showInputMessage="1" showErrorMessage="1" sqref="L27:L29" xr:uid="{00000000-0002-0000-0000-000006000000}">
      <formula1>"kg,t,kL,m3,Nm3"</formula1>
    </dataValidation>
    <dataValidation type="list" imeMode="disabled" allowBlank="1" showInputMessage="1" showErrorMessage="1" sqref="C3:D3" xr:uid="{00000000-0002-0000-0000-000008000000}">
      <formula1>和暦年度_選択</formula1>
    </dataValidation>
    <dataValidation type="decimal" imeMode="disabled" operator="greaterThanOrEqual" allowBlank="1" showInputMessage="1" showErrorMessage="1" sqref="E25:F25" xr:uid="{00000000-0002-0000-0000-000009000000}">
      <formula1>0</formula1>
    </dataValidation>
  </dataValidations>
  <pageMargins left="0.78740157480314965" right="0.59055118110236227" top="0.78740157480314965" bottom="0.59055118110236227" header="0.31496062992125984" footer="0.31496062992125984"/>
  <pageSetup paperSize="9" scale="90" fitToHeight="0" orientation="portrait" r:id="rId1"/>
  <headerFooter>
    <oddHeader>&amp;R&amp;8ver.4.01</oddHeader>
  </headerFooter>
  <colBreaks count="1" manualBreakCount="1">
    <brk id="16"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B000000}">
          <x14:formula1>
            <xm:f>非_単位!$C$34:$L$34</xm:f>
          </x14:formula1>
          <xm:sqref>L26</xm:sqref>
        </x14:dataValidation>
        <x14:dataValidation type="list" allowBlank="1" showInputMessage="1" showErrorMessage="1" xr:uid="{00000000-0002-0000-0000-00000C000000}">
          <x14:formula1>
            <xm:f>非_単位!$C$33:$L$33</xm:f>
          </x14:formula1>
          <xm:sqref>L25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3FAD-3105-45CC-8860-F2F7551673AC}">
  <sheetPr codeName="Sheet28">
    <pageSetUpPr fitToPage="1"/>
  </sheetPr>
  <dimension ref="A1:AL26"/>
  <sheetViews>
    <sheetView zoomScale="85" zoomScaleNormal="85" workbookViewId="0">
      <selection activeCell="M24" sqref="M24"/>
    </sheetView>
  </sheetViews>
  <sheetFormatPr defaultColWidth="8.08203125" defaultRowHeight="17.25" customHeight="1"/>
  <cols>
    <col min="1" max="1" width="3.08203125" customWidth="1"/>
    <col min="2" max="2" width="9.58203125" customWidth="1"/>
    <col min="3" max="3" width="6.1640625" customWidth="1"/>
    <col min="4" max="4" width="8.6640625" customWidth="1"/>
    <col min="5" max="5" width="5.5" customWidth="1"/>
    <col min="6" max="11" width="10.83203125" customWidth="1"/>
    <col min="12" max="12" width="7.33203125" customWidth="1"/>
    <col min="14" max="14" width="10" bestFit="1" customWidth="1"/>
    <col min="16" max="16" width="8.08203125" customWidth="1"/>
    <col min="17" max="38" width="8.08203125" hidden="1" customWidth="1"/>
  </cols>
  <sheetData>
    <row r="1" spans="1:20" ht="17.25" customHeight="1">
      <c r="A1" s="1110" t="s">
        <v>2453</v>
      </c>
      <c r="B1" s="1104"/>
    </row>
    <row r="2" spans="1:20" ht="17.25" customHeight="1">
      <c r="A2" s="1110"/>
    </row>
    <row r="3" spans="1:20" ht="17.25" customHeight="1">
      <c r="A3" s="1110"/>
    </row>
    <row r="4" spans="1:20" ht="17.25" hidden="1" customHeight="1">
      <c r="B4" s="1138" t="s">
        <v>2454</v>
      </c>
    </row>
    <row r="5" spans="1:20" ht="17.25" hidden="1" customHeight="1">
      <c r="B5" s="1142" t="s">
        <v>2455</v>
      </c>
      <c r="C5" s="1104"/>
      <c r="D5" s="1134"/>
      <c r="E5" s="1134"/>
      <c r="F5" s="1134"/>
      <c r="G5" s="198"/>
      <c r="H5" s="198"/>
      <c r="I5" s="198"/>
    </row>
    <row r="6" spans="1:20" ht="17.25" hidden="1" customHeight="1">
      <c r="B6" s="1117" t="s">
        <v>2442</v>
      </c>
      <c r="C6" s="1143"/>
      <c r="D6" s="1648" t="s">
        <v>2456</v>
      </c>
      <c r="E6" s="1649"/>
      <c r="F6" s="1139" t="s">
        <v>2444</v>
      </c>
      <c r="G6" s="1117" t="s">
        <v>2445</v>
      </c>
      <c r="H6" s="1144" t="s">
        <v>2457</v>
      </c>
      <c r="I6" s="1139" t="s">
        <v>2444</v>
      </c>
      <c r="J6" s="1139" t="s">
        <v>2445</v>
      </c>
    </row>
    <row r="7" spans="1:20" ht="17.25" hidden="1" customHeight="1">
      <c r="B7" s="1145"/>
      <c r="C7" s="1114"/>
      <c r="D7" s="1644" t="s">
        <v>2447</v>
      </c>
      <c r="E7" s="1646"/>
      <c r="F7" s="1642" t="s">
        <v>2447</v>
      </c>
      <c r="G7" s="1644" t="s">
        <v>2448</v>
      </c>
      <c r="H7" s="1656"/>
      <c r="I7" s="1658"/>
      <c r="J7" s="1642" t="s">
        <v>2448</v>
      </c>
      <c r="S7">
        <v>30</v>
      </c>
      <c r="T7">
        <v>31</v>
      </c>
    </row>
    <row r="8" spans="1:20" ht="17.25" hidden="1" customHeight="1">
      <c r="B8" s="1148"/>
      <c r="C8" s="1149"/>
      <c r="D8" s="1645"/>
      <c r="E8" s="1647"/>
      <c r="F8" s="1643"/>
      <c r="G8" s="1645"/>
      <c r="H8" s="1657"/>
      <c r="I8" s="1659"/>
      <c r="J8" s="1643"/>
      <c r="S8">
        <f>'６．エコアップCO2量一覧'!V43</f>
        <v>0</v>
      </c>
      <c r="T8">
        <f>'６．エコアップCO2量一覧'!W43</f>
        <v>0</v>
      </c>
    </row>
    <row r="9" spans="1:20" ht="17.25" hidden="1" customHeight="1">
      <c r="B9" s="1640" t="s">
        <v>2449</v>
      </c>
      <c r="C9" s="1641"/>
      <c r="D9" s="1650"/>
      <c r="E9" s="1651"/>
      <c r="F9" s="1152"/>
      <c r="G9" s="1153"/>
      <c r="H9" s="1154"/>
      <c r="I9" s="1152"/>
      <c r="J9" s="1152"/>
      <c r="S9">
        <f>'６．エコアップCO2量一覧'!V45</f>
        <v>0</v>
      </c>
      <c r="T9">
        <f>'６．エコアップCO2量一覧'!W45</f>
        <v>0</v>
      </c>
    </row>
    <row r="10" spans="1:20" ht="17.25" hidden="1" customHeight="1">
      <c r="B10" s="1168"/>
      <c r="C10" s="1116" t="s">
        <v>1658</v>
      </c>
      <c r="D10" s="1638" t="str">
        <f>IF(B10="","",HLOOKUP(B10,$S$7:$T$9,2,FALSE))</f>
        <v/>
      </c>
      <c r="E10" s="1639"/>
      <c r="F10" s="1155" t="str">
        <f>IF(D10="","",D10-D$9)</f>
        <v/>
      </c>
      <c r="G10" s="1156" t="str">
        <f>IF(F10="","",F10/D$9*100)</f>
        <v/>
      </c>
      <c r="H10" s="1157" t="str">
        <f>IF(B10="","",HLOOKUP(B10,$S$7:$T$9,3,FALSE))</f>
        <v/>
      </c>
      <c r="I10" s="1158" t="str">
        <f>IF(H10="","",H10-H$9)</f>
        <v/>
      </c>
      <c r="J10" s="1159" t="str">
        <f>IF(I10="","",I10/H$9*100)</f>
        <v/>
      </c>
    </row>
    <row r="11" spans="1:20" ht="17.25" hidden="1" customHeight="1">
      <c r="B11" s="1169" t="str">
        <f>IF(B10="","",B10+1)</f>
        <v/>
      </c>
      <c r="C11" s="1116" t="s">
        <v>1658</v>
      </c>
      <c r="D11" s="1638" t="str">
        <f>IF(B11="","",HLOOKUP(B11,$S$7:$T$9,2,FALSE))</f>
        <v/>
      </c>
      <c r="E11" s="1639"/>
      <c r="F11" s="1155" t="str">
        <f t="shared" ref="F11:F12" si="0">IF(D11="","",D11-D$9)</f>
        <v/>
      </c>
      <c r="G11" s="1156" t="str">
        <f>IF(F11="","",F11/D$9*100)</f>
        <v/>
      </c>
      <c r="H11" s="1157" t="str">
        <f>IF(B11="","",HLOOKUP(B11,$S$7:$T$9,3,FALSE))</f>
        <v/>
      </c>
      <c r="I11" s="1158" t="str">
        <f t="shared" ref="I11:I12" si="1">IF(H11="","",H11-H$9)</f>
        <v/>
      </c>
      <c r="J11" s="1159" t="str">
        <f>IF(I11="","",I11/H$9*100)</f>
        <v/>
      </c>
    </row>
    <row r="12" spans="1:20" ht="17.25" hidden="1" customHeight="1" thickBot="1">
      <c r="B12" s="1169" t="str">
        <f>IF(B11="","",B11+1)</f>
        <v/>
      </c>
      <c r="C12" s="1116" t="s">
        <v>1658</v>
      </c>
      <c r="D12" s="1638" t="str">
        <f>IF(B12="","",HLOOKUP(B12,$S$7:$T$9,2,FALSE))</f>
        <v/>
      </c>
      <c r="E12" s="1639"/>
      <c r="F12" s="1155" t="str">
        <f t="shared" si="0"/>
        <v/>
      </c>
      <c r="G12" s="1156" t="str">
        <f>IF(F12="","",F12/D$9*100)</f>
        <v/>
      </c>
      <c r="H12" s="1157" t="str">
        <f>IF(B12="","",HLOOKUP(B12,$S$7:$T$9,3,FALSE))</f>
        <v/>
      </c>
      <c r="I12" s="1158" t="str">
        <f t="shared" si="1"/>
        <v/>
      </c>
      <c r="J12" s="1159" t="str">
        <f>IF(I12="","",I12/H$9*100)</f>
        <v/>
      </c>
    </row>
    <row r="13" spans="1:20" ht="17.25" hidden="1" customHeight="1" thickBot="1">
      <c r="B13" s="1640" t="s">
        <v>2450</v>
      </c>
      <c r="C13" s="1641"/>
      <c r="D13" s="1516"/>
      <c r="E13" s="1517"/>
      <c r="F13" s="1162"/>
      <c r="G13" s="1163" t="str">
        <f>IF(G10="","",AVERAGE(G10:G12))</f>
        <v/>
      </c>
      <c r="H13" s="1164"/>
      <c r="I13" s="1162"/>
      <c r="J13" s="1165" t="str">
        <f>IF(J10="","",AVERAGE(J10:J12))</f>
        <v/>
      </c>
    </row>
    <row r="14" spans="1:20" ht="17.25" hidden="1" customHeight="1"/>
    <row r="15" spans="1:20" ht="17.25" hidden="1" customHeight="1"/>
    <row r="17" spans="2:38" ht="17.25" customHeight="1">
      <c r="B17" s="1138" t="s">
        <v>2458</v>
      </c>
    </row>
    <row r="18" spans="2:38" ht="17.25" customHeight="1">
      <c r="B18" s="1142" t="s">
        <v>2459</v>
      </c>
      <c r="C18" s="1104"/>
      <c r="D18" s="1134"/>
      <c r="E18" s="1134"/>
      <c r="F18" s="1134"/>
      <c r="G18" s="198"/>
      <c r="H18" s="198"/>
      <c r="I18" s="198"/>
    </row>
    <row r="19" spans="2:38" ht="17.25" customHeight="1">
      <c r="B19" s="1117" t="s">
        <v>2442</v>
      </c>
      <c r="C19" s="1143"/>
      <c r="D19" s="1648" t="s">
        <v>2456</v>
      </c>
      <c r="E19" s="1649"/>
      <c r="F19" s="1139" t="s">
        <v>2444</v>
      </c>
      <c r="G19" s="1117" t="s">
        <v>2445</v>
      </c>
      <c r="H19" s="1144" t="s">
        <v>2457</v>
      </c>
      <c r="I19" s="1139" t="s">
        <v>2444</v>
      </c>
      <c r="J19" s="1139" t="s">
        <v>2445</v>
      </c>
    </row>
    <row r="20" spans="2:38" ht="17.25" customHeight="1">
      <c r="B20" s="1145"/>
      <c r="C20" s="1114"/>
      <c r="D20" s="1644" t="s">
        <v>2447</v>
      </c>
      <c r="E20" s="1646"/>
      <c r="F20" s="1642" t="s">
        <v>2447</v>
      </c>
      <c r="G20" s="1644" t="s">
        <v>2448</v>
      </c>
      <c r="H20" s="1652" t="s">
        <v>2460</v>
      </c>
      <c r="I20" s="1654" t="s">
        <v>2460</v>
      </c>
      <c r="J20" s="1642" t="s">
        <v>2448</v>
      </c>
    </row>
    <row r="21" spans="2:38" ht="17.25" customHeight="1">
      <c r="B21" s="1148"/>
      <c r="C21" s="1149"/>
      <c r="D21" s="1645"/>
      <c r="E21" s="1647"/>
      <c r="F21" s="1643"/>
      <c r="G21" s="1645"/>
      <c r="H21" s="1653"/>
      <c r="I21" s="1655"/>
      <c r="J21" s="1643"/>
    </row>
    <row r="22" spans="2:38" ht="17.25" customHeight="1">
      <c r="B22" s="1640" t="s">
        <v>2449</v>
      </c>
      <c r="C22" s="1641"/>
      <c r="D22" s="1650"/>
      <c r="E22" s="1651"/>
      <c r="F22" s="1152"/>
      <c r="G22" s="1153"/>
      <c r="H22" s="1154"/>
      <c r="I22" s="1152"/>
      <c r="J22" s="1152"/>
    </row>
    <row r="23" spans="2:38" ht="17.25" customHeight="1">
      <c r="B23" s="1170"/>
      <c r="C23" s="1116" t="s">
        <v>1658</v>
      </c>
      <c r="D23" s="1650"/>
      <c r="E23" s="1651"/>
      <c r="F23" s="1155" t="str">
        <f>IF(D23="","",D23-D$22)</f>
        <v/>
      </c>
      <c r="G23" s="1156" t="str">
        <f>IF(F23="","",F23/D$22*100)</f>
        <v/>
      </c>
      <c r="H23" s="1154"/>
      <c r="I23" s="1158" t="str">
        <f>IF(H23="","",H23-H$22)</f>
        <v/>
      </c>
      <c r="J23" s="1159" t="str">
        <f>IF(I23="","",I23/H$22*100)</f>
        <v/>
      </c>
      <c r="R23" s="120" t="e">
        <f>MATCH(B23,S23:AL23,0)</f>
        <v>#N/A</v>
      </c>
      <c r="S23" s="1171" t="s">
        <v>2413</v>
      </c>
      <c r="T23">
        <v>2</v>
      </c>
      <c r="U23">
        <v>3</v>
      </c>
      <c r="V23">
        <v>4</v>
      </c>
      <c r="W23">
        <v>5</v>
      </c>
      <c r="X23">
        <v>6</v>
      </c>
      <c r="Y23">
        <v>7</v>
      </c>
      <c r="Z23">
        <v>8</v>
      </c>
      <c r="AA23">
        <v>9</v>
      </c>
      <c r="AB23">
        <v>10</v>
      </c>
      <c r="AC23">
        <v>11</v>
      </c>
      <c r="AD23">
        <v>12</v>
      </c>
      <c r="AE23">
        <v>13</v>
      </c>
      <c r="AF23">
        <v>14</v>
      </c>
      <c r="AG23">
        <v>15</v>
      </c>
      <c r="AH23">
        <v>16</v>
      </c>
      <c r="AI23">
        <v>17</v>
      </c>
      <c r="AJ23">
        <v>18</v>
      </c>
      <c r="AK23">
        <v>19</v>
      </c>
      <c r="AL23">
        <v>20</v>
      </c>
    </row>
    <row r="24" spans="2:38" ht="17.25" customHeight="1">
      <c r="B24" s="1167" t="e">
        <f>INDEX(S23:AL23,1,R23+1)</f>
        <v>#N/A</v>
      </c>
      <c r="C24" s="1116" t="s">
        <v>1658</v>
      </c>
      <c r="D24" s="1650"/>
      <c r="E24" s="1651"/>
      <c r="F24" s="1155" t="str">
        <f t="shared" ref="F24:F25" si="2">IF(D24="","",D24-D$22)</f>
        <v/>
      </c>
      <c r="G24" s="1156" t="str">
        <f t="shared" ref="G24:G25" si="3">IF(F24="","",F24/D$22*100)</f>
        <v/>
      </c>
      <c r="H24" s="1154"/>
      <c r="I24" s="1158" t="str">
        <f t="shared" ref="I24:I25" si="4">IF(H24="","",H24-H$22)</f>
        <v/>
      </c>
      <c r="J24" s="1159" t="str">
        <f t="shared" ref="J24:J25" si="5">IF(I24="","",I24/H$22*100)</f>
        <v/>
      </c>
    </row>
    <row r="25" spans="2:38" ht="17.25" customHeight="1" thickBot="1">
      <c r="B25" s="1167" t="e">
        <f>INDEX(S23:AL23,1,R23+2)</f>
        <v>#N/A</v>
      </c>
      <c r="C25" s="1116" t="s">
        <v>1658</v>
      </c>
      <c r="D25" s="1650"/>
      <c r="E25" s="1651"/>
      <c r="F25" s="1155" t="str">
        <f t="shared" si="2"/>
        <v/>
      </c>
      <c r="G25" s="1156" t="str">
        <f t="shared" si="3"/>
        <v/>
      </c>
      <c r="H25" s="1154"/>
      <c r="I25" s="1158" t="str">
        <f t="shared" si="4"/>
        <v/>
      </c>
      <c r="J25" s="1159" t="str">
        <f t="shared" si="5"/>
        <v/>
      </c>
    </row>
    <row r="26" spans="2:38" ht="17.25" customHeight="1" thickBot="1">
      <c r="B26" s="1640" t="s">
        <v>2450</v>
      </c>
      <c r="C26" s="1641"/>
      <c r="D26" s="1516"/>
      <c r="E26" s="1517"/>
      <c r="F26" s="1162"/>
      <c r="G26" s="1163" t="str">
        <f>IF(G23="","",AVERAGE(G23:G25))</f>
        <v/>
      </c>
      <c r="H26" s="1164"/>
      <c r="I26" s="1162"/>
      <c r="J26" s="1165" t="str">
        <f>IF(J23="","",AVERAGE(J23:J25))</f>
        <v/>
      </c>
    </row>
  </sheetData>
  <sheetProtection algorithmName="SHA-512" hashValue="WfPBkxCrnHIuCQA8HpOJXsO7SX8i8gM5GLYPR7G1+1exl0rFhE7ImstLN6bSap8SIlzDYQr3X5IuI72Iu0Fa5w==" saltValue="d7vQTuDGCeIg5fFu5PPl2g==" spinCount="100000" sheet="1" formatCells="0"/>
  <mergeCells count="28">
    <mergeCell ref="D12:E12"/>
    <mergeCell ref="D6:E6"/>
    <mergeCell ref="D7:E8"/>
    <mergeCell ref="F7:F8"/>
    <mergeCell ref="G7:G8"/>
    <mergeCell ref="J7:J8"/>
    <mergeCell ref="B9:C9"/>
    <mergeCell ref="D9:E9"/>
    <mergeCell ref="D10:E10"/>
    <mergeCell ref="D11:E11"/>
    <mergeCell ref="H7:H8"/>
    <mergeCell ref="I7:I8"/>
    <mergeCell ref="B13:C13"/>
    <mergeCell ref="D13:E13"/>
    <mergeCell ref="D19:E19"/>
    <mergeCell ref="D20:E21"/>
    <mergeCell ref="F20:F21"/>
    <mergeCell ref="I20:I21"/>
    <mergeCell ref="J20:J21"/>
    <mergeCell ref="B22:C22"/>
    <mergeCell ref="D22:E22"/>
    <mergeCell ref="D23:E23"/>
    <mergeCell ref="G20:G21"/>
    <mergeCell ref="D24:E24"/>
    <mergeCell ref="D25:E25"/>
    <mergeCell ref="B26:C26"/>
    <mergeCell ref="D26:E26"/>
    <mergeCell ref="H20:H21"/>
  </mergeCells>
  <phoneticPr fontId="5"/>
  <conditionalFormatting sqref="B23">
    <cfRule type="containsBlanks" dxfId="43" priority="5">
      <formula>LEN(TRIM(B23))=0</formula>
    </cfRule>
  </conditionalFormatting>
  <conditionalFormatting sqref="D9:E9">
    <cfRule type="containsBlanks" dxfId="42" priority="3">
      <formula>LEN(TRIM(D9))=0</formula>
    </cfRule>
  </conditionalFormatting>
  <conditionalFormatting sqref="D22:E25">
    <cfRule type="containsBlanks" dxfId="41" priority="7">
      <formula>LEN(TRIM(D22))=0</formula>
    </cfRule>
  </conditionalFormatting>
  <conditionalFormatting sqref="H9">
    <cfRule type="containsBlanks" dxfId="40" priority="2">
      <formula>LEN(TRIM(H9))=0</formula>
    </cfRule>
  </conditionalFormatting>
  <conditionalFormatting sqref="H22:H25">
    <cfRule type="containsBlanks" dxfId="39" priority="6">
      <formula>LEN(TRIM(H22))=0</formula>
    </cfRule>
  </conditionalFormatting>
  <conditionalFormatting sqref="H7:I8">
    <cfRule type="containsBlanks" dxfId="38" priority="1">
      <formula>LEN(TRIM(H7))=0</formula>
    </cfRule>
  </conditionalFormatting>
  <conditionalFormatting sqref="H20:I21">
    <cfRule type="containsBlanks" dxfId="37" priority="4">
      <formula>LEN(TRIM(H20))=0</formula>
    </cfRule>
  </conditionalFormatting>
  <dataValidations count="2">
    <dataValidation type="whole" allowBlank="1" showInputMessage="1" showErrorMessage="1" prompt="初年度数字（半角）を記入する" sqref="B10" xr:uid="{76CA2E9A-1FD1-4806-A372-0B0FF2061067}">
      <formula1>20</formula1>
      <formula2>31</formula2>
    </dataValidation>
    <dataValidation type="list" allowBlank="1" showInputMessage="1" showErrorMessage="1" prompt="プルダウンリストから選択してください。" sqref="B23" xr:uid="{0F13A997-87E6-42D5-B3DD-F78EB1896B66}">
      <formula1>$S$23:$AL$23</formula1>
    </dataValidation>
  </dataValidations>
  <pageMargins left="0.78740157480314965" right="0.59055118110236227" top="0.78740157480314965" bottom="0.59055118110236227" header="0.31496062992125984" footer="0.31496062992125984"/>
  <pageSetup paperSize="9" scale="92" fitToHeight="0" orientation="portrait" r:id="rId1"/>
  <headerFooter>
    <oddHeader>&amp;R&amp;8ver.4.01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ACF8-CB72-42F7-9DBF-D084BD73669F}">
  <sheetPr codeName="Sheet29">
    <tabColor rgb="FFCCFFFF"/>
    <pageSetUpPr fitToPage="1"/>
  </sheetPr>
  <dimension ref="A1:N109"/>
  <sheetViews>
    <sheetView showGridLines="0" zoomScale="70" zoomScaleNormal="70" zoomScaleSheetLayoutView="100" workbookViewId="0">
      <pane xSplit="2" ySplit="5" topLeftCell="C96" activePane="bottomRight" state="frozen"/>
      <selection activeCell="L62" sqref="L62"/>
      <selection pane="topRight" activeCell="L62" sqref="L62"/>
      <selection pane="bottomLeft" activeCell="L62" sqref="L62"/>
      <selection pane="bottomRight" activeCell="A100" sqref="A100"/>
    </sheetView>
  </sheetViews>
  <sheetFormatPr defaultColWidth="4.08203125" defaultRowHeight="17.5" outlineLevelCol="1"/>
  <cols>
    <col min="1" max="2" width="6.1640625" style="498" customWidth="1"/>
    <col min="3" max="3" width="19.08203125" style="498" customWidth="1"/>
    <col min="4" max="5" width="35.58203125" style="498" customWidth="1"/>
    <col min="6" max="6" width="14.58203125" style="498" customWidth="1"/>
    <col min="7" max="7" width="10.1640625" style="498" customWidth="1"/>
    <col min="8" max="8" width="15.5" style="498" customWidth="1"/>
    <col min="9" max="9" width="17.9140625" style="498" customWidth="1"/>
    <col min="10" max="10" width="18.9140625" style="498" customWidth="1"/>
    <col min="11" max="11" width="23.5" style="498" customWidth="1"/>
    <col min="12" max="12" width="9" style="498" customWidth="1"/>
    <col min="13" max="13" width="14.1640625" style="498" hidden="1" customWidth="1" outlineLevel="1"/>
    <col min="14" max="14" width="9" style="498" customWidth="1" collapsed="1"/>
    <col min="15" max="247" width="9" style="498" customWidth="1"/>
    <col min="248" max="248" width="1.58203125" style="498" customWidth="1"/>
    <col min="249" max="249" width="1.9140625" style="498" customWidth="1"/>
    <col min="250" max="16384" width="4.08203125" style="498"/>
  </cols>
  <sheetData>
    <row r="1" spans="1:13">
      <c r="A1" s="3" t="s">
        <v>2506</v>
      </c>
      <c r="B1" s="4"/>
      <c r="C1" s="4"/>
      <c r="D1" s="4"/>
      <c r="E1" s="4"/>
      <c r="F1" s="4"/>
      <c r="G1" s="4"/>
      <c r="H1" s="109"/>
      <c r="I1" s="109"/>
      <c r="J1" s="108" t="s">
        <v>2056</v>
      </c>
      <c r="K1" s="216" t="str">
        <f>IF('0.事業所概要'!D11="","",'0.事業所概要'!D11)</f>
        <v>県庁産業㈱　　本社、浦和支店</v>
      </c>
    </row>
    <row r="2" spans="1:13">
      <c r="A2" s="1805" t="s">
        <v>2507</v>
      </c>
      <c r="B2" s="1805"/>
      <c r="C2" s="1805"/>
      <c r="D2" s="1805"/>
      <c r="E2" s="1805"/>
      <c r="F2" s="4"/>
      <c r="G2" s="4"/>
      <c r="H2" s="4"/>
      <c r="I2" s="4"/>
      <c r="J2" s="4"/>
      <c r="K2" s="164" t="str">
        <f>CONCATENATE('0.事業所概要'!$B$3,'0.事業所概要'!$C$3,"年度")</f>
        <v>令和７年度</v>
      </c>
    </row>
    <row r="3" spans="1:13" ht="23.25" customHeight="1" thickBot="1">
      <c r="A3" s="765"/>
      <c r="B3" s="766" t="s">
        <v>2063</v>
      </c>
      <c r="C3" s="765"/>
      <c r="D3" s="765"/>
      <c r="E3" s="4"/>
      <c r="F3" s="5"/>
      <c r="G3" s="4"/>
      <c r="H3" s="1806"/>
      <c r="I3" s="1806"/>
      <c r="J3" s="1806"/>
      <c r="K3" s="6"/>
      <c r="M3" s="575" t="s">
        <v>2051</v>
      </c>
    </row>
    <row r="4" spans="1:13" ht="54" customHeight="1">
      <c r="A4" s="7"/>
      <c r="B4" s="1711" t="s">
        <v>1</v>
      </c>
      <c r="C4" s="1740"/>
      <c r="D4" s="1740"/>
      <c r="E4" s="1717"/>
      <c r="F4" s="1808" t="s">
        <v>262</v>
      </c>
      <c r="G4" s="1743"/>
      <c r="H4" s="8" t="s">
        <v>2</v>
      </c>
      <c r="I4" s="170" t="s">
        <v>51</v>
      </c>
      <c r="J4" s="170" t="s">
        <v>52</v>
      </c>
      <c r="K4" s="116" t="s">
        <v>3</v>
      </c>
      <c r="M4" s="576" t="s">
        <v>2050</v>
      </c>
    </row>
    <row r="5" spans="1:13" ht="33" customHeight="1" thickBot="1">
      <c r="A5" s="10"/>
      <c r="B5" s="1715"/>
      <c r="C5" s="1807"/>
      <c r="D5" s="1807"/>
      <c r="E5" s="1719"/>
      <c r="F5" s="11"/>
      <c r="G5" s="12"/>
      <c r="H5" s="33" t="s">
        <v>7</v>
      </c>
      <c r="I5" s="119" t="s">
        <v>8</v>
      </c>
      <c r="J5" s="119" t="s">
        <v>8</v>
      </c>
      <c r="K5" s="13" t="s">
        <v>177</v>
      </c>
    </row>
    <row r="6" spans="1:13" ht="30.15" customHeight="1">
      <c r="A6" s="1809" t="s">
        <v>264</v>
      </c>
      <c r="B6" s="1812" t="s">
        <v>185</v>
      </c>
      <c r="C6" s="1814" t="s">
        <v>9</v>
      </c>
      <c r="D6" s="1398"/>
      <c r="E6" s="1815"/>
      <c r="F6" s="343" t="str">
        <f>IF(COUNTIFS('12燃料'!$X:$X,ROW())=0,"",ROUND(SUMIFS('12燃料'!$U:$U,'12燃料'!$X:$X,ROW(),'12燃料'!$AH:$AH,1),0))</f>
        <v/>
      </c>
      <c r="G6" s="344" t="s">
        <v>8</v>
      </c>
      <c r="H6" s="345" t="str">
        <f>IF(COUNTIFS('12燃料'!$X:$X,ROW())=0,"",SUMIFS('12燃料'!$V:$V,'12燃料'!$X:$X,ROW(),'12燃料'!$AH:$AH,1))</f>
        <v/>
      </c>
      <c r="I6" s="345" t="str">
        <f>IF(H6="","",H6*0.0258)</f>
        <v/>
      </c>
      <c r="J6" s="345" t="str">
        <f>IF(H6="","",H6*0.0258)</f>
        <v/>
      </c>
      <c r="K6" s="346" t="str">
        <f>IF(COUNTIFS('12燃料'!$X:$X,ROW())=0,"",SUMIFS('12燃料'!$W:$W,'12燃料'!$X:$X,ROW(),'12燃料'!$AH:$AH,1))</f>
        <v/>
      </c>
      <c r="M6" s="575" t="str">
        <f>IF(COUNTIFS('12燃料'!$X:$X,ROW())=0,"",SUMIFS('12燃料'!$U:$U,'12燃料'!$X:$X,ROW()))</f>
        <v/>
      </c>
    </row>
    <row r="7" spans="1:13" ht="30.15" customHeight="1">
      <c r="A7" s="1810"/>
      <c r="B7" s="1813"/>
      <c r="C7" s="1365" t="s">
        <v>10</v>
      </c>
      <c r="D7" s="1366"/>
      <c r="E7" s="1681"/>
      <c r="F7" s="343" t="str">
        <f>IF(COUNTIFS('12燃料'!$X:$X,ROW())=0,"",ROUND(SUMIFS('12燃料'!$U:$U,'12燃料'!$X:$X,ROW(),'12燃料'!$AH:$AH,1),0))</f>
        <v/>
      </c>
      <c r="G7" s="347" t="s">
        <v>8</v>
      </c>
      <c r="H7" s="345" t="str">
        <f>IF(COUNTIFS('12燃料'!$X:$X,ROW())=0,"",SUMIFS('12燃料'!$V:$V,'12燃料'!$X:$X,ROW(),'12燃料'!$AH:$AH,1))</f>
        <v/>
      </c>
      <c r="I7" s="345" t="str">
        <f t="shared" ref="I7:I45" si="0">IF(H7="","",H7*0.0258)</f>
        <v/>
      </c>
      <c r="J7" s="345" t="str">
        <f t="shared" ref="J7:J35" si="1">IF(H7="","",H7*0.0258)</f>
        <v/>
      </c>
      <c r="K7" s="346" t="str">
        <f>IF(COUNTIFS('12燃料'!$X:$X,ROW())=0,"",SUMIFS('12燃料'!$W:$W,'12燃料'!$X:$X,ROW(),'12燃料'!$AH:$AH,1))</f>
        <v/>
      </c>
      <c r="M7" s="575" t="str">
        <f>IF(COUNTIFS('12燃料'!$X:$X,ROW())=0,"",SUMIFS('12燃料'!$U:$U,'12燃料'!$X:$X,ROW()))</f>
        <v/>
      </c>
    </row>
    <row r="8" spans="1:13" ht="30.15" customHeight="1">
      <c r="A8" s="1810"/>
      <c r="B8" s="1813"/>
      <c r="C8" s="1365" t="s">
        <v>11</v>
      </c>
      <c r="D8" s="1366"/>
      <c r="E8" s="1681"/>
      <c r="F8" s="343">
        <f>IF(COUNTIFS('12燃料'!$X:$X,ROW())=0,"",ROUND(SUMIFS('12燃料'!$U:$U,'12燃料'!$X:$X,ROW(),'12燃料'!$AH:$AH,1),0))</f>
        <v>0</v>
      </c>
      <c r="G8" s="347" t="s">
        <v>8</v>
      </c>
      <c r="H8" s="345">
        <f>IF(COUNTIFS('12燃料'!$X:$X,ROW())=0,"",SUMIFS('12燃料'!$V:$V,'12燃料'!$X:$X,ROW(),'12燃料'!$AH:$AH,1))</f>
        <v>0</v>
      </c>
      <c r="I8" s="345">
        <f t="shared" si="0"/>
        <v>0</v>
      </c>
      <c r="J8" s="345">
        <f t="shared" si="1"/>
        <v>0</v>
      </c>
      <c r="K8" s="346">
        <f>IF(COUNTIFS('12燃料'!$X:$X,ROW())=0,"",SUMIFS('12燃料'!$W:$W,'12燃料'!$X:$X,ROW(),'12燃料'!$AH:$AH,1))</f>
        <v>0</v>
      </c>
      <c r="M8" s="575">
        <f>IF(COUNTIFS('12燃料'!$X:$X,ROW())=0,"",SUMIFS('12燃料'!$U:$U,'12燃料'!$X:$X,ROW()))</f>
        <v>0</v>
      </c>
    </row>
    <row r="9" spans="1:13" ht="30.15" customHeight="1">
      <c r="A9" s="1810"/>
      <c r="B9" s="1813"/>
      <c r="C9" s="1365" t="s">
        <v>13</v>
      </c>
      <c r="D9" s="1366"/>
      <c r="E9" s="1681"/>
      <c r="F9" s="343" t="str">
        <f>IF(COUNTIFS('12燃料'!$X:$X,ROW())=0,"",ROUND(SUMIFS('12燃料'!$U:$U,'12燃料'!$X:$X,ROW(),'12燃料'!$AH:$AH,1),0))</f>
        <v/>
      </c>
      <c r="G9" s="347" t="s">
        <v>8</v>
      </c>
      <c r="H9" s="345" t="str">
        <f>IF(COUNTIFS('12燃料'!$X:$X,ROW())=0,"",SUMIFS('12燃料'!$V:$V,'12燃料'!$X:$X,ROW(),'12燃料'!$AH:$AH,1))</f>
        <v/>
      </c>
      <c r="I9" s="345" t="str">
        <f t="shared" si="0"/>
        <v/>
      </c>
      <c r="J9" s="345" t="str">
        <f t="shared" si="1"/>
        <v/>
      </c>
      <c r="K9" s="346" t="str">
        <f>IF(COUNTIFS('12燃料'!$X:$X,ROW())=0,"",SUMIFS('12燃料'!$W:$W,'12燃料'!$X:$X,ROW(),'12燃料'!$AH:$AH,1))</f>
        <v/>
      </c>
      <c r="M9" s="575" t="str">
        <f>IF(COUNTIFS('12燃料'!$X:$X,ROW())=0,"",SUMIFS('12燃料'!$U:$U,'12燃料'!$X:$X,ROW()))</f>
        <v/>
      </c>
    </row>
    <row r="10" spans="1:13" ht="30.15" customHeight="1">
      <c r="A10" s="1810"/>
      <c r="B10" s="1813"/>
      <c r="C10" s="1795" t="s">
        <v>14</v>
      </c>
      <c r="D10" s="1804"/>
      <c r="E10" s="1796"/>
      <c r="F10" s="343">
        <f>IF(COUNTIFS('12燃料'!$X:$X,ROW())=0,"",ROUND(SUMIFS('12燃料'!$U:$U,'12燃料'!$X:$X,ROW(),'12燃料'!$AH:$AH,1),0))</f>
        <v>0</v>
      </c>
      <c r="G10" s="347" t="s">
        <v>8</v>
      </c>
      <c r="H10" s="345">
        <f>IF(COUNTIFS('12燃料'!$X:$X,ROW())=0,"",SUMIFS('12燃料'!$V:$V,'12燃料'!$X:$X,ROW(),'12燃料'!$AH:$AH,1))</f>
        <v>0</v>
      </c>
      <c r="I10" s="345">
        <f t="shared" si="0"/>
        <v>0</v>
      </c>
      <c r="J10" s="345">
        <f t="shared" si="1"/>
        <v>0</v>
      </c>
      <c r="K10" s="346">
        <f>IF(COUNTIFS('12燃料'!$X:$X,ROW())=0,"",SUMIFS('12燃料'!$W:$W,'12燃料'!$X:$X,ROW(),'12燃料'!$AH:$AH,1))</f>
        <v>0</v>
      </c>
      <c r="M10" s="575">
        <f>IF(COUNTIFS('12燃料'!$X:$X,ROW())=0,"",SUMIFS('12燃料'!$U:$U,'12燃料'!$X:$X,ROW()))</f>
        <v>0</v>
      </c>
    </row>
    <row r="11" spans="1:13" ht="30.15" customHeight="1">
      <c r="A11" s="1810"/>
      <c r="B11" s="1813"/>
      <c r="C11" s="1365" t="s">
        <v>15</v>
      </c>
      <c r="D11" s="1366"/>
      <c r="E11" s="1681"/>
      <c r="F11" s="343">
        <f>IF(COUNTIFS('12燃料'!$X:$X,ROW())=0,"",ROUND(SUMIFS('12燃料'!$U:$U,'12燃料'!$X:$X,ROW(),'12燃料'!$AH:$AH,1),0))</f>
        <v>0</v>
      </c>
      <c r="G11" s="347" t="s">
        <v>8</v>
      </c>
      <c r="H11" s="345">
        <f>IF(COUNTIFS('12燃料'!$X:$X,ROW())=0,"",SUMIFS('12燃料'!$V:$V,'12燃料'!$X:$X,ROW(),'12燃料'!$AH:$AH,1))</f>
        <v>0</v>
      </c>
      <c r="I11" s="345">
        <f t="shared" si="0"/>
        <v>0</v>
      </c>
      <c r="J11" s="345">
        <f t="shared" si="1"/>
        <v>0</v>
      </c>
      <c r="K11" s="346">
        <f>IF(COUNTIFS('12燃料'!$X:$X,ROW())=0,"",SUMIFS('12燃料'!$W:$W,'12燃料'!$X:$X,ROW(),'12燃料'!$AH:$AH,1))</f>
        <v>0</v>
      </c>
      <c r="M11" s="575">
        <f>IF(COUNTIFS('12燃料'!$X:$X,ROW())=0,"",SUMIFS('12燃料'!$U:$U,'12燃料'!$X:$X,ROW()))</f>
        <v>0</v>
      </c>
    </row>
    <row r="12" spans="1:13" ht="30.15" customHeight="1">
      <c r="A12" s="1810"/>
      <c r="B12" s="1813"/>
      <c r="C12" s="1365" t="s">
        <v>16</v>
      </c>
      <c r="D12" s="1366"/>
      <c r="E12" s="1681"/>
      <c r="F12" s="343">
        <f>IF(COUNTIFS('12燃料'!$X:$X,ROW())=0,"",ROUND(SUMIFS('12燃料'!$U:$U,'12燃料'!$X:$X,ROW(),'12燃料'!$AH:$AH,1),0))</f>
        <v>0</v>
      </c>
      <c r="G12" s="347" t="s">
        <v>8</v>
      </c>
      <c r="H12" s="345">
        <f>IF(COUNTIFS('12燃料'!$X:$X,ROW())=0,"",SUMIFS('12燃料'!$V:$V,'12燃料'!$X:$X,ROW(),'12燃料'!$AH:$AH,1))</f>
        <v>0</v>
      </c>
      <c r="I12" s="345">
        <f t="shared" si="0"/>
        <v>0</v>
      </c>
      <c r="J12" s="345">
        <f t="shared" si="1"/>
        <v>0</v>
      </c>
      <c r="K12" s="346">
        <f>IF(COUNTIFS('12燃料'!$X:$X,ROW())=0,"",SUMIFS('12燃料'!$W:$W,'12燃料'!$X:$X,ROW(),'12燃料'!$AH:$AH,1))</f>
        <v>0</v>
      </c>
      <c r="M12" s="575">
        <f>IF(COUNTIFS('12燃料'!$X:$X,ROW())=0,"",SUMIFS('12燃料'!$U:$U,'12燃料'!$X:$X,ROW()))</f>
        <v>0</v>
      </c>
    </row>
    <row r="13" spans="1:13" ht="30.15" customHeight="1">
      <c r="A13" s="1810"/>
      <c r="B13" s="1813"/>
      <c r="C13" s="1365" t="s">
        <v>17</v>
      </c>
      <c r="D13" s="1366"/>
      <c r="E13" s="1681"/>
      <c r="F13" s="343" t="str">
        <f>IF(COUNTIFS('12燃料'!$X:$X,ROW())=0,"",ROUND(SUMIFS('12燃料'!$U:$U,'12燃料'!$X:$X,ROW(),'12燃料'!$AH:$AH,1),0))</f>
        <v/>
      </c>
      <c r="G13" s="347" t="s">
        <v>8</v>
      </c>
      <c r="H13" s="345" t="str">
        <f>IF(COUNTIFS('12燃料'!$X:$X,ROW())=0,"",SUMIFS('12燃料'!$V:$V,'12燃料'!$X:$X,ROW(),'12燃料'!$AH:$AH,1))</f>
        <v/>
      </c>
      <c r="I13" s="345" t="str">
        <f t="shared" si="0"/>
        <v/>
      </c>
      <c r="J13" s="345" t="str">
        <f t="shared" si="1"/>
        <v/>
      </c>
      <c r="K13" s="346" t="str">
        <f>IF(COUNTIFS('12燃料'!$X:$X,ROW())=0,"",SUMIFS('12燃料'!$W:$W,'12燃料'!$X:$X,ROW(),'12燃料'!$AH:$AH,1))</f>
        <v/>
      </c>
      <c r="M13" s="575" t="str">
        <f>IF(COUNTIFS('12燃料'!$X:$X,ROW())=0,"",SUMIFS('12燃料'!$U:$U,'12燃料'!$X:$X,ROW()))</f>
        <v/>
      </c>
    </row>
    <row r="14" spans="1:13" ht="30.15" customHeight="1">
      <c r="A14" s="1810"/>
      <c r="B14" s="1813"/>
      <c r="C14" s="1365" t="s">
        <v>18</v>
      </c>
      <c r="D14" s="1366"/>
      <c r="E14" s="1681"/>
      <c r="F14" s="343" t="str">
        <f>IF(COUNTIFS('12燃料'!$X:$X,ROW())=0,"",ROUND(SUMIFS('12燃料'!$U:$U,'12燃料'!$X:$X,ROW(),'12燃料'!$AH:$AH,1),0))</f>
        <v/>
      </c>
      <c r="G14" s="347" t="s">
        <v>19</v>
      </c>
      <c r="H14" s="345" t="str">
        <f>IF(COUNTIFS('12燃料'!$X:$X,ROW())=0,"",SUMIFS('12燃料'!$V:$V,'12燃料'!$X:$X,ROW(),'12燃料'!$AH:$AH,1))</f>
        <v/>
      </c>
      <c r="I14" s="345" t="str">
        <f t="shared" si="0"/>
        <v/>
      </c>
      <c r="J14" s="345" t="str">
        <f t="shared" si="1"/>
        <v/>
      </c>
      <c r="K14" s="346" t="str">
        <f>IF(COUNTIFS('12燃料'!$X:$X,ROW())=0,"",SUMIFS('12燃料'!$W:$W,'12燃料'!$X:$X,ROW(),'12燃料'!$AH:$AH,1))</f>
        <v/>
      </c>
      <c r="M14" s="575" t="str">
        <f>IF(COUNTIFS('12燃料'!$X:$X,ROW())=0,"",SUMIFS('12燃料'!$U:$U,'12燃料'!$X:$X,ROW()))</f>
        <v/>
      </c>
    </row>
    <row r="15" spans="1:13" ht="30.15" customHeight="1">
      <c r="A15" s="1810"/>
      <c r="B15" s="1813"/>
      <c r="C15" s="1365" t="s">
        <v>20</v>
      </c>
      <c r="D15" s="1366"/>
      <c r="E15" s="1681"/>
      <c r="F15" s="343" t="str">
        <f>IF(COUNTIFS('12燃料'!$X:$X,ROW())=0,"",ROUND(SUMIFS('12燃料'!$U:$U,'12燃料'!$X:$X,ROW(),'12燃料'!$AH:$AH,1),0))</f>
        <v/>
      </c>
      <c r="G15" s="347" t="s">
        <v>19</v>
      </c>
      <c r="H15" s="345" t="str">
        <f>IF(COUNTIFS('12燃料'!$X:$X,ROW())=0,"",SUMIFS('12燃料'!$V:$V,'12燃料'!$X:$X,ROW(),'12燃料'!$AH:$AH,1))</f>
        <v/>
      </c>
      <c r="I15" s="345" t="str">
        <f t="shared" si="0"/>
        <v/>
      </c>
      <c r="J15" s="345" t="str">
        <f t="shared" si="1"/>
        <v/>
      </c>
      <c r="K15" s="346" t="str">
        <f>IF(COUNTIFS('12燃料'!$X:$X,ROW())=0,"",SUMIFS('12燃料'!$W:$W,'12燃料'!$X:$X,ROW(),'12燃料'!$AH:$AH,1))</f>
        <v/>
      </c>
      <c r="M15" s="575" t="str">
        <f>IF(COUNTIFS('12燃料'!$X:$X,ROW())=0,"",SUMIFS('12燃料'!$U:$U,'12燃料'!$X:$X,ROW()))</f>
        <v/>
      </c>
    </row>
    <row r="16" spans="1:13" ht="30.15" customHeight="1">
      <c r="A16" s="1810"/>
      <c r="B16" s="1813"/>
      <c r="C16" s="1818" t="s">
        <v>21</v>
      </c>
      <c r="D16" s="1795" t="s">
        <v>22</v>
      </c>
      <c r="E16" s="1796"/>
      <c r="F16" s="343">
        <f>IF(COUNTIFS('12燃料'!$X:$X,ROW())=0,"",ROUND(SUMIFS('12燃料'!$U:$U,'12燃料'!$X:$X,ROW(),'12燃料'!$AH:$AH,1),0))</f>
        <v>0</v>
      </c>
      <c r="G16" s="347" t="s">
        <v>19</v>
      </c>
      <c r="H16" s="345">
        <f>IF(COUNTIFS('12燃料'!$X:$X,ROW())=0,"",SUMIFS('12燃料'!$V:$V,'12燃料'!$X:$X,ROW(),'12燃料'!$AH:$AH,1))</f>
        <v>0</v>
      </c>
      <c r="I16" s="345">
        <f t="shared" si="0"/>
        <v>0</v>
      </c>
      <c r="J16" s="345">
        <f t="shared" si="1"/>
        <v>0</v>
      </c>
      <c r="K16" s="346">
        <f>IF(COUNTIFS('12燃料'!$X:$X,ROW())=0,"",SUMIFS('12燃料'!$W:$W,'12燃料'!$X:$X,ROW(),'12燃料'!$AH:$AH,1))</f>
        <v>0</v>
      </c>
      <c r="M16" s="575">
        <f>IF(COUNTIFS('12燃料'!$X:$X,ROW())=0,"",SUMIFS('12燃料'!$U:$U,'12燃料'!$X:$X,ROW()))</f>
        <v>0</v>
      </c>
    </row>
    <row r="17" spans="1:13" ht="30.15" customHeight="1">
      <c r="A17" s="1810"/>
      <c r="B17" s="1813"/>
      <c r="C17" s="1797"/>
      <c r="D17" s="1365" t="s">
        <v>23</v>
      </c>
      <c r="E17" s="1681"/>
      <c r="F17" s="343" t="str">
        <f>IF(COUNTIFS('12燃料'!$X:$X,ROW())=0,"",ROUND(SUMIFS('12燃料'!$U:$U,'12燃料'!$X:$X,ROW(),'12燃料'!$AH:$AH,1),0))</f>
        <v/>
      </c>
      <c r="G17" s="347" t="s">
        <v>283</v>
      </c>
      <c r="H17" s="345" t="str">
        <f>IF(COUNTIFS('12燃料'!$X:$X,ROW())=0,"",SUMIFS('12燃料'!$V:$V,'12燃料'!$X:$X,ROW(),'12燃料'!$AH:$AH,1))</f>
        <v/>
      </c>
      <c r="I17" s="345" t="str">
        <f t="shared" si="0"/>
        <v/>
      </c>
      <c r="J17" s="345" t="str">
        <f t="shared" si="1"/>
        <v/>
      </c>
      <c r="K17" s="346" t="str">
        <f>IF(COUNTIFS('12燃料'!$X:$X,ROW())=0,"",SUMIFS('12燃料'!$W:$W,'12燃料'!$X:$X,ROW(),'12燃料'!$AH:$AH,1))</f>
        <v/>
      </c>
      <c r="M17" s="575" t="str">
        <f>IF(COUNTIFS('12燃料'!$X:$X,ROW())=0,"",SUMIFS('12燃料'!$U:$U,'12燃料'!$X:$X,ROW()))</f>
        <v/>
      </c>
    </row>
    <row r="18" spans="1:13" ht="30.15" customHeight="1">
      <c r="A18" s="1810"/>
      <c r="B18" s="1813"/>
      <c r="C18" s="1676" t="s">
        <v>24</v>
      </c>
      <c r="D18" s="1365" t="s">
        <v>25</v>
      </c>
      <c r="E18" s="1681"/>
      <c r="F18" s="343" t="str">
        <f>IF(COUNTIFS('12燃料'!$X:$X,ROW())=0,"",ROUND(SUMIFS('12燃料'!$U:$U,'12燃料'!$X:$X,ROW(),'12燃料'!$AH:$AH,1),0))</f>
        <v/>
      </c>
      <c r="G18" s="347" t="s">
        <v>19</v>
      </c>
      <c r="H18" s="345" t="str">
        <f>IF(COUNTIFS('12燃料'!$X:$X,ROW())=0,"",SUMIFS('12燃料'!$V:$V,'12燃料'!$X:$X,ROW(),'12燃料'!$AH:$AH,1))</f>
        <v/>
      </c>
      <c r="I18" s="345" t="str">
        <f t="shared" si="0"/>
        <v/>
      </c>
      <c r="J18" s="345" t="str">
        <f t="shared" si="1"/>
        <v/>
      </c>
      <c r="K18" s="346" t="str">
        <f>IF(COUNTIFS('12燃料'!$X:$X,ROW())=0,"",SUMIFS('12燃料'!$W:$W,'12燃料'!$X:$X,ROW(),'12燃料'!$AH:$AH,1))</f>
        <v/>
      </c>
      <c r="M18" s="575" t="str">
        <f>IF(COUNTIFS('12燃料'!$X:$X,ROW())=0,"",SUMIFS('12燃料'!$U:$U,'12燃料'!$X:$X,ROW()))</f>
        <v/>
      </c>
    </row>
    <row r="19" spans="1:13" ht="30.15" customHeight="1">
      <c r="A19" s="1810"/>
      <c r="B19" s="1813"/>
      <c r="C19" s="1797"/>
      <c r="D19" s="1365" t="s">
        <v>26</v>
      </c>
      <c r="E19" s="1681"/>
      <c r="F19" s="343" t="str">
        <f>IF(COUNTIFS('12燃料'!$X:$X,ROW())=0,"",ROUND(SUMIFS('12燃料'!$U:$U,'12燃料'!$X:$X,ROW(),'12燃料'!$AH:$AH,1),0))</f>
        <v/>
      </c>
      <c r="G19" s="347" t="s">
        <v>283</v>
      </c>
      <c r="H19" s="345" t="str">
        <f>IF(COUNTIFS('12燃料'!$X:$X,ROW())=0,"",SUMIFS('12燃料'!$V:$V,'12燃料'!$X:$X,ROW(),'12燃料'!$AH:$AH,1))</f>
        <v/>
      </c>
      <c r="I19" s="345" t="str">
        <f t="shared" si="0"/>
        <v/>
      </c>
      <c r="J19" s="345" t="str">
        <f t="shared" si="1"/>
        <v/>
      </c>
      <c r="K19" s="346" t="str">
        <f>IF(COUNTIFS('12燃料'!$X:$X,ROW())=0,"",SUMIFS('12燃料'!$W:$W,'12燃料'!$X:$X,ROW(),'12燃料'!$AH:$AH,1))</f>
        <v/>
      </c>
      <c r="M19" s="575" t="str">
        <f>IF(COUNTIFS('12燃料'!$X:$X,ROW())=0,"",SUMIFS('12燃料'!$U:$U,'12燃料'!$X:$X,ROW()))</f>
        <v/>
      </c>
    </row>
    <row r="20" spans="1:13" ht="30.15" customHeight="1">
      <c r="A20" s="1810"/>
      <c r="B20" s="1813"/>
      <c r="C20" s="1816" t="s">
        <v>43</v>
      </c>
      <c r="D20" s="1365" t="s">
        <v>44</v>
      </c>
      <c r="E20" s="1681"/>
      <c r="F20" s="343" t="str">
        <f>IF(COUNTIFS('12燃料'!$X:$X,ROW())=0,"",ROUND(SUMIFS('12燃料'!$U:$U,'12燃料'!$X:$X,ROW(),'12燃料'!$AH:$AH,1),0))</f>
        <v/>
      </c>
      <c r="G20" s="347" t="s">
        <v>19</v>
      </c>
      <c r="H20" s="345" t="str">
        <f>IF(COUNTIFS('12燃料'!$X:$X,ROW())=0,"",SUMIFS('12燃料'!$V:$V,'12燃料'!$X:$X,ROW(),'12燃料'!$AH:$AH,1))</f>
        <v/>
      </c>
      <c r="I20" s="345" t="str">
        <f t="shared" si="0"/>
        <v/>
      </c>
      <c r="J20" s="345" t="str">
        <f t="shared" si="1"/>
        <v/>
      </c>
      <c r="K20" s="346" t="str">
        <f>IF(COUNTIFS('12燃料'!$X:$X,ROW())=0,"",SUMIFS('12燃料'!$W:$W,'12燃料'!$X:$X,ROW(),'12燃料'!$AH:$AH,1))</f>
        <v/>
      </c>
      <c r="M20" s="575" t="str">
        <f>IF(COUNTIFS('12燃料'!$X:$X,ROW())=0,"",SUMIFS('12燃料'!$U:$U,'12燃料'!$X:$X,ROW()))</f>
        <v/>
      </c>
    </row>
    <row r="21" spans="1:13" ht="30.15" customHeight="1">
      <c r="A21" s="1810"/>
      <c r="B21" s="1813"/>
      <c r="C21" s="1781"/>
      <c r="D21" s="1365" t="s">
        <v>45</v>
      </c>
      <c r="E21" s="1681"/>
      <c r="F21" s="343" t="str">
        <f>IF(COUNTIFS('12燃料'!$X:$X,ROW())=0,"",ROUND(SUMIFS('12燃料'!$U:$U,'12燃料'!$X:$X,ROW(),'12燃料'!$AH:$AH,1),0))</f>
        <v/>
      </c>
      <c r="G21" s="347" t="s">
        <v>19</v>
      </c>
      <c r="H21" s="345" t="str">
        <f>IF(COUNTIFS('12燃料'!$X:$X,ROW())=0,"",SUMIFS('12燃料'!$V:$V,'12燃料'!$X:$X,ROW(),'12燃料'!$AH:$AH,1))</f>
        <v/>
      </c>
      <c r="I21" s="345" t="str">
        <f t="shared" si="0"/>
        <v/>
      </c>
      <c r="J21" s="345" t="str">
        <f t="shared" si="1"/>
        <v/>
      </c>
      <c r="K21" s="346" t="str">
        <f>IF(COUNTIFS('12燃料'!$X:$X,ROW())=0,"",SUMIFS('12燃料'!$W:$W,'12燃料'!$X:$X,ROW(),'12燃料'!$AH:$AH,1))</f>
        <v/>
      </c>
      <c r="M21" s="575" t="str">
        <f>IF(COUNTIFS('12燃料'!$X:$X,ROW())=0,"",SUMIFS('12燃料'!$U:$U,'12燃料'!$X:$X,ROW()))</f>
        <v/>
      </c>
    </row>
    <row r="22" spans="1:13" ht="30.15" customHeight="1">
      <c r="A22" s="1810"/>
      <c r="B22" s="1813"/>
      <c r="C22" s="1782"/>
      <c r="D22" s="1365" t="s">
        <v>54</v>
      </c>
      <c r="E22" s="1681"/>
      <c r="F22" s="343" t="str">
        <f>IF(COUNTIFS('12燃料'!$X:$X,ROW())=0,"",ROUND(SUMIFS('12燃料'!$U:$U,'12燃料'!$X:$X,ROW(),'12燃料'!$AH:$AH,1),0))</f>
        <v/>
      </c>
      <c r="G22" s="347" t="s">
        <v>19</v>
      </c>
      <c r="H22" s="345" t="str">
        <f>IF(COUNTIFS('12燃料'!$X:$X,ROW())=0,"",SUMIFS('12燃料'!$V:$V,'12燃料'!$X:$X,ROW(),'12燃料'!$AH:$AH,1))</f>
        <v/>
      </c>
      <c r="I22" s="345" t="str">
        <f t="shared" si="0"/>
        <v/>
      </c>
      <c r="J22" s="345" t="str">
        <f t="shared" si="1"/>
        <v/>
      </c>
      <c r="K22" s="346" t="str">
        <f>IF(COUNTIFS('12燃料'!$X:$X,ROW())=0,"",SUMIFS('12燃料'!$W:$W,'12燃料'!$X:$X,ROW(),'12燃料'!$AH:$AH,1))</f>
        <v/>
      </c>
      <c r="M22" s="575" t="str">
        <f>IF(COUNTIFS('12燃料'!$X:$X,ROW())=0,"",SUMIFS('12燃料'!$U:$U,'12燃料'!$X:$X,ROW()))</f>
        <v/>
      </c>
    </row>
    <row r="23" spans="1:13" ht="30.15" customHeight="1">
      <c r="A23" s="1810"/>
      <c r="B23" s="1813"/>
      <c r="C23" s="1817" t="s">
        <v>46</v>
      </c>
      <c r="D23" s="1365" t="s">
        <v>47</v>
      </c>
      <c r="E23" s="1681"/>
      <c r="F23" s="343" t="str">
        <f>IF(COUNTIFS('12燃料'!$X:$X,ROW())=0,"",ROUND(SUMIFS('12燃料'!$U:$U,'12燃料'!$X:$X,ROW(),'12燃料'!$AH:$AH,1),0))</f>
        <v/>
      </c>
      <c r="G23" s="347" t="s">
        <v>19</v>
      </c>
      <c r="H23" s="345" t="str">
        <f>IF(COUNTIFS('12燃料'!$X:$X,ROW())=0,"",SUMIFS('12燃料'!$V:$V,'12燃料'!$X:$X,ROW(),'12燃料'!$AH:$AH,1))</f>
        <v/>
      </c>
      <c r="I23" s="345" t="str">
        <f t="shared" si="0"/>
        <v/>
      </c>
      <c r="J23" s="345" t="str">
        <f t="shared" si="1"/>
        <v/>
      </c>
      <c r="K23" s="346" t="str">
        <f>IF(COUNTIFS('12燃料'!$X:$X,ROW())=0,"",SUMIFS('12燃料'!$W:$W,'12燃料'!$X:$X,ROW(),'12燃料'!$AH:$AH,1))</f>
        <v/>
      </c>
      <c r="M23" s="575" t="str">
        <f>IF(COUNTIFS('12燃料'!$X:$X,ROW())=0,"",SUMIFS('12燃料'!$U:$U,'12燃料'!$X:$X,ROW()))</f>
        <v/>
      </c>
    </row>
    <row r="24" spans="1:13" ht="30.15" customHeight="1">
      <c r="A24" s="1810"/>
      <c r="B24" s="1813"/>
      <c r="C24" s="1817"/>
      <c r="D24" s="1365" t="s">
        <v>48</v>
      </c>
      <c r="E24" s="1681"/>
      <c r="F24" s="343" t="str">
        <f>IF(COUNTIFS('12燃料'!$X:$X,ROW())=0,"",ROUND(SUMIFS('12燃料'!$U:$U,'12燃料'!$X:$X,ROW(),'12燃料'!$AH:$AH,1),0))</f>
        <v/>
      </c>
      <c r="G24" s="347" t="s">
        <v>19</v>
      </c>
      <c r="H24" s="345" t="str">
        <f>IF(COUNTIFS('12燃料'!$X:$X,ROW())=0,"",SUMIFS('12燃料'!$V:$V,'12燃料'!$X:$X,ROW(),'12燃料'!$AH:$AH,1))</f>
        <v/>
      </c>
      <c r="I24" s="345" t="str">
        <f t="shared" si="0"/>
        <v/>
      </c>
      <c r="J24" s="345" t="str">
        <f t="shared" si="1"/>
        <v/>
      </c>
      <c r="K24" s="346" t="str">
        <f>IF(COUNTIFS('12燃料'!$X:$X,ROW())=0,"",SUMIFS('12燃料'!$W:$W,'12燃料'!$X:$X,ROW(),'12燃料'!$AH:$AH,1))</f>
        <v/>
      </c>
      <c r="M24" s="575" t="str">
        <f>IF(COUNTIFS('12燃料'!$X:$X,ROW())=0,"",SUMIFS('12燃料'!$U:$U,'12燃料'!$X:$X,ROW()))</f>
        <v/>
      </c>
    </row>
    <row r="25" spans="1:13" ht="30.15" customHeight="1">
      <c r="A25" s="1810"/>
      <c r="B25" s="1813"/>
      <c r="C25" s="1365" t="s">
        <v>53</v>
      </c>
      <c r="D25" s="1366"/>
      <c r="E25" s="1681"/>
      <c r="F25" s="343" t="str">
        <f>IF(COUNTIFS('12燃料'!$X:$X,ROW())=0,"",ROUND(SUMIFS('12燃料'!$U:$U,'12燃料'!$X:$X,ROW(),'12燃料'!$AH:$AH,1),0))</f>
        <v/>
      </c>
      <c r="G25" s="347" t="s">
        <v>19</v>
      </c>
      <c r="H25" s="345" t="str">
        <f>IF(COUNTIFS('12燃料'!$X:$X,ROW())=0,"",SUMIFS('12燃料'!$V:$V,'12燃料'!$X:$X,ROW(),'12燃料'!$AH:$AH,1))</f>
        <v/>
      </c>
      <c r="I25" s="345" t="str">
        <f t="shared" si="0"/>
        <v/>
      </c>
      <c r="J25" s="345" t="str">
        <f t="shared" si="1"/>
        <v/>
      </c>
      <c r="K25" s="346" t="str">
        <f>IF(COUNTIFS('12燃料'!$X:$X,ROW())=0,"",SUMIFS('12燃料'!$W:$W,'12燃料'!$X:$X,ROW(),'12燃料'!$AH:$AH,1))</f>
        <v/>
      </c>
      <c r="M25" s="575" t="str">
        <f>IF(COUNTIFS('12燃料'!$X:$X,ROW())=0,"",SUMIFS('12燃料'!$U:$U,'12燃料'!$X:$X,ROW()))</f>
        <v/>
      </c>
    </row>
    <row r="26" spans="1:13" ht="30.15" customHeight="1">
      <c r="A26" s="1810"/>
      <c r="B26" s="1813"/>
      <c r="C26" s="1365" t="s">
        <v>27</v>
      </c>
      <c r="D26" s="1366"/>
      <c r="E26" s="1681"/>
      <c r="F26" s="343" t="str">
        <f>IF(COUNTIFS('12燃料'!$X:$X,ROW())=0,"",ROUND(SUMIFS('12燃料'!$U:$U,'12燃料'!$X:$X,ROW(),'12燃料'!$AH:$AH,1),0))</f>
        <v/>
      </c>
      <c r="G26" s="348" t="s">
        <v>19</v>
      </c>
      <c r="H26" s="345" t="str">
        <f>IF(COUNTIFS('12燃料'!$X:$X,ROW())=0,"",SUMIFS('12燃料'!$V:$V,'12燃料'!$X:$X,ROW(),'12燃料'!$AH:$AH,1))</f>
        <v/>
      </c>
      <c r="I26" s="345" t="str">
        <f t="shared" si="0"/>
        <v/>
      </c>
      <c r="J26" s="345" t="str">
        <f t="shared" si="1"/>
        <v/>
      </c>
      <c r="K26" s="346" t="str">
        <f>IF(COUNTIFS('12燃料'!$X:$X,ROW())=0,"",SUMIFS('12燃料'!$W:$W,'12燃料'!$X:$X,ROW(),'12燃料'!$AH:$AH,1))</f>
        <v/>
      </c>
      <c r="M26" s="575" t="str">
        <f>IF(COUNTIFS('12燃料'!$X:$X,ROW())=0,"",SUMIFS('12燃料'!$U:$U,'12燃料'!$X:$X,ROW()))</f>
        <v/>
      </c>
    </row>
    <row r="27" spans="1:13" ht="30.15" customHeight="1">
      <c r="A27" s="1810"/>
      <c r="B27" s="1813"/>
      <c r="C27" s="1365" t="s">
        <v>28</v>
      </c>
      <c r="D27" s="1366"/>
      <c r="E27" s="1681"/>
      <c r="F27" s="343" t="str">
        <f>IF(COUNTIFS('12燃料'!$X:$X,ROW())=0,"",ROUND(SUMIFS('12燃料'!$U:$U,'12燃料'!$X:$X,ROW(),'12燃料'!$AH:$AH,1),0))</f>
        <v/>
      </c>
      <c r="G27" s="348" t="s">
        <v>19</v>
      </c>
      <c r="H27" s="345" t="str">
        <f>IF(COUNTIFS('12燃料'!$X:$X,ROW())=0,"",SUMIFS('12燃料'!$V:$V,'12燃料'!$X:$X,ROW(),'12燃料'!$AH:$AH,1))</f>
        <v/>
      </c>
      <c r="I27" s="345" t="str">
        <f t="shared" si="0"/>
        <v/>
      </c>
      <c r="J27" s="345" t="str">
        <f t="shared" si="1"/>
        <v/>
      </c>
      <c r="K27" s="346" t="str">
        <f>IF(COUNTIFS('12燃料'!$X:$X,ROW())=0,"",SUMIFS('12燃料'!$W:$W,'12燃料'!$X:$X,ROW(),'12燃料'!$AH:$AH,1))</f>
        <v/>
      </c>
      <c r="M27" s="575" t="str">
        <f>IF(COUNTIFS('12燃料'!$X:$X,ROW())=0,"",SUMIFS('12燃料'!$U:$U,'12燃料'!$X:$X,ROW()))</f>
        <v/>
      </c>
    </row>
    <row r="28" spans="1:13" ht="30.15" customHeight="1">
      <c r="A28" s="1810"/>
      <c r="B28" s="1813"/>
      <c r="C28" s="1365" t="s">
        <v>71</v>
      </c>
      <c r="D28" s="1366"/>
      <c r="E28" s="1681"/>
      <c r="F28" s="343" t="str">
        <f>IF(COUNTIFS('12燃料'!$X:$X,ROW())=0,"",ROUND(SUMIFS('12燃料'!$U:$U,'12燃料'!$X:$X,ROW(),'12燃料'!$AH:$AH,1),0))</f>
        <v/>
      </c>
      <c r="G28" s="347" t="s">
        <v>283</v>
      </c>
      <c r="H28" s="345" t="str">
        <f>IF(COUNTIFS('12燃料'!$X:$X,ROW())=0,"",SUMIFS('12燃料'!$V:$V,'12燃料'!$X:$X,ROW(),'12燃料'!$AH:$AH,1))</f>
        <v/>
      </c>
      <c r="I28" s="345" t="str">
        <f t="shared" si="0"/>
        <v/>
      </c>
      <c r="J28" s="345" t="str">
        <f t="shared" si="1"/>
        <v/>
      </c>
      <c r="K28" s="346" t="str">
        <f>IF(COUNTIFS('12燃料'!$X:$X,ROW())=0,"",SUMIFS('12燃料'!$W:$W,'12燃料'!$X:$X,ROW(),'12燃料'!$AH:$AH,1))</f>
        <v/>
      </c>
      <c r="M28" s="575" t="str">
        <f>IF(COUNTIFS('12燃料'!$X:$X,ROW())=0,"",SUMIFS('12燃料'!$U:$U,'12燃料'!$X:$X,ROW()))</f>
        <v/>
      </c>
    </row>
    <row r="29" spans="1:13" ht="30.15" customHeight="1">
      <c r="A29" s="1810"/>
      <c r="B29" s="1813"/>
      <c r="C29" s="1365" t="s">
        <v>63</v>
      </c>
      <c r="D29" s="1366"/>
      <c r="E29" s="1681"/>
      <c r="F29" s="343" t="str">
        <f>IF(COUNTIFS('12燃料'!$X:$X,ROW())=0,"",ROUND(SUMIFS('12燃料'!$U:$U,'12燃料'!$X:$X,ROW(),'12燃料'!$AH:$AH,1),0))</f>
        <v/>
      </c>
      <c r="G29" s="347" t="s">
        <v>283</v>
      </c>
      <c r="H29" s="345" t="str">
        <f>IF(COUNTIFS('12燃料'!$X:$X,ROW())=0,"",SUMIFS('12燃料'!$V:$V,'12燃料'!$X:$X,ROW(),'12燃料'!$AH:$AH,1))</f>
        <v/>
      </c>
      <c r="I29" s="345" t="str">
        <f t="shared" si="0"/>
        <v/>
      </c>
      <c r="J29" s="345" t="str">
        <f t="shared" si="1"/>
        <v/>
      </c>
      <c r="K29" s="346" t="str">
        <f>IF(COUNTIFS('12燃料'!$X:$X,ROW())=0,"",SUMIFS('12燃料'!$W:$W,'12燃料'!$X:$X,ROW(),'12燃料'!$AH:$AH,1))</f>
        <v/>
      </c>
      <c r="M29" s="575" t="str">
        <f>IF(COUNTIFS('12燃料'!$X:$X,ROW())=0,"",SUMIFS('12燃料'!$U:$U,'12燃料'!$X:$X,ROW()))</f>
        <v/>
      </c>
    </row>
    <row r="30" spans="1:13" ht="30.15" customHeight="1">
      <c r="A30" s="1810"/>
      <c r="B30" s="1813"/>
      <c r="C30" s="1365" t="s">
        <v>49</v>
      </c>
      <c r="D30" s="1366"/>
      <c r="E30" s="1681"/>
      <c r="F30" s="343" t="str">
        <f>IF(COUNTIFS('12燃料'!$X:$X,ROW())=0,"",ROUND(SUMIFS('12燃料'!$U:$U,'12燃料'!$X:$X,ROW(),'12燃料'!$AH:$AH,1),0))</f>
        <v/>
      </c>
      <c r="G30" s="347" t="s">
        <v>283</v>
      </c>
      <c r="H30" s="345" t="str">
        <f>IF(COUNTIFS('12燃料'!$X:$X,ROW())=0,"",SUMIFS('12燃料'!$V:$V,'12燃料'!$X:$X,ROW(),'12燃料'!$AH:$AH,1))</f>
        <v/>
      </c>
      <c r="I30" s="345" t="str">
        <f t="shared" si="0"/>
        <v/>
      </c>
      <c r="J30" s="345" t="str">
        <f t="shared" si="1"/>
        <v/>
      </c>
      <c r="K30" s="346" t="str">
        <f>IF(COUNTIFS('12燃料'!$X:$X,ROW())=0,"",SUMIFS('12燃料'!$W:$W,'12燃料'!$X:$X,ROW(),'12燃料'!$AH:$AH,1))</f>
        <v/>
      </c>
      <c r="M30" s="575" t="str">
        <f>IF(COUNTIFS('12燃料'!$X:$X,ROW())=0,"",SUMIFS('12燃料'!$U:$U,'12燃料'!$X:$X,ROW()))</f>
        <v/>
      </c>
    </row>
    <row r="31" spans="1:13" ht="30.15" customHeight="1">
      <c r="A31" s="1810"/>
      <c r="B31" s="1813"/>
      <c r="C31" s="1365" t="s">
        <v>30</v>
      </c>
      <c r="D31" s="1366"/>
      <c r="E31" s="1681"/>
      <c r="F31" s="343" t="str">
        <f>IF(COUNTIFS('12燃料'!$X:$X,ROW())=0,"",ROUND(SUMIFS('12燃料'!$U:$U,'12燃料'!$X:$X,ROW(),'12燃料'!$AH:$AH,1),0))</f>
        <v/>
      </c>
      <c r="G31" s="347" t="s">
        <v>283</v>
      </c>
      <c r="H31" s="345" t="str">
        <f>IF(COUNTIFS('12燃料'!$X:$X,ROW())=0,"",SUMIFS('12燃料'!$V:$V,'12燃料'!$X:$X,ROW(),'12燃料'!$AH:$AH,1))</f>
        <v/>
      </c>
      <c r="I31" s="345" t="str">
        <f t="shared" si="0"/>
        <v/>
      </c>
      <c r="J31" s="345" t="str">
        <f t="shared" si="1"/>
        <v/>
      </c>
      <c r="K31" s="346" t="str">
        <f>IF(COUNTIFS('12燃料'!$X:$X,ROW())=0,"",SUMIFS('12燃料'!$W:$W,'12燃料'!$X:$X,ROW(),'12燃料'!$AH:$AH,1))</f>
        <v/>
      </c>
      <c r="M31" s="575" t="str">
        <f>IF(COUNTIFS('12燃料'!$X:$X,ROW())=0,"",SUMIFS('12燃料'!$U:$U,'12燃料'!$X:$X,ROW()))</f>
        <v/>
      </c>
    </row>
    <row r="32" spans="1:13" ht="30.15" customHeight="1">
      <c r="A32" s="1810"/>
      <c r="B32" s="1813"/>
      <c r="C32" s="1365" t="s">
        <v>50</v>
      </c>
      <c r="D32" s="1366"/>
      <c r="E32" s="1681"/>
      <c r="F32" s="343" t="str">
        <f>IF(COUNTIFS('12燃料'!$X:$X,ROW())=0,"",ROUND(SUMIFS('12燃料'!$U:$U,'12燃料'!$X:$X,ROW(),'12燃料'!$AH:$AH,1),0))</f>
        <v/>
      </c>
      <c r="G32" s="347" t="s">
        <v>8</v>
      </c>
      <c r="H32" s="345" t="str">
        <f>IF(COUNTIFS('12燃料'!$X:$X,ROW())=0,"",SUMIFS('12燃料'!$V:$V,'12燃料'!$X:$X,ROW(),'12燃料'!$AH:$AH,1))</f>
        <v/>
      </c>
      <c r="I32" s="345" t="str">
        <f t="shared" si="0"/>
        <v/>
      </c>
      <c r="J32" s="345" t="str">
        <f t="shared" si="1"/>
        <v/>
      </c>
      <c r="K32" s="346" t="str">
        <f>IF(COUNTIFS('12燃料'!$X:$X,ROW())=0,"",SUMIFS('12燃料'!$W:$W,'12燃料'!$X:$X,ROW(),'12燃料'!$AH:$AH,1))</f>
        <v/>
      </c>
      <c r="M32" s="575" t="str">
        <f>IF(COUNTIFS('12燃料'!$X:$X,ROW())=0,"",SUMIFS('12燃料'!$U:$U,'12燃料'!$X:$X,ROW()))</f>
        <v/>
      </c>
    </row>
    <row r="33" spans="1:13" ht="30.15" customHeight="1">
      <c r="A33" s="1810"/>
      <c r="B33" s="1813"/>
      <c r="C33" s="1798" t="s">
        <v>32</v>
      </c>
      <c r="D33" s="1799"/>
      <c r="E33" s="1800"/>
      <c r="F33" s="349">
        <f>IF(COUNTIFS('13電気・熱_都市ガス'!$AP:$AP,ROW())=0,"",ROUND(SUMIFS('13電気・熱_都市ガス'!$AM:$AM,'13電気・熱_都市ガス'!$AP:$AP,ROW(),'13電気・熱_都市ガス'!$BI:$BI,1),0))</f>
        <v>0</v>
      </c>
      <c r="G33" s="347" t="s">
        <v>283</v>
      </c>
      <c r="H33" s="345">
        <f>IF(COUNTIFS('13電気・熱_都市ガス'!$AP:$AP,ROW())=0,"",SUMIFS('13電気・熱_都市ガス'!$AN:$AN,'13電気・熱_都市ガス'!$AP:$AP,ROW(),'13電気・熱_都市ガス'!$BI:$BI,1))</f>
        <v>0</v>
      </c>
      <c r="I33" s="345">
        <f t="shared" si="0"/>
        <v>0</v>
      </c>
      <c r="J33" s="345">
        <f t="shared" si="1"/>
        <v>0</v>
      </c>
      <c r="K33" s="346">
        <f>IF(COUNTIFS('13電気・熱_都市ガス'!$AP:$AP,ROW())=0,"",SUMIFS('13電気・熱_都市ガス'!$AO:$AO,'13電気・熱_都市ガス'!$AP:$AP,ROW(),'13電気・熱_都市ガス'!$BI:$BI,1))</f>
        <v>0</v>
      </c>
      <c r="M33" s="575">
        <f>IF(COUNTIFS('13電気・熱_都市ガス'!$AP:$AP,ROW())=0,"",SUMIFS('13電気・熱_都市ガス'!$AM:$AM,'13電気・熱_都市ガス'!$AP:$AP,ROW()))</f>
        <v>0</v>
      </c>
    </row>
    <row r="34" spans="1:13" ht="30.15" customHeight="1">
      <c r="A34" s="1810"/>
      <c r="B34" s="1813"/>
      <c r="C34" s="1801" t="s">
        <v>31</v>
      </c>
      <c r="D34" s="1802" t="str">
        <f>IF('0.事業所概要'!J25="","その他燃料①",'0.事業所概要'!J25)</f>
        <v>その他燃料①</v>
      </c>
      <c r="E34" s="1803"/>
      <c r="F34" s="343" t="str">
        <f>IF(COUNTIFS('12燃料'!$X:$X,ROW())=0,"",ROUND(SUMIFS('12燃料'!$U:$U,'12燃料'!$X:$X,ROW(),'12燃料'!$AH:$AH,1),0))</f>
        <v/>
      </c>
      <c r="G34" s="350" t="str">
        <f>IF('0.事業所概要'!L25="","",'0.事業所概要'!L25)</f>
        <v/>
      </c>
      <c r="H34" s="345" t="str">
        <f>IF(COUNTIFS('12燃料'!$X:$X,ROW())=0,"",SUMIFS('12燃料'!$V:$V,'12燃料'!$X:$X,ROW(),'12燃料'!$AH:$AH,1))</f>
        <v/>
      </c>
      <c r="I34" s="345" t="str">
        <f t="shared" si="0"/>
        <v/>
      </c>
      <c r="J34" s="345" t="str">
        <f t="shared" si="1"/>
        <v/>
      </c>
      <c r="K34" s="346" t="str">
        <f>IF(COUNTIFS('12燃料'!$X:$X,ROW())=0,"",SUMIFS('12燃料'!$W:$W,'12燃料'!$X:$X,ROW(),'12燃料'!$AH:$AH,1))</f>
        <v/>
      </c>
      <c r="M34" s="575" t="str">
        <f>IF(COUNTIFS('12燃料'!$X:$X,ROW())=0,"",SUMIFS('12燃料'!$U:$U,'12燃料'!$X:$X,ROW()))</f>
        <v/>
      </c>
    </row>
    <row r="35" spans="1:13" ht="30.15" customHeight="1">
      <c r="A35" s="1810"/>
      <c r="B35" s="1813"/>
      <c r="C35" s="1801"/>
      <c r="D35" s="1802" t="str">
        <f>IF('0.事業所概要'!J26="","その他燃料②",'0.事業所概要'!J26)</f>
        <v>その他燃料②</v>
      </c>
      <c r="E35" s="1803"/>
      <c r="F35" s="343" t="str">
        <f>IF(COUNTIFS('12燃料'!$X:$X,ROW())=0,"",ROUND(SUMIFS('12燃料'!$U:$U,'12燃料'!$X:$X,ROW(),'12燃料'!$AH:$AH,1),0))</f>
        <v/>
      </c>
      <c r="G35" s="350" t="str">
        <f>IF('0.事業所概要'!L26="","",'0.事業所概要'!L26)</f>
        <v/>
      </c>
      <c r="H35" s="345" t="str">
        <f>IF(COUNTIFS('12燃料'!$X:$X,ROW())=0,"",SUMIFS('12燃料'!$V:$V,'12燃料'!$X:$X,ROW(),'12燃料'!$AH:$AH,1))</f>
        <v/>
      </c>
      <c r="I35" s="345" t="str">
        <f t="shared" si="0"/>
        <v/>
      </c>
      <c r="J35" s="345" t="str">
        <f t="shared" si="1"/>
        <v/>
      </c>
      <c r="K35" s="346" t="str">
        <f>IF(COUNTIFS('12燃料'!$X:$X,ROW())=0,"",SUMIFS('12燃料'!$W:$W,'12燃料'!$X:$X,ROW(),'12燃料'!$AH:$AH,1))</f>
        <v/>
      </c>
      <c r="M35" s="575" t="str">
        <f>IF(COUNTIFS('12燃料'!$X:$X,ROW())=0,"",SUMIFS('12燃料'!$U:$U,'12燃料'!$X:$X,ROW()))</f>
        <v/>
      </c>
    </row>
    <row r="36" spans="1:13" ht="30.15" customHeight="1" thickBot="1">
      <c r="A36" s="1810"/>
      <c r="B36" s="171"/>
      <c r="C36" s="1696" t="s">
        <v>37</v>
      </c>
      <c r="D36" s="1776"/>
      <c r="E36" s="1697"/>
      <c r="F36" s="1774"/>
      <c r="G36" s="1775"/>
      <c r="H36" s="351">
        <f>IF(COUNT(H6:H35)=0,"",SUM(H6:H35))</f>
        <v>0</v>
      </c>
      <c r="I36" s="352">
        <f t="shared" ref="I36:K36" si="2">IF(COUNT(I6:I35)=0,"",SUM(I6:I35))</f>
        <v>0</v>
      </c>
      <c r="J36" s="352">
        <f t="shared" si="2"/>
        <v>0</v>
      </c>
      <c r="K36" s="353">
        <f t="shared" si="2"/>
        <v>0</v>
      </c>
    </row>
    <row r="37" spans="1:13" ht="30.15" customHeight="1" thickTop="1">
      <c r="A37" s="1810"/>
      <c r="B37" s="1777" t="s">
        <v>273</v>
      </c>
      <c r="C37" s="1780" t="s">
        <v>188</v>
      </c>
      <c r="D37" s="1783" t="s">
        <v>33</v>
      </c>
      <c r="E37" s="1784"/>
      <c r="F37" s="354" t="str">
        <f>IF(COUNTIFS('13電気・熱_都市ガス'!$AP:$AP,ROW())=0,"",ROUND(SUMIFS('13電気・熱_都市ガス'!$AM:$AM,'13電気・熱_都市ガス'!$AP:$AP,ROW(),'13電気・熱_都市ガス'!$BI:$BI,1),0))</f>
        <v/>
      </c>
      <c r="G37" s="355" t="s">
        <v>7</v>
      </c>
      <c r="H37" s="460" t="str">
        <f>IF(COUNTIFS('13電気・熱_都市ガス'!$AP:$AP,ROW())=0,"",SUMIFS('13電気・熱_都市ガス'!$AN:$AN,'13電気・熱_都市ガス'!$AP:$AP,ROW(),'13電気・熱_都市ガス'!$BI:$BI,1))</f>
        <v/>
      </c>
      <c r="I37" s="356" t="str">
        <f t="shared" si="0"/>
        <v/>
      </c>
      <c r="J37" s="356" t="str">
        <f t="shared" ref="J37:J42" si="3">IF(H37="","",H37*0.0258)</f>
        <v/>
      </c>
      <c r="K37" s="357" t="str">
        <f>IF(COUNTIFS('13電気・熱_都市ガス'!$AP:$AP,ROW())=0,"",SUMIFS('13電気・熱_都市ガス'!$AO:$AO,'13電気・熱_都市ガス'!$AP:$AP,ROW(),'13電気・熱_都市ガス'!$BI:$BI,1))</f>
        <v/>
      </c>
      <c r="M37" s="575" t="str">
        <f>IF(COUNTIFS('13電気・熱_都市ガス'!$AP:$AP,ROW())=0,"",SUMIFS('13電気・熱_都市ガス'!$AM:$AM,'13電気・熱_都市ガス'!$AP:$AP,ROW()))</f>
        <v/>
      </c>
    </row>
    <row r="38" spans="1:13" ht="30.15" customHeight="1">
      <c r="A38" s="1810"/>
      <c r="B38" s="1778"/>
      <c r="C38" s="1781"/>
      <c r="D38" s="1785" t="s">
        <v>34</v>
      </c>
      <c r="E38" s="1786"/>
      <c r="F38" s="343" t="str">
        <f>IF(COUNTIFS('13電気・熱_都市ガス'!$AP:$AP,ROW())=0,"",ROUND(SUMIFS('13電気・熱_都市ガス'!$AM:$AM,'13電気・熱_都市ガス'!$AP:$AP,ROW(),'13電気・熱_都市ガス'!$BI:$BI,1),0))</f>
        <v/>
      </c>
      <c r="G38" s="347" t="s">
        <v>7</v>
      </c>
      <c r="H38" s="461" t="str">
        <f>IF(COUNTIFS('13電気・熱_都市ガス'!$AP:$AP,ROW())=0,"",SUMIFS('13電気・熱_都市ガス'!$AN:$AN,'13電気・熱_都市ガス'!$AP:$AP,ROW(),'13電気・熱_都市ガス'!$BI:$BI,1))</f>
        <v/>
      </c>
      <c r="I38" s="345" t="str">
        <f t="shared" si="0"/>
        <v/>
      </c>
      <c r="J38" s="345" t="str">
        <f t="shared" si="3"/>
        <v/>
      </c>
      <c r="K38" s="346" t="str">
        <f>IF(COUNTIFS('13電気・熱_都市ガス'!$AP:$AP,ROW())=0,"",SUMIFS('13電気・熱_都市ガス'!$AO:$AO,'13電気・熱_都市ガス'!$AP:$AP,ROW(),'13電気・熱_都市ガス'!$BI:$BI,1))</f>
        <v/>
      </c>
      <c r="M38" s="575" t="str">
        <f>IF(COUNTIFS('13電気・熱_都市ガス'!$AP:$AP,ROW())=0,"",SUMIFS('13電気・熱_都市ガス'!$AM:$AM,'13電気・熱_都市ガス'!$AP:$AP,ROW()))</f>
        <v/>
      </c>
    </row>
    <row r="39" spans="1:13" ht="30.15" customHeight="1">
      <c r="A39" s="1810"/>
      <c r="B39" s="1778"/>
      <c r="C39" s="1781"/>
      <c r="D39" s="1365" t="s">
        <v>35</v>
      </c>
      <c r="E39" s="1681"/>
      <c r="F39" s="343" t="str">
        <f>IF(COUNTIFS('13電気・熱_都市ガス'!$AP:$AP,ROW())=0,"",ROUND(SUMIFS('13電気・熱_都市ガス'!$AM:$AM,'13電気・熱_都市ガス'!$AP:$AP,ROW(),'13電気・熱_都市ガス'!$BI:$BI,1),0))</f>
        <v/>
      </c>
      <c r="G39" s="347" t="s">
        <v>7</v>
      </c>
      <c r="H39" s="461" t="str">
        <f>IF(COUNTIFS('13電気・熱_都市ガス'!$AP:$AP,ROW())=0,"",SUMIFS('13電気・熱_都市ガス'!$AN:$AN,'13電気・熱_都市ガス'!$AP:$AP,ROW(),'13電気・熱_都市ガス'!$BI:$BI,1))</f>
        <v/>
      </c>
      <c r="I39" s="345" t="str">
        <f t="shared" si="0"/>
        <v/>
      </c>
      <c r="J39" s="345" t="str">
        <f t="shared" si="3"/>
        <v/>
      </c>
      <c r="K39" s="346" t="str">
        <f>IF(COUNTIFS('13電気・熱_都市ガス'!$AP:$AP,ROW())=0,"",SUMIFS('13電気・熱_都市ガス'!$AO:$AO,'13電気・熱_都市ガス'!$AP:$AP,ROW(),'13電気・熱_都市ガス'!$BI:$BI,1))</f>
        <v/>
      </c>
      <c r="M39" s="575" t="str">
        <f>IF(COUNTIFS('13電気・熱_都市ガス'!$AP:$AP,ROW())=0,"",SUMIFS('13電気・熱_都市ガス'!$AM:$AM,'13電気・熱_都市ガス'!$AP:$AP,ROW()))</f>
        <v/>
      </c>
    </row>
    <row r="40" spans="1:13" ht="30.15" customHeight="1">
      <c r="A40" s="1810"/>
      <c r="B40" s="1778"/>
      <c r="C40" s="1782"/>
      <c r="D40" s="1365" t="s">
        <v>36</v>
      </c>
      <c r="E40" s="1681"/>
      <c r="F40" s="343" t="str">
        <f>IF(COUNTIFS('13電気・熱_都市ガス'!$AP:$AP,ROW())=0,"",ROUND(SUMIFS('13電気・熱_都市ガス'!$AM:$AM,'13電気・熱_都市ガス'!$AP:$AP,ROW(),'13電気・熱_都市ガス'!$BI:$BI,1),0))</f>
        <v/>
      </c>
      <c r="G40" s="347" t="s">
        <v>7</v>
      </c>
      <c r="H40" s="461" t="str">
        <f>IF(COUNTIFS('13電気・熱_都市ガス'!$AP:$AP,ROW())=0,"",SUMIFS('13電気・熱_都市ガス'!$AN:$AN,'13電気・熱_都市ガス'!$AP:$AP,ROW(),'13電気・熱_都市ガス'!$BI:$BI,1))</f>
        <v/>
      </c>
      <c r="I40" s="345" t="str">
        <f t="shared" si="0"/>
        <v/>
      </c>
      <c r="J40" s="345" t="str">
        <f t="shared" si="3"/>
        <v/>
      </c>
      <c r="K40" s="346" t="str">
        <f>IF(COUNTIFS('13電気・熱_都市ガス'!$AP:$AP,ROW())=0,"",SUMIFS('13電気・熱_都市ガス'!$AO:$AO,'13電気・熱_都市ガス'!$AP:$AP,ROW(),'13電気・熱_都市ガス'!$BI:$BI,1))</f>
        <v/>
      </c>
      <c r="M40" s="575" t="str">
        <f>IF(COUNTIFS('13電気・熱_都市ガス'!$AP:$AP,ROW())=0,"",SUMIFS('13電気・熱_都市ガス'!$AM:$AM,'13電気・熱_都市ガス'!$AP:$AP,ROW()))</f>
        <v/>
      </c>
    </row>
    <row r="41" spans="1:13" ht="30.15" customHeight="1">
      <c r="A41" s="1810"/>
      <c r="B41" s="1778"/>
      <c r="C41" s="1787" t="s">
        <v>189</v>
      </c>
      <c r="D41" s="1769" t="s">
        <v>58</v>
      </c>
      <c r="E41" s="14" t="s">
        <v>56</v>
      </c>
      <c r="F41" s="358" t="str">
        <f>IF(COUNTIFS('14再エネ電気・熱'!$AS:$AS,ROW())=0,"",ROUND(SUMIFS('14再エネ電気・熱'!$AI:$AI,'14再エネ電気・熱'!$AS:$AS,ROW(),'14再エネ電気・熱'!$BE:$BE,1),0))</f>
        <v/>
      </c>
      <c r="G41" s="347" t="s">
        <v>7</v>
      </c>
      <c r="H41" s="345" t="str">
        <f>IF(COUNTIFS('14再エネ電気・熱'!$AS:$AS,ROW())=0,"",SUMIFS('14再エネ電気・熱'!$AJ:$AJ,'14再エネ電気・熱'!$AS:$AS,ROW(),'14再エネ電気・熱'!$BE:$BE,1))</f>
        <v/>
      </c>
      <c r="I41" s="345" t="str">
        <f t="shared" si="0"/>
        <v/>
      </c>
      <c r="J41" s="359"/>
      <c r="K41" s="346" t="str">
        <f>IF(COUNTIFS('14再エネ電気・熱'!$AS:$AS,ROW())=0,"",SUMIFS('14再エネ電気・熱'!$AL:$AL,'14再エネ電気・熱'!$AS:$AS,ROW(),'14再エネ電気・熱'!$BE:$BE,1))</f>
        <v/>
      </c>
      <c r="M41" s="575" t="str">
        <f>IF(COUNTIFS('14再エネ電気・熱'!$AS:$AS,ROW())=0,"",SUMIFS('14再エネ電気・熱'!$AI:$AI,'14再エネ電気・熱'!$AS:$AS,ROW()))</f>
        <v/>
      </c>
    </row>
    <row r="42" spans="1:13" ht="30.15" customHeight="1">
      <c r="A42" s="1810"/>
      <c r="B42" s="1778"/>
      <c r="C42" s="1788"/>
      <c r="D42" s="1770"/>
      <c r="E42" s="14" t="s">
        <v>57</v>
      </c>
      <c r="F42" s="358" t="str">
        <f>IF(COUNTIFS('14再エネ電気・熱'!$AS:$AS,ROW())=0,"",ROUND(SUMIFS('14再エネ電気・熱'!$AI:$AI,'14再エネ電気・熱'!$AS:$AS,ROW(),'14再エネ電気・熱'!$BE:$BE,1),0))</f>
        <v/>
      </c>
      <c r="G42" s="347" t="s">
        <v>7</v>
      </c>
      <c r="H42" s="345" t="str">
        <f>IF(COUNTIFS('14再エネ電気・熱'!$AS:$AS,ROW())=0,"",SUMIFS('14再エネ電気・熱'!$AJ:$AJ,'14再エネ電気・熱'!$AS:$AS,ROW(),'14再エネ電気・熱'!$BE:$BE,1))</f>
        <v/>
      </c>
      <c r="I42" s="345" t="str">
        <f t="shared" si="0"/>
        <v/>
      </c>
      <c r="J42" s="345" t="str">
        <f t="shared" si="3"/>
        <v/>
      </c>
      <c r="K42" s="346" t="str">
        <f>IF(COUNTIFS('14再エネ電気・熱'!$AS:$AS,ROW())=0,"",SUMIFS('14再エネ電気・熱'!$AL:$AL,'14再エネ電気・熱'!$AS:$AS,ROW(),'14再エネ電気・熱'!$BE:$BE,1))</f>
        <v/>
      </c>
      <c r="M42" s="575" t="str">
        <f>IF(COUNTIFS('14再エネ電気・熱'!$AS:$AS,ROW())=0,"",SUMIFS('14再エネ電気・熱'!$AI:$AI,'14再エネ電気・熱'!$AS:$AS,ROW()))</f>
        <v/>
      </c>
    </row>
    <row r="43" spans="1:13" ht="30.15" customHeight="1">
      <c r="A43" s="1810"/>
      <c r="B43" s="1778"/>
      <c r="C43" s="1788"/>
      <c r="D43" s="1769" t="s">
        <v>65</v>
      </c>
      <c r="E43" s="14" t="s">
        <v>56</v>
      </c>
      <c r="F43" s="358" t="str">
        <f>IF(COUNTIFS('14再エネ電気・熱'!$AS:$AS,ROW())=0,"",ROUND(SUMIFS('14再エネ電気・熱'!$AI:$AI,'14再エネ電気・熱'!$AS:$AS,ROW(),'14再エネ電気・熱'!$BE:$BE,1),0))</f>
        <v/>
      </c>
      <c r="G43" s="347" t="s">
        <v>7</v>
      </c>
      <c r="H43" s="345" t="str">
        <f>IF(COUNTIFS('14再エネ電気・熱'!$AS:$AS,ROW())=0,"",SUMIFS('14再エネ電気・熱'!$AJ:$AJ,'14再エネ電気・熱'!$AS:$AS,ROW(),'14再エネ電気・熱'!$BE:$BE,1))</f>
        <v/>
      </c>
      <c r="I43" s="345" t="str">
        <f t="shared" si="0"/>
        <v/>
      </c>
      <c r="J43" s="360"/>
      <c r="K43" s="346" t="str">
        <f>IF(COUNTIFS('14再エネ電気・熱'!$AS:$AS,ROW())=0,"",SUMIFS('14再エネ電気・熱'!$AL:$AL,'14再エネ電気・熱'!$AS:$AS,ROW(),'14再エネ電気・熱'!$BE:$BE,1))</f>
        <v/>
      </c>
      <c r="M43" s="575" t="str">
        <f>IF(COUNTIFS('14再エネ電気・熱'!$AS:$AS,ROW())=0,"",SUMIFS('14再エネ電気・熱'!$AI:$AI,'14再エネ電気・熱'!$AS:$AS,ROW()))</f>
        <v/>
      </c>
    </row>
    <row r="44" spans="1:13" ht="30.15" customHeight="1">
      <c r="A44" s="1810"/>
      <c r="B44" s="1778"/>
      <c r="C44" s="1788"/>
      <c r="D44" s="1770"/>
      <c r="E44" s="14" t="s">
        <v>57</v>
      </c>
      <c r="F44" s="358" t="str">
        <f>IF(COUNTIFS('14再エネ電気・熱'!$AS:$AS,ROW())=0,"",ROUND(SUMIFS('14再エネ電気・熱'!$AI:$AI,'14再エネ電気・熱'!$AS:$AS,ROW(),'14再エネ電気・熱'!$BE:$BE,1),0))</f>
        <v/>
      </c>
      <c r="G44" s="347" t="s">
        <v>7</v>
      </c>
      <c r="H44" s="345" t="str">
        <f>IF(COUNTIFS('14再エネ電気・熱'!$AS:$AS,ROW())=0,"",SUMIFS('14再エネ電気・熱'!$AJ:$AJ,'14再エネ電気・熱'!$AS:$AS,ROW(),'14再エネ電気・熱'!$BE:$BE,1))</f>
        <v/>
      </c>
      <c r="I44" s="345" t="str">
        <f t="shared" si="0"/>
        <v/>
      </c>
      <c r="J44" s="345" t="str">
        <f t="shared" ref="J44:J45" si="4">IF(H44="","",H44*0.0258)</f>
        <v/>
      </c>
      <c r="K44" s="346" t="str">
        <f>IF(COUNTIFS('14再エネ電気・熱'!$AS:$AS,ROW())=0,"",SUMIFS('14再エネ電気・熱'!$AL:$AL,'14再エネ電気・熱'!$AS:$AS,ROW(),'14再エネ電気・熱'!$BE:$BE,1))</f>
        <v/>
      </c>
      <c r="M44" s="575" t="str">
        <f>IF(COUNTIFS('14再エネ電気・熱'!$AS:$AS,ROW())=0,"",SUMIFS('14再エネ電気・熱'!$AI:$AI,'14再エネ電気・熱'!$AS:$AS,ROW()))</f>
        <v/>
      </c>
    </row>
    <row r="45" spans="1:13" ht="45" customHeight="1">
      <c r="A45" s="1810"/>
      <c r="B45" s="1778"/>
      <c r="C45" s="1789"/>
      <c r="D45" s="1670" t="s">
        <v>186</v>
      </c>
      <c r="E45" s="1671"/>
      <c r="F45" s="358" t="str">
        <f>IF(COUNTIFS('14再エネ電気・熱'!$AS:$AS,ROW())=0,"",ROUND(SUMIFS('14再エネ電気・熱'!$AI:$AI,'14再エネ電気・熱'!$AS:$AS,ROW(),'14再エネ電気・熱'!$BE:$BE,1),0))</f>
        <v/>
      </c>
      <c r="G45" s="347" t="s">
        <v>7</v>
      </c>
      <c r="H45" s="345" t="str">
        <f>IF(COUNTIFS('14再エネ電気・熱'!$AS:$AS,ROW())=0,"",SUMIFS('14再エネ電気・熱'!$AJ:$AJ,'14再エネ電気・熱'!$AS:$AS,ROW(),'14再エネ電気・熱'!$BE:$BE,1))</f>
        <v/>
      </c>
      <c r="I45" s="345" t="str">
        <f t="shared" si="0"/>
        <v/>
      </c>
      <c r="J45" s="345" t="str">
        <f t="shared" si="4"/>
        <v/>
      </c>
      <c r="K45" s="346" t="str">
        <f>IF(COUNTIFS('14再エネ電気・熱'!$AS:$AS,ROW())=0,"",SUMIFS('14再エネ電気・熱'!$AL:$AL,'14再エネ電気・熱'!$AS:$AS,ROW(),'14再エネ電気・熱'!$BE:$BE,1))</f>
        <v/>
      </c>
      <c r="M45" s="575" t="str">
        <f>IF(COUNTIFS('14再エネ電気・熱'!$AS:$AS,ROW())=0,"",SUMIFS('14再エネ電気・熱'!$AI:$AI,'14再エネ電気・熱'!$AS:$AS,ROW()))</f>
        <v/>
      </c>
    </row>
    <row r="46" spans="1:13" ht="35.15" customHeight="1" thickBot="1">
      <c r="A46" s="1810"/>
      <c r="B46" s="1779"/>
      <c r="C46" s="1790" t="s">
        <v>37</v>
      </c>
      <c r="D46" s="1791"/>
      <c r="E46" s="1792"/>
      <c r="F46" s="1793"/>
      <c r="G46" s="1794"/>
      <c r="H46" s="363" t="str">
        <f>IF(COUNT(H37:H45)=0,"",SUM(H37:H45))</f>
        <v/>
      </c>
      <c r="I46" s="364" t="str">
        <f t="shared" ref="I46:K46" si="5">IF(COUNT(I37:I45)=0,"",SUM(I37:I45))</f>
        <v/>
      </c>
      <c r="J46" s="364" t="str">
        <f>IF(COUNT(J37:J45)=0,"",SUM(J37:J45))</f>
        <v/>
      </c>
      <c r="K46" s="353" t="str">
        <f t="shared" si="5"/>
        <v/>
      </c>
    </row>
    <row r="47" spans="1:13" ht="35.25" customHeight="1" thickTop="1">
      <c r="A47" s="1810"/>
      <c r="B47" s="1762" t="s">
        <v>274</v>
      </c>
      <c r="C47" s="764" t="s">
        <v>192</v>
      </c>
      <c r="D47" s="1764" t="s">
        <v>190</v>
      </c>
      <c r="E47" s="1765"/>
      <c r="F47" s="343">
        <f>IF(COUNTIFS('13電気・熱_都市ガス'!$AP:$AP,ROW())=0,"",ROUND(SUMIFS('13電気・熱_都市ガス'!$AM:$AM,'13電気・熱_都市ガス'!$AP:$AP,ROW(),'13電気・熱_都市ガス'!$BI:$BI,1),0))</f>
        <v>0</v>
      </c>
      <c r="G47" s="347" t="s">
        <v>38</v>
      </c>
      <c r="H47" s="345">
        <f>IF(COUNTIFS('13電気・熱_都市ガス'!$AP:$AP,ROW())=0,"",SUMIFS('13電気・熱_都市ガス'!$AN:$AN,'13電気・熱_都市ガス'!$AP:$AP,ROW(),'13電気・熱_都市ガス'!$BI:$BI,1))</f>
        <v>0</v>
      </c>
      <c r="I47" s="345">
        <f t="shared" ref="I47:I52" si="6">IF(H47="","",H47*0.0258)</f>
        <v>0</v>
      </c>
      <c r="J47" s="345">
        <f t="shared" ref="J47" si="7">IF(H47="","",H47*0.0258)</f>
        <v>0</v>
      </c>
      <c r="K47" s="365">
        <f>IF(COUNTIFS('13電気・熱_都市ガス'!$AP:$AP,ROW())=0,"",SUMIFS('13電気・熱_都市ガス'!$AO:$AO,'13電気・熱_都市ガス'!$AP:$AP,ROW(),'13電気・熱_都市ガス'!$BI:$BI,1))</f>
        <v>0</v>
      </c>
      <c r="M47" s="575">
        <f>IF(COUNTIFS('13電気・熱_都市ガス'!$AP:$AP,ROW())=0,"",SUMIFS('13電気・熱_都市ガス'!$AM:$AM,'13電気・熱_都市ガス'!$AP:$AP,ROW()))</f>
        <v>0</v>
      </c>
    </row>
    <row r="48" spans="1:13" ht="30" customHeight="1">
      <c r="A48" s="1810"/>
      <c r="B48" s="1762"/>
      <c r="C48" s="1766" t="s">
        <v>189</v>
      </c>
      <c r="D48" s="1769" t="s">
        <v>66</v>
      </c>
      <c r="E48" s="14" t="s">
        <v>56</v>
      </c>
      <c r="F48" s="349">
        <f>IF(COUNTIFS('14再エネ電気・熱'!$AS:$AS,ROW())=0,"",ROUND(SUMIFS('14再エネ電気・熱'!$AI:$AI,'14再エネ電気・熱'!$AS:$AS,ROW(),'14再エネ電気・熱'!$BE:$BE,1),0))</f>
        <v>0</v>
      </c>
      <c r="G48" s="347" t="s">
        <v>38</v>
      </c>
      <c r="H48" s="345">
        <f>IF(COUNTIFS('14再エネ電気・熱'!$AS:$AS,ROW())=0,"",SUMIFS('14再エネ電気・熱'!$AJ:$AJ,'14再エネ電気・熱'!$AS:$AS,ROW(),'14再エネ電気・熱'!$BE:$BE,1))</f>
        <v>0</v>
      </c>
      <c r="I48" s="345">
        <f t="shared" si="6"/>
        <v>0</v>
      </c>
      <c r="J48" s="366"/>
      <c r="K48" s="346">
        <f>IF(COUNTIFS('14再エネ電気・熱'!$AS:$AS,ROW())=0,"",SUMIFS('14再エネ電気・熱'!$AL:$AL,'14再エネ電気・熱'!$AS:$AS,ROW(),'14再エネ電気・熱'!$BE:$BE,1))</f>
        <v>0</v>
      </c>
      <c r="M48" s="575">
        <f>IF(COUNTIFS('14再エネ電気・熱'!$AS:$AS,ROW())=0,"",SUMIFS('14再エネ電気・熱'!$AI:$AI,'14再エネ電気・熱'!$AS:$AS,ROW()))</f>
        <v>0</v>
      </c>
    </row>
    <row r="49" spans="1:13" ht="30.15" customHeight="1">
      <c r="A49" s="1810"/>
      <c r="B49" s="1762"/>
      <c r="C49" s="1767"/>
      <c r="D49" s="1770"/>
      <c r="E49" s="14" t="s">
        <v>57</v>
      </c>
      <c r="F49" s="343">
        <f>IF(COUNTIFS('14再エネ電気・熱'!$AS:$AS,ROW())=0,"",ROUND(SUMIFS('14再エネ電気・熱'!$AI:$AI,'14再エネ電気・熱'!$AS:$AS,ROW(),'14再エネ電気・熱'!$BE:$BE,1),0))</f>
        <v>0</v>
      </c>
      <c r="G49" s="347" t="s">
        <v>38</v>
      </c>
      <c r="H49" s="345">
        <f>IF(COUNTIFS('14再エネ電気・熱'!$AS:$AS,ROW())=0,"",SUMIFS('14再エネ電気・熱'!$AJ:$AJ,'14再エネ電気・熱'!$AS:$AS,ROW(),'14再エネ電気・熱'!$BE:$BE,1))</f>
        <v>0</v>
      </c>
      <c r="I49" s="345">
        <f t="shared" si="6"/>
        <v>0</v>
      </c>
      <c r="J49" s="345">
        <f t="shared" ref="J49" si="8">IF(H49="","",H49*0.0258)</f>
        <v>0</v>
      </c>
      <c r="K49" s="346">
        <f>IF(COUNTIFS('14再エネ電気・熱'!$AS:$AS,ROW())=0,"",SUMIFS('14再エネ電気・熱'!$AL:$AL,'14再エネ電気・熱'!$AS:$AS,ROW(),'14再エネ電気・熱'!$BE:$BE,1))</f>
        <v>0</v>
      </c>
      <c r="M49" s="575">
        <f>IF(COUNTIFS('14再エネ電気・熱'!$AS:$AS,ROW())=0,"",SUMIFS('14再エネ電気・熱'!$AI:$AI,'14再エネ電気・熱'!$AS:$AS,ROW()))</f>
        <v>0</v>
      </c>
    </row>
    <row r="50" spans="1:13" ht="30.15" customHeight="1">
      <c r="A50" s="1810"/>
      <c r="B50" s="1762"/>
      <c r="C50" s="1767"/>
      <c r="D50" s="1769" t="s">
        <v>67</v>
      </c>
      <c r="E50" s="14" t="s">
        <v>56</v>
      </c>
      <c r="F50" s="343" t="str">
        <f>IF(COUNTIFS('14再エネ電気・熱'!$AS:$AS,ROW())=0,"",ROUND(SUMIFS('14再エネ電気・熱'!$AI:$AI,'14再エネ電気・熱'!$AS:$AS,ROW(),'14再エネ電気・熱'!$BE:$BE,1),0))</f>
        <v/>
      </c>
      <c r="G50" s="347" t="s">
        <v>38</v>
      </c>
      <c r="H50" s="345" t="str">
        <f>IF(COUNTIFS('14再エネ電気・熱'!$AS:$AS,ROW())=0,"",SUMIFS('14再エネ電気・熱'!$AJ:$AJ,'14再エネ電気・熱'!$AS:$AS,ROW(),'14再エネ電気・熱'!$BE:$BE,1))</f>
        <v/>
      </c>
      <c r="I50" s="345" t="str">
        <f t="shared" si="6"/>
        <v/>
      </c>
      <c r="J50" s="367"/>
      <c r="K50" s="346" t="str">
        <f>IF(COUNTIFS('14再エネ電気・熱'!$AS:$AS,ROW())=0,"",SUMIFS('14再エネ電気・熱'!$AL:$AL,'14再エネ電気・熱'!$AS:$AS,ROW(),'14再エネ電気・熱'!$BE:$BE,1))</f>
        <v/>
      </c>
      <c r="M50" s="575" t="str">
        <f>IF(COUNTIFS('14再エネ電気・熱'!$AS:$AS,ROW())=0,"",SUMIFS('14再エネ電気・熱'!$AI:$AI,'14再エネ電気・熱'!$AS:$AS,ROW()))</f>
        <v/>
      </c>
    </row>
    <row r="51" spans="1:13" ht="30.15" customHeight="1">
      <c r="A51" s="1810"/>
      <c r="B51" s="1762"/>
      <c r="C51" s="1767"/>
      <c r="D51" s="1770"/>
      <c r="E51" s="14" t="s">
        <v>57</v>
      </c>
      <c r="F51" s="343" t="str">
        <f>IF(COUNTIFS('14再エネ電気・熱'!$AS:$AS,ROW())=0,"",ROUND(SUMIFS('14再エネ電気・熱'!$AI:$AI,'14再エネ電気・熱'!$AS:$AS,ROW(),'14再エネ電気・熱'!$BE:$BE,1),0))</f>
        <v/>
      </c>
      <c r="G51" s="347" t="s">
        <v>38</v>
      </c>
      <c r="H51" s="345" t="str">
        <f>IF(COUNTIFS('14再エネ電気・熱'!$AS:$AS,ROW())=0,"",SUMIFS('14再エネ電気・熱'!$AJ:$AJ,'14再エネ電気・熱'!$AS:$AS,ROW(),'14再エネ電気・熱'!$BE:$BE,1))</f>
        <v/>
      </c>
      <c r="I51" s="345" t="str">
        <f t="shared" si="6"/>
        <v/>
      </c>
      <c r="J51" s="345" t="str">
        <f t="shared" ref="J51:J52" si="9">IF(H51="","",H51*0.0258)</f>
        <v/>
      </c>
      <c r="K51" s="346" t="str">
        <f>IF(COUNTIFS('14再エネ電気・熱'!$AS:$AS,ROW())=0,"",SUMIFS('14再エネ電気・熱'!$AL:$AL,'14再エネ電気・熱'!$AS:$AS,ROW(),'14再エネ電気・熱'!$BE:$BE,1))</f>
        <v/>
      </c>
      <c r="M51" s="575" t="str">
        <f>IF(COUNTIFS('14再エネ電気・熱'!$AS:$AS,ROW())=0,"",SUMIFS('14再エネ電気・熱'!$AI:$AI,'14再エネ電気・熱'!$AS:$AS,ROW()))</f>
        <v/>
      </c>
    </row>
    <row r="52" spans="1:13" ht="45" customHeight="1">
      <c r="A52" s="1810"/>
      <c r="B52" s="1762"/>
      <c r="C52" s="1767"/>
      <c r="D52" s="1670" t="s">
        <v>186</v>
      </c>
      <c r="E52" s="1671"/>
      <c r="F52" s="343" t="str">
        <f>IF(COUNTIFS('14再エネ電気・熱'!$AS:$AS,ROW())=0,"",ROUND(SUMIFS('14再エネ電気・熱'!$AI:$AI,'14再エネ電気・熱'!$AS:$AS,ROW(),'14再エネ電気・熱'!$BE:$BE,1),0))</f>
        <v/>
      </c>
      <c r="G52" s="348" t="s">
        <v>38</v>
      </c>
      <c r="H52" s="345" t="str">
        <f>IF(COUNTIFS('14再エネ電気・熱'!$AS:$AS,ROW())=0,"",SUMIFS('14再エネ電気・熱'!$AJ:$AJ,'14再エネ電気・熱'!$AS:$AS,ROW(),'14再エネ電気・熱'!$BE:$BE,1))</f>
        <v/>
      </c>
      <c r="I52" s="345" t="str">
        <f t="shared" si="6"/>
        <v/>
      </c>
      <c r="J52" s="345" t="str">
        <f t="shared" si="9"/>
        <v/>
      </c>
      <c r="K52" s="346" t="str">
        <f>IF(COUNTIFS('14再エネ電気・熱'!$AS:$AS,ROW())=0,"",SUMIFS('14再エネ電気・熱'!$AL:$AL,'14再エネ電気・熱'!$AS:$AS,ROW(),'14再エネ電気・熱'!$BE:$BE,1))</f>
        <v/>
      </c>
      <c r="M52" s="575" t="str">
        <f>IF(COUNTIFS('14再エネ電気・熱'!$AS:$AS,ROW())=0,"",SUMIFS('14再エネ電気・熱'!$AI:$AI,'14再エネ電気・熱'!$AS:$AS,ROW()))</f>
        <v/>
      </c>
    </row>
    <row r="53" spans="1:13" ht="45" customHeight="1">
      <c r="A53" s="1810"/>
      <c r="B53" s="1762"/>
      <c r="C53" s="1768"/>
      <c r="D53" s="1670" t="s">
        <v>187</v>
      </c>
      <c r="E53" s="1671"/>
      <c r="F53" s="343" t="str">
        <f>IF(COUNTIFS('14再エネ電気・熱'!$AS:$AS,ROW())=0,"",ROUND(SUMIFS('14再エネ電気・熱'!$AI:$AI,'14再エネ電気・熱'!$AS:$AS,ROW(),'14再エネ電気・熱'!$BE:$BE,1),0))</f>
        <v/>
      </c>
      <c r="G53" s="347" t="s">
        <v>38</v>
      </c>
      <c r="H53" s="368"/>
      <c r="I53" s="367"/>
      <c r="J53" s="367"/>
      <c r="K53" s="346" t="str">
        <f>IF(COUNTIFS('14再エネ電気・熱'!$AS:$AS,ROW())=0,"",SUMIFS('14再エネ電気・熱'!$AL:$AL,'14再エネ電気・熱'!$AS:$AS,ROW(),'14再エネ電気・熱'!$BE:$BE,1))</f>
        <v/>
      </c>
      <c r="M53" s="575" t="str">
        <f>IF(COUNTIFS('14再エネ電気・熱'!$AS:$AS,ROW())=0,"",SUMIFS('14再エネ電気・熱'!$AI:$AI,'14再エネ電気・熱'!$AS:$AS,ROW()))</f>
        <v/>
      </c>
    </row>
    <row r="54" spans="1:13" ht="35.15" customHeight="1" thickBot="1">
      <c r="A54" s="1811"/>
      <c r="B54" s="1763"/>
      <c r="C54" s="1771" t="s">
        <v>37</v>
      </c>
      <c r="D54" s="1772"/>
      <c r="E54" s="1773"/>
      <c r="F54" s="1774"/>
      <c r="G54" s="1775"/>
      <c r="H54" s="369">
        <f>IF(COUNT(H47:H53)=0,"",SUM(H47:H53))</f>
        <v>0</v>
      </c>
      <c r="I54" s="370">
        <f t="shared" ref="I54:K54" si="10">IF(COUNT(I47:I53)=0,"",SUM(I47:I53))</f>
        <v>0</v>
      </c>
      <c r="J54" s="371">
        <f t="shared" si="10"/>
        <v>0</v>
      </c>
      <c r="K54" s="372">
        <f t="shared" si="10"/>
        <v>0</v>
      </c>
    </row>
    <row r="55" spans="1:13" ht="35.15" customHeight="1" thickTop="1">
      <c r="A55" s="15"/>
      <c r="B55" s="16"/>
      <c r="C55" s="17"/>
      <c r="D55" s="17"/>
      <c r="E55" s="17"/>
      <c r="F55" s="18"/>
      <c r="G55" s="18"/>
      <c r="H55" s="110"/>
      <c r="I55" s="20"/>
      <c r="J55" s="19"/>
      <c r="K55" s="110" t="s">
        <v>268</v>
      </c>
    </row>
    <row r="56" spans="1:13" ht="35.15" customHeight="1" thickBot="1">
      <c r="A56" s="4" t="s">
        <v>266</v>
      </c>
      <c r="B56" s="21"/>
      <c r="C56" s="22"/>
      <c r="D56" s="22"/>
      <c r="E56" s="22"/>
      <c r="F56" s="23"/>
      <c r="G56" s="23"/>
      <c r="H56" s="24"/>
      <c r="I56" s="26"/>
      <c r="J56" s="25"/>
      <c r="K56" s="24"/>
    </row>
    <row r="57" spans="1:13" ht="51.75" customHeight="1">
      <c r="A57" s="1737" t="s">
        <v>265</v>
      </c>
      <c r="B57" s="1711" t="s">
        <v>1</v>
      </c>
      <c r="C57" s="1740"/>
      <c r="D57" s="1740"/>
      <c r="E57" s="1717"/>
      <c r="F57" s="1742" t="s">
        <v>1900</v>
      </c>
      <c r="G57" s="1743"/>
      <c r="H57" s="8" t="s">
        <v>2</v>
      </c>
      <c r="I57" s="170" t="s">
        <v>51</v>
      </c>
      <c r="J57" s="170" t="s">
        <v>52</v>
      </c>
      <c r="K57" s="116" t="s">
        <v>3</v>
      </c>
    </row>
    <row r="58" spans="1:13" ht="20" thickBot="1">
      <c r="A58" s="1738"/>
      <c r="B58" s="1713"/>
      <c r="C58" s="1741"/>
      <c r="D58" s="1741"/>
      <c r="E58" s="1718"/>
      <c r="F58" s="27"/>
      <c r="G58" s="28"/>
      <c r="H58" s="29" t="s">
        <v>7</v>
      </c>
      <c r="I58" s="30" t="s">
        <v>8</v>
      </c>
      <c r="J58" s="30" t="s">
        <v>8</v>
      </c>
      <c r="K58" s="31" t="s">
        <v>177</v>
      </c>
    </row>
    <row r="59" spans="1:13" ht="30.15" customHeight="1" thickTop="1">
      <c r="A59" s="1738"/>
      <c r="B59" s="1744" t="s">
        <v>39</v>
      </c>
      <c r="C59" s="1746" t="s">
        <v>40</v>
      </c>
      <c r="D59" s="1747"/>
      <c r="E59" s="1748"/>
      <c r="F59" s="373" t="str">
        <f>IF(COUNTIFS('13電気・熱_都市ガス'!$AP:$AP,ROW())=0,"",ROUND(SUMIFS('13電気・熱_都市ガス'!$AM:$AM,'13電気・熱_都市ガス'!$AP:$AP,ROW(),'13電気・熱_都市ガス'!$BI:$BI,1),0))</f>
        <v/>
      </c>
      <c r="G59" s="355" t="s">
        <v>7</v>
      </c>
      <c r="H59" s="513" t="str">
        <f>IF(COUNTIFS('13電気・熱_都市ガス'!$AP:$AP,ROW())=0,"",SUMIFS('13電気・熱_都市ガス'!$AN:$AN,'13電気・熱_都市ガス'!$AP:$AP,ROW(),'13電気・熱_都市ガス'!$BI:$BI,1))</f>
        <v/>
      </c>
      <c r="I59" s="514" t="str">
        <f>IF(H59="","",H59*0.0258)</f>
        <v/>
      </c>
      <c r="J59" s="513" t="str">
        <f>IF(H59="","",H59*0.0258)</f>
        <v/>
      </c>
      <c r="K59" s="374" t="str">
        <f>IF(COUNTIFS('13電気・熱_都市ガス'!$AP:$AP,ROW())=0,"",SUMIFS('13電気・熱_都市ガス'!$AO:$AO,'13電気・熱_都市ガス'!$AP:$AP,ROW(),'13電気・熱_都市ガス'!$BI:$BI,1))</f>
        <v/>
      </c>
      <c r="M59" s="575" t="str">
        <f>IF(COUNTIFS('13電気・熱_都市ガス'!$AP:$AP,ROW())=0,"",-1*SUMIFS('13電気・熱_都市ガス'!$AM:$AM,'13電気・熱_都市ガス'!$AP:$AP,ROW()))</f>
        <v/>
      </c>
    </row>
    <row r="60" spans="1:13" ht="30.15" customHeight="1">
      <c r="A60" s="1738"/>
      <c r="B60" s="1745"/>
      <c r="C60" s="1749" t="s">
        <v>41</v>
      </c>
      <c r="D60" s="1726"/>
      <c r="E60" s="1727"/>
      <c r="F60" s="375" t="str">
        <f>IF(COUNTIFS('13電気・熱_都市ガス'!$AP:$AP,ROW())=0,"",ROUND(SUMIFS('13電気・熱_都市ガス'!$AM:$AM,'13電気・熱_都市ガス'!$AP:$AP,ROW(),'13電気・熱_都市ガス'!$BI:$BI,1),0))</f>
        <v/>
      </c>
      <c r="G60" s="347" t="s">
        <v>38</v>
      </c>
      <c r="H60" s="515" t="str">
        <f>IF(COUNTIFS('13電気・熱_都市ガス'!$AP:$AP,ROW())=0,"",SUMIFS('13電気・熱_都市ガス'!$AN:$AN,'13電気・熱_都市ガス'!$AP:$AP,ROW(),'13電気・熱_都市ガス'!$BI:$BI,1))</f>
        <v/>
      </c>
      <c r="I60" s="516" t="str">
        <f>IF(H60="","",H60*0.0258)</f>
        <v/>
      </c>
      <c r="J60" s="515" t="str">
        <f>IF(H60="","",H60*0.0258)</f>
        <v/>
      </c>
      <c r="K60" s="376" t="str">
        <f>IF(COUNTIFS('13電気・熱_都市ガス'!$AP:$AP,ROW())=0,"",SUMIFS('13電気・熱_都市ガス'!$AO:$AO,'13電気・熱_都市ガス'!$AP:$AP,ROW(),'13電気・熱_都市ガス'!$BI:$BI,1))</f>
        <v/>
      </c>
      <c r="M60" s="575" t="str">
        <f>IF(COUNTIFS('13電気・熱_都市ガス'!$AP:$AP,ROW())=0,"",-1*SUMIFS('13電気・熱_都市ガス'!$AM:$AM,'13電気・熱_都市ガス'!$AP:$AP,ROW()))</f>
        <v/>
      </c>
    </row>
    <row r="61" spans="1:13" ht="31.5" customHeight="1" thickBot="1">
      <c r="A61" s="1738"/>
      <c r="B61" s="1745"/>
      <c r="C61" s="1750" t="s">
        <v>37</v>
      </c>
      <c r="D61" s="1731"/>
      <c r="E61" s="1732"/>
      <c r="F61" s="1751"/>
      <c r="G61" s="1752"/>
      <c r="H61" s="517" t="str">
        <f>IF(COUNT(H59:H60)=0,"",SUM(H59:H60))</f>
        <v/>
      </c>
      <c r="I61" s="517" t="str">
        <f t="shared" ref="I61:J61" si="11">IF(COUNT(I59:I60)=0,"",SUM(I59:I60))</f>
        <v/>
      </c>
      <c r="J61" s="517" t="str">
        <f t="shared" si="11"/>
        <v/>
      </c>
      <c r="K61" s="372" t="str">
        <f>IF(COUNT(K59:K60)=0,"",SUM(K59:K60))</f>
        <v/>
      </c>
    </row>
    <row r="62" spans="1:13" ht="30" customHeight="1" thickTop="1">
      <c r="A62" s="1738"/>
      <c r="B62" s="1753" t="s">
        <v>1996</v>
      </c>
      <c r="C62" s="1747" t="s">
        <v>59</v>
      </c>
      <c r="D62" s="1747"/>
      <c r="E62" s="1748"/>
      <c r="F62" s="1755"/>
      <c r="G62" s="1756"/>
      <c r="H62" s="377"/>
      <c r="I62" s="378"/>
      <c r="J62" s="379"/>
      <c r="K62" s="462" t="str">
        <f>IF(COUNTIFS('18証書_森林吸収量'!$N$6:$N$58,ROW())=0,"",-1*SUMIFS('18証書_森林吸収量'!$F$6:$F$58,'18証書_森林吸収量'!$N$6:$N$58,ROW(),'18証書_森林吸収量'!$S$6:$S$58,1))</f>
        <v/>
      </c>
      <c r="M62" s="575" t="str">
        <f>IF(COUNTIFS('18証書_森林吸収量'!$N$6:$N$58,ROW())=0,"",-1*SUMIFS('18証書_森林吸収量'!$F$6:$F$58,'18証書_森林吸収量'!$N$6:$N$58,ROW()))</f>
        <v/>
      </c>
    </row>
    <row r="63" spans="1:13" ht="30" customHeight="1">
      <c r="A63" s="1738"/>
      <c r="B63" s="1754"/>
      <c r="C63" s="1726" t="s">
        <v>64</v>
      </c>
      <c r="D63" s="1726"/>
      <c r="E63" s="1727"/>
      <c r="F63" s="1728"/>
      <c r="G63" s="1729"/>
      <c r="H63" s="381"/>
      <c r="I63" s="382"/>
      <c r="J63" s="383"/>
      <c r="K63" s="362" t="str">
        <f>IF(COUNTIFS('18証書_森林吸収量'!$N$6:$N$58,ROW())=0,"",-1*SUMIFS('18証書_森林吸収量'!$F$6:$F$58,'18証書_森林吸収量'!$N$6:$N$58,ROW(),'18証書_森林吸収量'!$S$6:$S$58,1))</f>
        <v/>
      </c>
      <c r="M63" s="575" t="str">
        <f>IF(COUNTIFS('18証書_森林吸収量'!$N$6:$N$58,ROW())=0,"",-1*SUMIFS('18証書_森林吸収量'!$F$6:$F$58,'18証書_森林吸収量'!$N$6:$N$58,ROW()))</f>
        <v/>
      </c>
    </row>
    <row r="64" spans="1:13" ht="30" customHeight="1">
      <c r="A64" s="1738"/>
      <c r="B64" s="1754"/>
      <c r="C64" s="1726" t="s">
        <v>60</v>
      </c>
      <c r="D64" s="1726"/>
      <c r="E64" s="1727"/>
      <c r="F64" s="1728"/>
      <c r="G64" s="1729"/>
      <c r="H64" s="381"/>
      <c r="I64" s="382"/>
      <c r="J64" s="383"/>
      <c r="K64" s="362" t="str">
        <f>IF(COUNTIFS('18証書_森林吸収量'!$N$6:$N$58,ROW())=0,"",-1*SUMIFS('18証書_森林吸収量'!$F$6:$F$58,'18証書_森林吸収量'!$N$6:$N$58,ROW(),'18証書_森林吸収量'!$S$6:$S$58,1))</f>
        <v/>
      </c>
      <c r="M64" s="575" t="str">
        <f>IF(COUNTIFS('18証書_森林吸収量'!$N$6:$N$58,ROW())=0,"",-1*SUMIFS('18証書_森林吸収量'!$F$6:$F$58,'18証書_森林吸収量'!$N$6:$N$58,ROW()))</f>
        <v/>
      </c>
    </row>
    <row r="65" spans="1:13" ht="30" customHeight="1">
      <c r="A65" s="1738"/>
      <c r="B65" s="1754"/>
      <c r="C65" s="1749" t="s">
        <v>61</v>
      </c>
      <c r="D65" s="1726"/>
      <c r="E65" s="1727"/>
      <c r="F65" s="1728"/>
      <c r="G65" s="1729"/>
      <c r="H65" s="381"/>
      <c r="I65" s="382"/>
      <c r="J65" s="383"/>
      <c r="K65" s="362" t="str">
        <f>IF(COUNTIFS('18証書_森林吸収量'!$N$6:$N$58,ROW())=0,"",-1*SUMIFS('18証書_森林吸収量'!$F$6:$F$58,'18証書_森林吸収量'!$N$6:$N$58,ROW(),'18証書_森林吸収量'!$S$6:$S$58,1))</f>
        <v/>
      </c>
      <c r="M65" s="575" t="str">
        <f>IF(COUNTIFS('18証書_森林吸収量'!$N$6:$N$58,ROW())=0,"",-1*SUMIFS('18証書_森林吸収量'!$F$6:$F$58,'18証書_森林吸収量'!$N$6:$N$58,ROW()))</f>
        <v/>
      </c>
    </row>
    <row r="66" spans="1:13" ht="46.5" customHeight="1">
      <c r="A66" s="1738"/>
      <c r="B66" s="1754"/>
      <c r="C66" s="1670" t="s">
        <v>282</v>
      </c>
      <c r="D66" s="1726"/>
      <c r="E66" s="1727"/>
      <c r="F66" s="1728"/>
      <c r="G66" s="1729"/>
      <c r="H66" s="381"/>
      <c r="I66" s="382"/>
      <c r="J66" s="383"/>
      <c r="K66" s="362" t="str">
        <f>IF(COUNTIFS('18証書_森林吸収量'!$N$6:$N$58,ROW())=0,"",-1*SUMIFS('18証書_森林吸収量'!$F$6:$F$58,'18証書_森林吸収量'!$N$6:$N$58,ROW(),'18証書_森林吸収量'!$S$6:$S$58,1))</f>
        <v/>
      </c>
      <c r="M66" s="575" t="str">
        <f>IF(COUNTIFS('18証書_森林吸収量'!$N$6:$N$58,ROW())=0,"",-1*SUMIFS('18証書_森林吸収量'!$F$6:$F$58,'18証書_森林吸収量'!$N$6:$N$58,ROW()))</f>
        <v/>
      </c>
    </row>
    <row r="67" spans="1:13" ht="54.75" customHeight="1">
      <c r="A67" s="1738"/>
      <c r="B67" s="1754"/>
      <c r="C67" s="1730" t="s">
        <v>62</v>
      </c>
      <c r="D67" s="1731"/>
      <c r="E67" s="1732"/>
      <c r="F67" s="1733"/>
      <c r="G67" s="1734"/>
      <c r="H67" s="384"/>
      <c r="I67" s="385"/>
      <c r="J67" s="386"/>
      <c r="K67" s="362" t="str">
        <f>IF(COUNTIFS('18証書_森林吸収量'!$N$6:$N$58,ROW())=0,"",-1*SUMIFS('18証書_森林吸収量'!$F$6:$F$58,'18証書_森林吸収量'!$N$6:$N$58,ROW(),'18証書_森林吸収量'!$S$6:$S$58,1))</f>
        <v/>
      </c>
      <c r="M67" s="575" t="str">
        <f>IF(COUNTIFS('18証書_森林吸収量'!$N$6:$N$58,ROW())=0,"",-1*SUMIFS('18証書_森林吸収量'!$F$6:$F$58,'18証書_森林吸収量'!$N$6:$N$58,ROW()))</f>
        <v/>
      </c>
    </row>
    <row r="68" spans="1:13" ht="33.75" customHeight="1">
      <c r="A68" s="1738"/>
      <c r="B68" s="1754"/>
      <c r="C68" s="1704" t="s">
        <v>37</v>
      </c>
      <c r="D68" s="1704"/>
      <c r="E68" s="1670"/>
      <c r="F68" s="1735"/>
      <c r="G68" s="1736"/>
      <c r="H68" s="383"/>
      <c r="I68" s="396"/>
      <c r="J68" s="397"/>
      <c r="K68" s="472" t="str">
        <f>IF(COUNT(K62:K67)=0,"",SUM(K62:K67))</f>
        <v/>
      </c>
    </row>
    <row r="69" spans="1:13" ht="39.9" customHeight="1" thickBot="1">
      <c r="A69" s="1739"/>
      <c r="B69" s="1757" t="s">
        <v>42</v>
      </c>
      <c r="C69" s="1758"/>
      <c r="D69" s="1758"/>
      <c r="E69" s="1759"/>
      <c r="F69" s="1760"/>
      <c r="G69" s="1761"/>
      <c r="H69" s="394">
        <f>IF(COUNT(H36,H46,H54,H61)=0,"",SUM(H36,H46,H54,H61))</f>
        <v>0</v>
      </c>
      <c r="I69" s="394">
        <f t="shared" ref="I69:J69" si="12">IF(COUNT(I36,I46,I54,I61)=0,"",SUM(I36,I46,I54,I61))</f>
        <v>0</v>
      </c>
      <c r="J69" s="394">
        <f t="shared" si="12"/>
        <v>0</v>
      </c>
      <c r="K69" s="395">
        <f>IF(COUNT(K36,K46,K54,K61,K68)=0,"",IF(SUM(K36,K46,K54,K61,K68)&lt;0,0,SUM(K36,K46,K54,K61,K68)))</f>
        <v>0</v>
      </c>
    </row>
    <row r="70" spans="1:13" ht="18" thickBot="1">
      <c r="A70" s="4"/>
      <c r="B70" s="4"/>
      <c r="C70" s="4"/>
      <c r="D70" s="4"/>
      <c r="E70" s="4"/>
      <c r="F70" s="4"/>
      <c r="G70" s="4"/>
      <c r="H70" s="4"/>
      <c r="I70" s="4"/>
      <c r="J70" s="4"/>
      <c r="K70" s="4"/>
    </row>
    <row r="71" spans="1:13" ht="63" customHeight="1">
      <c r="A71" s="1708"/>
      <c r="B71" s="1711" t="s">
        <v>156</v>
      </c>
      <c r="C71" s="1712"/>
      <c r="D71" s="1711" t="s">
        <v>73</v>
      </c>
      <c r="E71" s="1717"/>
      <c r="F71" s="1720" t="s">
        <v>1900</v>
      </c>
      <c r="G71" s="1721"/>
      <c r="H71" s="118" t="s">
        <v>2</v>
      </c>
      <c r="I71" s="111" t="s">
        <v>51</v>
      </c>
      <c r="J71" s="117"/>
      <c r="K71" s="117"/>
    </row>
    <row r="72" spans="1:13" ht="33" hidden="1" customHeight="1">
      <c r="A72" s="1709"/>
      <c r="B72" s="1713"/>
      <c r="C72" s="1714"/>
      <c r="D72" s="1713"/>
      <c r="E72" s="1718"/>
      <c r="F72" s="1722"/>
      <c r="G72" s="1723"/>
      <c r="H72" s="9" t="s">
        <v>6</v>
      </c>
      <c r="I72" s="32" t="s">
        <v>55</v>
      </c>
      <c r="J72" s="117"/>
      <c r="K72" s="117"/>
    </row>
    <row r="73" spans="1:13" ht="19.5" customHeight="1" thickBot="1">
      <c r="A73" s="1710"/>
      <c r="B73" s="1715"/>
      <c r="C73" s="1716"/>
      <c r="D73" s="1715"/>
      <c r="E73" s="1719"/>
      <c r="F73" s="1724"/>
      <c r="G73" s="1725"/>
      <c r="H73" s="34" t="s">
        <v>181</v>
      </c>
      <c r="I73" s="35" t="s">
        <v>182</v>
      </c>
      <c r="J73" s="117"/>
      <c r="K73" s="117"/>
    </row>
    <row r="74" spans="1:13" ht="30.15" customHeight="1">
      <c r="A74" s="1684" t="s">
        <v>157</v>
      </c>
      <c r="B74" s="1687" t="s">
        <v>279</v>
      </c>
      <c r="C74" s="1688"/>
      <c r="D74" s="1693" t="s">
        <v>87</v>
      </c>
      <c r="E74" s="1694"/>
      <c r="F74" s="274" t="str">
        <f>IF('15非化石燃料_建物'!G8="","",ROUND('15非化石燃料_建物'!G8,0))</f>
        <v/>
      </c>
      <c r="G74" s="270" t="str">
        <f>'15非化石燃料_建物'!H8</f>
        <v>ｔ</v>
      </c>
      <c r="H74" s="463" t="str">
        <f>IF('15非化石燃料_建物'!P8="","",'15非化石燃料_建物'!P8)</f>
        <v/>
      </c>
      <c r="I74" s="278" t="str">
        <f>IF(H74="","",H74*0.0258)</f>
        <v/>
      </c>
      <c r="J74" s="4"/>
      <c r="K74" s="4"/>
    </row>
    <row r="75" spans="1:13" ht="30.15" customHeight="1">
      <c r="A75" s="1685"/>
      <c r="B75" s="1689"/>
      <c r="C75" s="1690"/>
      <c r="D75" s="1679" t="s">
        <v>88</v>
      </c>
      <c r="E75" s="1680"/>
      <c r="F75" s="275" t="str">
        <f>IF('15非化石燃料_建物'!G9="","",ROUND('15非化石燃料_建物'!G9,0))</f>
        <v/>
      </c>
      <c r="G75" s="271" t="str">
        <f>'15非化石燃料_建物'!H9</f>
        <v>ｔ</v>
      </c>
      <c r="H75" s="279" t="str">
        <f>IF('15非化石燃料_建物'!P9="","",'15非化石燃料_建物'!P9)</f>
        <v/>
      </c>
      <c r="I75" s="280" t="str">
        <f t="shared" ref="I75:I97" si="13">IF(H75="","",H75*0.0258)</f>
        <v/>
      </c>
      <c r="J75" s="4"/>
      <c r="K75" s="4"/>
    </row>
    <row r="76" spans="1:13" ht="30.15" customHeight="1">
      <c r="A76" s="1685"/>
      <c r="B76" s="1689"/>
      <c r="C76" s="1690"/>
      <c r="D76" s="1679" t="s">
        <v>89</v>
      </c>
      <c r="E76" s="1680"/>
      <c r="F76" s="275" t="str">
        <f>IF('15非化石燃料_建物'!G10="","",ROUND('15非化石燃料_建物'!G10,0))</f>
        <v/>
      </c>
      <c r="G76" s="271" t="str">
        <f>'15非化石燃料_建物'!H10</f>
        <v>ｔ</v>
      </c>
      <c r="H76" s="279" t="str">
        <f>IF('15非化石燃料_建物'!P10="","",'15非化石燃料_建物'!P10)</f>
        <v/>
      </c>
      <c r="I76" s="280" t="str">
        <f t="shared" si="13"/>
        <v/>
      </c>
      <c r="J76" s="4"/>
      <c r="K76" s="4"/>
    </row>
    <row r="77" spans="1:13" ht="30.15" customHeight="1">
      <c r="A77" s="1685"/>
      <c r="B77" s="1689"/>
      <c r="C77" s="1690"/>
      <c r="D77" s="1679" t="s">
        <v>90</v>
      </c>
      <c r="E77" s="1680"/>
      <c r="F77" s="275" t="str">
        <f>IF('15非化石燃料_建物'!G11="","",ROUND('15非化石燃料_建物'!G11,0))</f>
        <v/>
      </c>
      <c r="G77" s="271" t="str">
        <f>'15非化石燃料_建物'!H11</f>
        <v>ｔ</v>
      </c>
      <c r="H77" s="279" t="str">
        <f>IF('15非化石燃料_建物'!P11="","",'15非化石燃料_建物'!P11)</f>
        <v/>
      </c>
      <c r="I77" s="280" t="str">
        <f t="shared" si="13"/>
        <v/>
      </c>
      <c r="J77" s="4"/>
      <c r="K77" s="4"/>
    </row>
    <row r="78" spans="1:13" ht="30.15" customHeight="1">
      <c r="A78" s="1685"/>
      <c r="B78" s="1689"/>
      <c r="C78" s="1690"/>
      <c r="D78" s="1679" t="s">
        <v>91</v>
      </c>
      <c r="E78" s="1680"/>
      <c r="F78" s="275" t="str">
        <f>IF('15非化石燃料_建物'!G12="","",ROUND('15非化石燃料_建物'!G12,0))</f>
        <v/>
      </c>
      <c r="G78" s="271" t="str">
        <f>'15非化石燃料_建物'!H12</f>
        <v>ｔ</v>
      </c>
      <c r="H78" s="279" t="str">
        <f>IF('15非化石燃料_建物'!P12="","",'15非化石燃料_建物'!P12)</f>
        <v/>
      </c>
      <c r="I78" s="280" t="str">
        <f t="shared" si="13"/>
        <v/>
      </c>
      <c r="J78" s="4"/>
      <c r="K78" s="4"/>
    </row>
    <row r="79" spans="1:13" ht="73.5" customHeight="1">
      <c r="A79" s="1685"/>
      <c r="B79" s="1689"/>
      <c r="C79" s="1690"/>
      <c r="D79" s="1679" t="s">
        <v>92</v>
      </c>
      <c r="E79" s="1680"/>
      <c r="F79" s="275" t="str">
        <f>IF('15非化石燃料_建物'!G13="","",ROUND('15非化石燃料_建物'!G13,0))</f>
        <v/>
      </c>
      <c r="G79" s="271" t="str">
        <f>'15非化石燃料_建物'!H13</f>
        <v>kL</v>
      </c>
      <c r="H79" s="279" t="str">
        <f>IF('15非化石燃料_建物'!P13="","",'15非化石燃料_建物'!P13)</f>
        <v/>
      </c>
      <c r="I79" s="280" t="str">
        <f t="shared" si="13"/>
        <v/>
      </c>
      <c r="J79" s="4"/>
      <c r="K79" s="4"/>
    </row>
    <row r="80" spans="1:13" ht="45" customHeight="1">
      <c r="A80" s="1685"/>
      <c r="B80" s="1689"/>
      <c r="C80" s="1690"/>
      <c r="D80" s="1695" t="s">
        <v>178</v>
      </c>
      <c r="E80" s="1680"/>
      <c r="F80" s="275" t="str">
        <f>IF('15非化石燃料_建物'!G14="","",ROUND('15非化石燃料_建物'!G14,0))</f>
        <v/>
      </c>
      <c r="G80" s="271" t="str">
        <f>'15非化石燃料_建物'!H14</f>
        <v>kL</v>
      </c>
      <c r="H80" s="279" t="str">
        <f>IF('15非化石燃料_建物'!P14="","",'15非化石燃料_建物'!P14)</f>
        <v/>
      </c>
      <c r="I80" s="280" t="str">
        <f t="shared" si="13"/>
        <v/>
      </c>
      <c r="J80" s="4"/>
      <c r="K80" s="4"/>
    </row>
    <row r="81" spans="1:11" ht="30.15" customHeight="1">
      <c r="A81" s="1685"/>
      <c r="B81" s="1689"/>
      <c r="C81" s="1690"/>
      <c r="D81" s="1679" t="s">
        <v>94</v>
      </c>
      <c r="E81" s="1680"/>
      <c r="F81" s="275" t="str">
        <f>IF('15非化石燃料_建物'!G15="","",ROUND('15非化石燃料_建物'!G15,0))</f>
        <v/>
      </c>
      <c r="G81" s="271" t="str">
        <f>'15非化石燃料_建物'!H15</f>
        <v>千m3</v>
      </c>
      <c r="H81" s="279" t="str">
        <f>IF('15非化石燃料_建物'!P15="","",'15非化石燃料_建物'!P15)</f>
        <v/>
      </c>
      <c r="I81" s="280" t="str">
        <f t="shared" si="13"/>
        <v/>
      </c>
      <c r="J81" s="4"/>
      <c r="K81" s="4"/>
    </row>
    <row r="82" spans="1:11" ht="30.15" customHeight="1">
      <c r="A82" s="1685"/>
      <c r="B82" s="1689"/>
      <c r="C82" s="1690"/>
      <c r="D82" s="1679" t="s">
        <v>159</v>
      </c>
      <c r="E82" s="1680"/>
      <c r="F82" s="275" t="str">
        <f>IF('15非化石燃料_建物'!G16="","",ROUND('15非化石燃料_建物'!G16,0))</f>
        <v/>
      </c>
      <c r="G82" s="271" t="str">
        <f>'15非化石燃料_建物'!H16</f>
        <v>t</v>
      </c>
      <c r="H82" s="279" t="str">
        <f>IF('15非化石燃料_建物'!P16="","",'15非化石燃料_建物'!P16)</f>
        <v/>
      </c>
      <c r="I82" s="280" t="str">
        <f t="shared" si="13"/>
        <v/>
      </c>
      <c r="J82" s="4"/>
      <c r="K82" s="4"/>
    </row>
    <row r="83" spans="1:11" ht="30.15" customHeight="1">
      <c r="A83" s="1685"/>
      <c r="B83" s="1689"/>
      <c r="C83" s="1690"/>
      <c r="D83" s="1365" t="str">
        <f>IF('15非化石燃料_建物'!C17="","廃棄物原燃料　自由記入1",'15非化石燃料_建物'!C17)</f>
        <v>廃棄物ガス</v>
      </c>
      <c r="E83" s="1681"/>
      <c r="F83" s="275" t="str">
        <f>IF('15非化石燃料_建物'!G17="","",ROUND('15非化石燃料_建物'!G17,0))</f>
        <v/>
      </c>
      <c r="G83" s="271" t="str">
        <f>'15非化石燃料_建物'!H17</f>
        <v>kg</v>
      </c>
      <c r="H83" s="279" t="str">
        <f>IF('15非化石燃料_建物'!P17="","",'15非化石燃料_建物'!P17)</f>
        <v/>
      </c>
      <c r="I83" s="280" t="str">
        <f t="shared" si="13"/>
        <v/>
      </c>
      <c r="J83" s="4"/>
      <c r="K83" s="4"/>
    </row>
    <row r="84" spans="1:11" ht="30.15" customHeight="1" thickBot="1">
      <c r="A84" s="1685"/>
      <c r="B84" s="1691"/>
      <c r="C84" s="1692"/>
      <c r="D84" s="1696" t="str">
        <f>IF('15非化石燃料_建物'!C18="","廃棄物原燃料　自由記入2",'15非化石燃料_建物'!C18)</f>
        <v>廃棄物原燃料　自由記入2</v>
      </c>
      <c r="E84" s="1697"/>
      <c r="F84" s="276" t="str">
        <f>IF('15非化石燃料_建物'!G18="","",ROUND('15非化石燃料_建物'!G18,0))</f>
        <v/>
      </c>
      <c r="G84" s="272" t="str">
        <f>'15非化石燃料_建物'!H18</f>
        <v>kg</v>
      </c>
      <c r="H84" s="279" t="str">
        <f>IF('15非化石燃料_建物'!P18="","",'15非化石燃料_建物'!P18)</f>
        <v/>
      </c>
      <c r="I84" s="281" t="str">
        <f t="shared" si="13"/>
        <v/>
      </c>
      <c r="J84" s="4"/>
      <c r="K84" s="4"/>
    </row>
    <row r="85" spans="1:11" ht="30.15" customHeight="1" thickTop="1">
      <c r="A85" s="1685"/>
      <c r="B85" s="1698" t="s">
        <v>160</v>
      </c>
      <c r="C85" s="1698"/>
      <c r="D85" s="1702" t="s">
        <v>161</v>
      </c>
      <c r="E85" s="1703"/>
      <c r="F85" s="277" t="str">
        <f>IF('15非化石燃料_建物'!G19="","",ROUND('15非化石燃料_建物'!G19,0))</f>
        <v/>
      </c>
      <c r="G85" s="273" t="str">
        <f>'15非化石燃料_建物'!H19</f>
        <v>t</v>
      </c>
      <c r="H85" s="464" t="str">
        <f>IF('15非化石燃料_建物'!P19="","",'15非化石燃料_建物'!P19)</f>
        <v/>
      </c>
      <c r="I85" s="282" t="str">
        <f t="shared" si="13"/>
        <v/>
      </c>
      <c r="J85" s="4"/>
      <c r="K85" s="4"/>
    </row>
    <row r="86" spans="1:11" ht="30.15" customHeight="1">
      <c r="A86" s="1685"/>
      <c r="B86" s="1699"/>
      <c r="C86" s="1699"/>
      <c r="D86" s="1704" t="s">
        <v>162</v>
      </c>
      <c r="E86" s="1705"/>
      <c r="F86" s="275" t="str">
        <f>IF('15非化石燃料_建物'!G20="","",ROUND('15非化石燃料_建物'!G20,0))</f>
        <v/>
      </c>
      <c r="G86" s="271" t="str">
        <f>'15非化石燃料_建物'!H20</f>
        <v>t</v>
      </c>
      <c r="H86" s="279" t="str">
        <f>IF('15非化石燃料_建物'!P20="","",'15非化石燃料_建物'!P20)</f>
        <v/>
      </c>
      <c r="I86" s="280" t="str">
        <f t="shared" si="13"/>
        <v/>
      </c>
      <c r="J86" s="4"/>
      <c r="K86" s="4"/>
    </row>
    <row r="87" spans="1:11" ht="30.15" customHeight="1">
      <c r="A87" s="1685"/>
      <c r="B87" s="1699"/>
      <c r="C87" s="1699"/>
      <c r="D87" s="1704" t="s">
        <v>163</v>
      </c>
      <c r="E87" s="1705"/>
      <c r="F87" s="275" t="str">
        <f>IF('15非化石燃料_建物'!G21="","",ROUND('15非化石燃料_建物'!G21,0))</f>
        <v/>
      </c>
      <c r="G87" s="271" t="str">
        <f>'15非化石燃料_建物'!H21</f>
        <v>t</v>
      </c>
      <c r="H87" s="279" t="str">
        <f>IF('15非化石燃料_建物'!P21="","",'15非化石燃料_建物'!P21)</f>
        <v/>
      </c>
      <c r="I87" s="280" t="str">
        <f t="shared" si="13"/>
        <v/>
      </c>
      <c r="J87" s="4"/>
      <c r="K87" s="4"/>
    </row>
    <row r="88" spans="1:11" ht="30.15" customHeight="1">
      <c r="A88" s="1685"/>
      <c r="B88" s="1699"/>
      <c r="C88" s="1699"/>
      <c r="D88" s="1704" t="s">
        <v>164</v>
      </c>
      <c r="E88" s="1705"/>
      <c r="F88" s="275" t="str">
        <f>IF('15非化石燃料_建物'!G22="","",ROUND('15非化石燃料_建物'!G22,0))</f>
        <v/>
      </c>
      <c r="G88" s="271" t="str">
        <f>'15非化石燃料_建物'!H22</f>
        <v>kL</v>
      </c>
      <c r="H88" s="279" t="str">
        <f>IF('15非化石燃料_建物'!P22="","",'15非化石燃料_建物'!P22)</f>
        <v/>
      </c>
      <c r="I88" s="280" t="str">
        <f t="shared" si="13"/>
        <v/>
      </c>
      <c r="J88" s="4"/>
      <c r="K88" s="4"/>
    </row>
    <row r="89" spans="1:11" ht="30.15" customHeight="1">
      <c r="A89" s="1685"/>
      <c r="B89" s="1699"/>
      <c r="C89" s="1699"/>
      <c r="D89" s="1704" t="s">
        <v>165</v>
      </c>
      <c r="E89" s="1705"/>
      <c r="F89" s="275" t="str">
        <f>IF('15非化石燃料_建物'!G23="","",ROUND('15非化石燃料_建物'!G23,0))</f>
        <v/>
      </c>
      <c r="G89" s="271" t="str">
        <f>'15非化石燃料_建物'!H23</f>
        <v>kL</v>
      </c>
      <c r="H89" s="279" t="str">
        <f>IF('15非化石燃料_建物'!P23="","",'15非化石燃料_建物'!P23)</f>
        <v/>
      </c>
      <c r="I89" s="280" t="str">
        <f t="shared" si="13"/>
        <v/>
      </c>
      <c r="J89" s="4"/>
      <c r="K89" s="4"/>
    </row>
    <row r="90" spans="1:11" ht="30.15" customHeight="1">
      <c r="A90" s="1685"/>
      <c r="B90" s="1699"/>
      <c r="C90" s="1699"/>
      <c r="D90" s="1704" t="s">
        <v>166</v>
      </c>
      <c r="E90" s="1705"/>
      <c r="F90" s="275" t="str">
        <f>IF('15非化石燃料_建物'!G24="","",ROUND('15非化石燃料_建物'!G24,0))</f>
        <v/>
      </c>
      <c r="G90" s="271" t="str">
        <f>'15非化石燃料_建物'!H24</f>
        <v>千m3</v>
      </c>
      <c r="H90" s="279" t="str">
        <f>IF('15非化石燃料_建物'!P24="","",'15非化石燃料_建物'!P24)</f>
        <v/>
      </c>
      <c r="I90" s="280" t="str">
        <f t="shared" si="13"/>
        <v/>
      </c>
      <c r="J90" s="4"/>
      <c r="K90" s="4"/>
    </row>
    <row r="91" spans="1:11" ht="30.15" customHeight="1">
      <c r="A91" s="1685"/>
      <c r="B91" s="1700"/>
      <c r="C91" s="1700"/>
      <c r="D91" s="1670" t="s">
        <v>167</v>
      </c>
      <c r="E91" s="1671"/>
      <c r="F91" s="275" t="str">
        <f>IF('15非化石燃料_建物'!G25="","",ROUND('15非化石燃料_建物'!G25,0))</f>
        <v/>
      </c>
      <c r="G91" s="271" t="str">
        <f>'15非化石燃料_建物'!H25</f>
        <v>t</v>
      </c>
      <c r="H91" s="279" t="str">
        <f>IF('15非化石燃料_建物'!P25="","",'15非化石燃料_建物'!P25)</f>
        <v/>
      </c>
      <c r="I91" s="283" t="str">
        <f t="shared" si="13"/>
        <v/>
      </c>
      <c r="J91" s="4"/>
      <c r="K91" s="4"/>
    </row>
    <row r="92" spans="1:11" ht="30.15" customHeight="1">
      <c r="A92" s="1685"/>
      <c r="B92" s="1700"/>
      <c r="C92" s="1700"/>
      <c r="D92" s="1670" t="str">
        <f>IF('15非化石燃料_建物'!C26="","非化石燃料　自由記入1",'15非化石燃料_建物'!C26)</f>
        <v>非化石燃料　自由記入1</v>
      </c>
      <c r="E92" s="1671"/>
      <c r="F92" s="275" t="str">
        <f>IF('15非化石燃料_建物'!G26="","",ROUND('15非化石燃料_建物'!G26,0))</f>
        <v/>
      </c>
      <c r="G92" s="271" t="str">
        <f>'15非化石燃料_建物'!H26</f>
        <v>L</v>
      </c>
      <c r="H92" s="279" t="str">
        <f>IF('15非化石燃料_建物'!P26="","",'15非化石燃料_建物'!P26)</f>
        <v/>
      </c>
      <c r="I92" s="283" t="str">
        <f t="shared" si="13"/>
        <v/>
      </c>
      <c r="J92" s="4"/>
      <c r="K92" s="4"/>
    </row>
    <row r="93" spans="1:11" ht="30.15" customHeight="1" thickBot="1">
      <c r="A93" s="1685"/>
      <c r="B93" s="1701"/>
      <c r="C93" s="1701"/>
      <c r="D93" s="1672" t="str">
        <f>IF('15非化石燃料_建物'!C27="","非化石燃料　自由記入2",'15非化石燃料_建物'!C27)</f>
        <v>非化石燃料　自由記入2</v>
      </c>
      <c r="E93" s="1673"/>
      <c r="F93" s="276" t="str">
        <f>IF('15非化石燃料_建物'!G27="","",ROUND('15非化石燃料_建物'!G27,0))</f>
        <v/>
      </c>
      <c r="G93" s="272" t="str">
        <f>'15非化石燃料_建物'!H27</f>
        <v>kg</v>
      </c>
      <c r="H93" s="279" t="str">
        <f>IF('15非化石燃料_建物'!P27="","",'15非化石燃料_建物'!P27)</f>
        <v/>
      </c>
      <c r="I93" s="281" t="str">
        <f t="shared" si="13"/>
        <v/>
      </c>
      <c r="J93" s="4"/>
      <c r="K93" s="4"/>
    </row>
    <row r="94" spans="1:11" ht="30.15" customHeight="1" thickTop="1">
      <c r="A94" s="1685"/>
      <c r="B94" s="1674" t="s">
        <v>168</v>
      </c>
      <c r="C94" s="1674"/>
      <c r="D94" s="1677" t="s">
        <v>169</v>
      </c>
      <c r="E94" s="1678"/>
      <c r="F94" s="277" t="str">
        <f>IF('15非化石燃料_建物'!G28="","",ROUND('15非化石燃料_建物'!G28,0))</f>
        <v/>
      </c>
      <c r="G94" s="273" t="str">
        <f>'15非化石燃料_建物'!H28</f>
        <v>t</v>
      </c>
      <c r="H94" s="464" t="str">
        <f>IF('15非化石燃料_建物'!P28="","",'15非化石燃料_建物'!P28)</f>
        <v/>
      </c>
      <c r="I94" s="282" t="str">
        <f t="shared" si="13"/>
        <v/>
      </c>
      <c r="J94" s="4"/>
      <c r="K94" s="4"/>
    </row>
    <row r="95" spans="1:11" ht="30.15" customHeight="1">
      <c r="A95" s="1685"/>
      <c r="B95" s="1675"/>
      <c r="C95" s="1675"/>
      <c r="D95" s="1679" t="s">
        <v>170</v>
      </c>
      <c r="E95" s="1680"/>
      <c r="F95" s="275" t="str">
        <f>IF('15非化石燃料_建物'!G29="","",ROUND('15非化石燃料_建物'!G29,0))</f>
        <v/>
      </c>
      <c r="G95" s="271" t="str">
        <f>'15非化石燃料_建物'!H29</f>
        <v>t</v>
      </c>
      <c r="H95" s="279" t="str">
        <f>IF('15非化石燃料_建物'!P29="","",'15非化石燃料_建物'!P29)</f>
        <v/>
      </c>
      <c r="I95" s="280" t="str">
        <f t="shared" si="13"/>
        <v/>
      </c>
      <c r="J95" s="4"/>
      <c r="K95" s="4"/>
    </row>
    <row r="96" spans="1:11" ht="30.15" customHeight="1">
      <c r="A96" s="1685"/>
      <c r="B96" s="1675"/>
      <c r="C96" s="1675"/>
      <c r="D96" s="1365" t="str">
        <f>IF('15非化石燃料_建物'!C30="","その他の非化石燃料　自由記入1",'15非化石燃料_建物'!C30)</f>
        <v>その他の非化石燃料　自由記入1</v>
      </c>
      <c r="E96" s="1681"/>
      <c r="F96" s="275" t="str">
        <f>IF('15非化石燃料_建物'!G30="","",ROUND('15非化石燃料_建物'!G30,0))</f>
        <v/>
      </c>
      <c r="G96" s="271" t="str">
        <f>'15非化石燃料_建物'!H30</f>
        <v>kg</v>
      </c>
      <c r="H96" s="279" t="str">
        <f>IF('15非化石燃料_建物'!P30="","",'15非化石燃料_建物'!P30)</f>
        <v/>
      </c>
      <c r="I96" s="280" t="str">
        <f t="shared" si="13"/>
        <v/>
      </c>
      <c r="J96" s="4"/>
      <c r="K96" s="4"/>
    </row>
    <row r="97" spans="1:11" ht="30.15" customHeight="1" thickBot="1">
      <c r="A97" s="1685"/>
      <c r="B97" s="1676"/>
      <c r="C97" s="1676"/>
      <c r="D97" s="1682" t="str">
        <f>IF('15非化石燃料_建物'!C31="","その他の非化石燃料　自由記入2",'15非化石燃料_建物'!C31)</f>
        <v>その他の非化石燃料　自由記入2</v>
      </c>
      <c r="E97" s="1683"/>
      <c r="F97" s="276" t="str">
        <f>IF('15非化石燃料_建物'!G31="","",ROUND('15非化石燃料_建物'!G31,0))</f>
        <v/>
      </c>
      <c r="G97" s="272" t="str">
        <f>'15非化石燃料_建物'!H31</f>
        <v>kg</v>
      </c>
      <c r="H97" s="279" t="str">
        <f>IF('15非化石燃料_建物'!P31="","",'15非化石燃料_建物'!P31)</f>
        <v/>
      </c>
      <c r="I97" s="281" t="str">
        <f t="shared" si="13"/>
        <v/>
      </c>
      <c r="J97" s="4"/>
      <c r="K97" s="4"/>
    </row>
    <row r="98" spans="1:11" ht="30.15" customHeight="1" thickTop="1" thickBot="1">
      <c r="A98" s="1686"/>
      <c r="B98" s="1706" t="s">
        <v>171</v>
      </c>
      <c r="C98" s="1706"/>
      <c r="D98" s="1706"/>
      <c r="E98" s="1707"/>
      <c r="F98" s="1660"/>
      <c r="G98" s="1661"/>
      <c r="H98" s="284" t="str">
        <f>IF(COUNT(H74:H97)=0,"",SUM(H74:H97))</f>
        <v/>
      </c>
      <c r="I98" s="285" t="str">
        <f>IF(COUNT(I74:I97)=0,"",SUM(I74:I97))</f>
        <v/>
      </c>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ht="18" thickBot="1">
      <c r="A101" s="4"/>
      <c r="B101" s="4"/>
      <c r="C101" s="4"/>
      <c r="D101" s="4"/>
      <c r="E101" s="4"/>
      <c r="F101" s="4"/>
      <c r="G101" s="4"/>
      <c r="H101" s="4"/>
      <c r="I101" s="4"/>
      <c r="J101" s="4"/>
      <c r="K101" s="4"/>
    </row>
    <row r="102" spans="1:11" ht="30.15" customHeight="1">
      <c r="A102" s="4"/>
      <c r="B102" s="4"/>
      <c r="C102" s="4"/>
      <c r="D102" s="1662" t="s">
        <v>184</v>
      </c>
      <c r="E102" s="1663"/>
      <c r="F102" s="1663"/>
      <c r="G102" s="1663"/>
      <c r="H102" s="474">
        <f>IF(COUNT(I69,I98)=0,"",ROUND(SUM(I69,I98),0))</f>
        <v>0</v>
      </c>
      <c r="I102" s="286" t="s">
        <v>182</v>
      </c>
      <c r="J102" s="4"/>
      <c r="K102" s="4"/>
    </row>
    <row r="103" spans="1:11" ht="30.15" customHeight="1">
      <c r="A103" s="4"/>
      <c r="B103" s="4"/>
      <c r="C103" s="4"/>
      <c r="D103" s="1664" t="s">
        <v>183</v>
      </c>
      <c r="E103" s="1665"/>
      <c r="F103" s="1665"/>
      <c r="G103" s="1665"/>
      <c r="H103" s="475">
        <f>IF(COUNT(J69)=0,"",ROUND(J69,0))</f>
        <v>0</v>
      </c>
      <c r="I103" s="287" t="s">
        <v>267</v>
      </c>
      <c r="J103" s="4"/>
      <c r="K103" s="4"/>
    </row>
    <row r="104" spans="1:11" ht="30.15" customHeight="1">
      <c r="A104" s="4"/>
      <c r="B104" s="4"/>
      <c r="C104" s="4"/>
      <c r="D104" s="1666" t="s">
        <v>281</v>
      </c>
      <c r="E104" s="1667"/>
      <c r="F104" s="1667"/>
      <c r="G104" s="1667"/>
      <c r="H104" s="767">
        <f>IF(COUNT(K69)=0,"",ROUND(K69,0))</f>
        <v>0</v>
      </c>
      <c r="I104" s="768" t="s">
        <v>1904</v>
      </c>
      <c r="J104" s="4"/>
      <c r="K104" s="4"/>
    </row>
    <row r="105" spans="1:11" ht="30.15" customHeight="1" thickBot="1">
      <c r="A105" s="4"/>
      <c r="B105" s="4"/>
      <c r="C105" s="4"/>
      <c r="D105" s="1668" t="s">
        <v>285</v>
      </c>
      <c r="E105" s="1669"/>
      <c r="F105" s="1669"/>
      <c r="G105" s="1669"/>
      <c r="H105" s="473">
        <f>IF(AND(参考1!$I$58&lt;&gt;"",$H$104&lt;&gt;""),ROUND(参考1!$I$58-IF(SUM(K36,K46,K54,K61)&lt;0,0,ROUND(SUM(K36,K46,K54,K61),0))+IF($K$68="",0,$K$68)*-1,0),"")</f>
        <v>0</v>
      </c>
      <c r="I105" s="288" t="s">
        <v>1904</v>
      </c>
      <c r="J105" s="4"/>
      <c r="K105" s="4"/>
    </row>
    <row r="106" spans="1:11">
      <c r="A106" s="4"/>
      <c r="B106" s="4"/>
      <c r="C106" s="4"/>
      <c r="D106" s="4"/>
      <c r="E106" s="4"/>
      <c r="F106" s="4"/>
      <c r="G106" s="4"/>
      <c r="H106" s="4"/>
      <c r="I106" s="4"/>
      <c r="J106" s="4"/>
      <c r="K106" s="4"/>
    </row>
    <row r="107" spans="1:11" ht="22.5">
      <c r="A107" s="4"/>
      <c r="B107" s="4"/>
      <c r="C107" s="4"/>
      <c r="D107" s="4"/>
      <c r="E107" s="4"/>
      <c r="F107" s="4"/>
      <c r="G107" s="4"/>
      <c r="H107" s="4"/>
      <c r="I107" s="4"/>
      <c r="J107" s="4"/>
      <c r="K107" s="112" t="s">
        <v>268</v>
      </c>
    </row>
    <row r="109" spans="1:11" ht="22.5">
      <c r="K109" s="499"/>
    </row>
  </sheetData>
  <sheetProtection algorithmName="SHA-512" hashValue="3yzUOUeg+++rC/R5CV5kTyZ78AQEtzEaLVw518Sghdswrhq352nr+QiQr+IvWCNshXhjYJU2ZSErPuhY+6QhzA==" saltValue="EyBm3cLJxbhzTdFHm8QG2w==" spinCount="100000" sheet="1" objects="1" scenarios="1"/>
  <mergeCells count="129">
    <mergeCell ref="C10:E10"/>
    <mergeCell ref="C11:E11"/>
    <mergeCell ref="C12:E12"/>
    <mergeCell ref="C13:E13"/>
    <mergeCell ref="C14:E14"/>
    <mergeCell ref="C15:E15"/>
    <mergeCell ref="A2:E2"/>
    <mergeCell ref="H3:J3"/>
    <mergeCell ref="B4:E5"/>
    <mergeCell ref="F4:G4"/>
    <mergeCell ref="A6:A54"/>
    <mergeCell ref="B6:B35"/>
    <mergeCell ref="C6:E6"/>
    <mergeCell ref="C7:E7"/>
    <mergeCell ref="C8:E8"/>
    <mergeCell ref="C9:E9"/>
    <mergeCell ref="C20:C22"/>
    <mergeCell ref="D20:E20"/>
    <mergeCell ref="D21:E21"/>
    <mergeCell ref="D22:E22"/>
    <mergeCell ref="C23:C24"/>
    <mergeCell ref="D23:E23"/>
    <mergeCell ref="D24:E24"/>
    <mergeCell ref="C16:C17"/>
    <mergeCell ref="D16:E16"/>
    <mergeCell ref="D17:E17"/>
    <mergeCell ref="C18:C19"/>
    <mergeCell ref="D18:E18"/>
    <mergeCell ref="D19:E19"/>
    <mergeCell ref="C31:E31"/>
    <mergeCell ref="C32:E32"/>
    <mergeCell ref="C33:E33"/>
    <mergeCell ref="C34:C35"/>
    <mergeCell ref="D34:E34"/>
    <mergeCell ref="D35:E35"/>
    <mergeCell ref="C25:E25"/>
    <mergeCell ref="C26:E26"/>
    <mergeCell ref="C27:E27"/>
    <mergeCell ref="C28:E28"/>
    <mergeCell ref="C29:E29"/>
    <mergeCell ref="C30:E30"/>
    <mergeCell ref="C36:E36"/>
    <mergeCell ref="F36:G36"/>
    <mergeCell ref="B37:B46"/>
    <mergeCell ref="C37:C40"/>
    <mergeCell ref="D37:E37"/>
    <mergeCell ref="D38:E38"/>
    <mergeCell ref="D39:E39"/>
    <mergeCell ref="D40:E40"/>
    <mergeCell ref="C41:C45"/>
    <mergeCell ref="D41:D42"/>
    <mergeCell ref="D43:D44"/>
    <mergeCell ref="D45:E45"/>
    <mergeCell ref="C46:E46"/>
    <mergeCell ref="F46:G46"/>
    <mergeCell ref="F63:G63"/>
    <mergeCell ref="C64:E64"/>
    <mergeCell ref="F64:G64"/>
    <mergeCell ref="C65:E65"/>
    <mergeCell ref="F65:G65"/>
    <mergeCell ref="B69:E69"/>
    <mergeCell ref="F69:G69"/>
    <mergeCell ref="B47:B54"/>
    <mergeCell ref="D47:E47"/>
    <mergeCell ref="C48:C53"/>
    <mergeCell ref="D48:D49"/>
    <mergeCell ref="D50:D51"/>
    <mergeCell ref="D52:E52"/>
    <mergeCell ref="D53:E53"/>
    <mergeCell ref="C54:E54"/>
    <mergeCell ref="F54:G54"/>
    <mergeCell ref="A71:A73"/>
    <mergeCell ref="B71:C73"/>
    <mergeCell ref="D71:E73"/>
    <mergeCell ref="F71:G71"/>
    <mergeCell ref="F72:G72"/>
    <mergeCell ref="F73:G73"/>
    <mergeCell ref="C66:E66"/>
    <mergeCell ref="F66:G66"/>
    <mergeCell ref="C67:E67"/>
    <mergeCell ref="F67:G67"/>
    <mergeCell ref="C68:E68"/>
    <mergeCell ref="F68:G68"/>
    <mergeCell ref="A57:A69"/>
    <mergeCell ref="B57:E58"/>
    <mergeCell ref="F57:G57"/>
    <mergeCell ref="B59:B61"/>
    <mergeCell ref="C59:E59"/>
    <mergeCell ref="C60:E60"/>
    <mergeCell ref="C61:E61"/>
    <mergeCell ref="F61:G61"/>
    <mergeCell ref="B62:B68"/>
    <mergeCell ref="C62:E62"/>
    <mergeCell ref="F62:G62"/>
    <mergeCell ref="C63:E63"/>
    <mergeCell ref="A74:A98"/>
    <mergeCell ref="B74:C84"/>
    <mergeCell ref="D74:E74"/>
    <mergeCell ref="D75:E75"/>
    <mergeCell ref="D76:E76"/>
    <mergeCell ref="D77:E77"/>
    <mergeCell ref="D78:E78"/>
    <mergeCell ref="D79:E79"/>
    <mergeCell ref="D80:E80"/>
    <mergeCell ref="D81:E81"/>
    <mergeCell ref="D82:E82"/>
    <mergeCell ref="D83:E83"/>
    <mergeCell ref="D84:E84"/>
    <mergeCell ref="B85:C93"/>
    <mergeCell ref="D85:E85"/>
    <mergeCell ref="D86:E86"/>
    <mergeCell ref="D87:E87"/>
    <mergeCell ref="D88:E88"/>
    <mergeCell ref="D89:E89"/>
    <mergeCell ref="D90:E90"/>
    <mergeCell ref="B98:E98"/>
    <mergeCell ref="F98:G98"/>
    <mergeCell ref="D102:G102"/>
    <mergeCell ref="D103:G103"/>
    <mergeCell ref="D104:G104"/>
    <mergeCell ref="D105:G105"/>
    <mergeCell ref="D91:E91"/>
    <mergeCell ref="D92:E92"/>
    <mergeCell ref="D93:E93"/>
    <mergeCell ref="B94:C97"/>
    <mergeCell ref="D94:E94"/>
    <mergeCell ref="D95:E95"/>
    <mergeCell ref="D96:E96"/>
    <mergeCell ref="D97:E97"/>
  </mergeCells>
  <phoneticPr fontId="5"/>
  <conditionalFormatting sqref="K6:K54">
    <cfRule type="cellIs" dxfId="36" priority="2" operator="notEqual">
      <formula>""</formula>
    </cfRule>
  </conditionalFormatting>
  <conditionalFormatting sqref="K59:K69">
    <cfRule type="cellIs" dxfId="35" priority="1" operator="notEqual">
      <formula>""</formula>
    </cfRule>
  </conditionalFormatting>
  <pageMargins left="0.78740157480314965" right="0.59055118110236227" top="0.78740157480314965" bottom="0.59055118110236227" header="0.31496062992125984" footer="0.31496062992125984"/>
  <pageSetup paperSize="9" scale="39" fitToHeight="0" orientation="portrait" r:id="rId1"/>
  <headerFooter>
    <oddHeader>&amp;R&amp;8ver.4.01</oddHeader>
  </headerFooter>
  <rowBreaks count="1" manualBreakCount="1">
    <brk id="55"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06C8-8B70-4D50-A5B9-28F670A1E4EF}">
  <sheetPr codeName="Sheet30">
    <tabColor theme="9" tint="0.59999389629810485"/>
    <pageSetUpPr fitToPage="1"/>
  </sheetPr>
  <dimension ref="A1:N109"/>
  <sheetViews>
    <sheetView showGridLines="0" zoomScale="85" zoomScaleNormal="85" zoomScaleSheetLayoutView="100" workbookViewId="0">
      <pane xSplit="2" ySplit="5" topLeftCell="C104" activePane="bottomRight" state="frozen"/>
      <selection activeCell="L62" sqref="L62"/>
      <selection pane="topRight" activeCell="L62" sqref="L62"/>
      <selection pane="bottomLeft" activeCell="L62" sqref="L62"/>
      <selection pane="bottomRight" activeCell="H105" sqref="H105"/>
    </sheetView>
  </sheetViews>
  <sheetFormatPr defaultColWidth="4.08203125" defaultRowHeight="17.5" outlineLevelCol="1"/>
  <cols>
    <col min="1" max="2" width="6.1640625" style="498" customWidth="1"/>
    <col min="3" max="3" width="19.08203125" style="498" customWidth="1"/>
    <col min="4" max="5" width="35.58203125" style="498" customWidth="1"/>
    <col min="6" max="6" width="14.58203125" style="498" customWidth="1"/>
    <col min="7" max="7" width="10.1640625" style="498" customWidth="1"/>
    <col min="8" max="8" width="15.5" style="498" customWidth="1"/>
    <col min="9" max="9" width="17.9140625" style="498" customWidth="1"/>
    <col min="10" max="10" width="18.9140625" style="498" customWidth="1"/>
    <col min="11" max="11" width="23.5" style="498" customWidth="1"/>
    <col min="12" max="12" width="9" style="498" customWidth="1"/>
    <col min="13" max="13" width="14.1640625" style="498" hidden="1" customWidth="1" outlineLevel="1"/>
    <col min="14" max="14" width="9" style="498" customWidth="1" collapsed="1"/>
    <col min="15" max="247" width="9" style="498" customWidth="1"/>
    <col min="248" max="248" width="1.58203125" style="498" customWidth="1"/>
    <col min="249" max="249" width="1.9140625" style="498" customWidth="1"/>
    <col min="250" max="16384" width="4.08203125" style="498"/>
  </cols>
  <sheetData>
    <row r="1" spans="1:13">
      <c r="A1" s="3" t="s">
        <v>2506</v>
      </c>
      <c r="B1" s="4"/>
      <c r="C1" s="4"/>
      <c r="D1" s="4"/>
      <c r="E1" s="4"/>
      <c r="F1" s="4"/>
      <c r="G1" s="4"/>
      <c r="H1" s="109"/>
      <c r="I1" s="109"/>
      <c r="J1" s="108" t="s">
        <v>2056</v>
      </c>
      <c r="K1" s="216" t="str">
        <f>IF('0.事業所概要'!D11="","",'0.事業所概要'!D11)</f>
        <v>県庁産業㈱　　本社、浦和支店</v>
      </c>
    </row>
    <row r="2" spans="1:13">
      <c r="A2" s="1805" t="s">
        <v>2507</v>
      </c>
      <c r="B2" s="1805"/>
      <c r="C2" s="1805"/>
      <c r="D2" s="1805"/>
      <c r="E2" s="1805"/>
      <c r="F2" s="4"/>
      <c r="G2" s="4"/>
      <c r="H2" s="4"/>
      <c r="I2" s="4"/>
      <c r="J2" s="4"/>
      <c r="K2" s="164" t="str">
        <f>CONCATENATE('0.事業所概要'!$B$3,'0.事業所概要'!$C$3,"年度")</f>
        <v>令和７年度</v>
      </c>
    </row>
    <row r="3" spans="1:13" ht="23.25" customHeight="1" thickBot="1">
      <c r="A3" s="761"/>
      <c r="B3" s="762" t="s">
        <v>2062</v>
      </c>
      <c r="C3" s="761"/>
      <c r="D3" s="761"/>
      <c r="E3" s="4"/>
      <c r="F3" s="5"/>
      <c r="G3" s="4"/>
      <c r="H3" s="1806"/>
      <c r="I3" s="1806"/>
      <c r="J3" s="1806"/>
      <c r="K3" s="6"/>
      <c r="M3" s="575" t="s">
        <v>2051</v>
      </c>
    </row>
    <row r="4" spans="1:13" ht="54" customHeight="1">
      <c r="A4" s="7"/>
      <c r="B4" s="1711" t="s">
        <v>1</v>
      </c>
      <c r="C4" s="1740"/>
      <c r="D4" s="1740"/>
      <c r="E4" s="1717"/>
      <c r="F4" s="1808" t="s">
        <v>262</v>
      </c>
      <c r="G4" s="1743"/>
      <c r="H4" s="8" t="s">
        <v>2</v>
      </c>
      <c r="I4" s="170" t="s">
        <v>51</v>
      </c>
      <c r="J4" s="170" t="s">
        <v>52</v>
      </c>
      <c r="K4" s="116" t="s">
        <v>3</v>
      </c>
      <c r="M4" s="576" t="s">
        <v>2050</v>
      </c>
    </row>
    <row r="5" spans="1:13" ht="33" customHeight="1" thickBot="1">
      <c r="A5" s="10"/>
      <c r="B5" s="1715"/>
      <c r="C5" s="1807"/>
      <c r="D5" s="1807"/>
      <c r="E5" s="1719"/>
      <c r="F5" s="11"/>
      <c r="G5" s="12"/>
      <c r="H5" s="33" t="s">
        <v>7</v>
      </c>
      <c r="I5" s="119" t="s">
        <v>8</v>
      </c>
      <c r="J5" s="119" t="s">
        <v>8</v>
      </c>
      <c r="K5" s="13" t="s">
        <v>177</v>
      </c>
    </row>
    <row r="6" spans="1:13" ht="30.15" customHeight="1">
      <c r="A6" s="1809" t="s">
        <v>264</v>
      </c>
      <c r="B6" s="1812" t="s">
        <v>185</v>
      </c>
      <c r="C6" s="1814" t="s">
        <v>9</v>
      </c>
      <c r="D6" s="1398"/>
      <c r="E6" s="1815"/>
      <c r="F6" s="343" t="str">
        <f>IF(COUNTIFS('12燃料'!$X:$X,ROW())=0,"",ROUND(SUMIFS('12燃料'!$U:$U,'12燃料'!$X:$X,ROW(),'12燃料'!$AH:$AH,2),0))</f>
        <v/>
      </c>
      <c r="G6" s="344" t="s">
        <v>8</v>
      </c>
      <c r="H6" s="345" t="str">
        <f>IF(COUNTIFS('12燃料'!$X:$X,ROW())=0,"",SUMIFS('12燃料'!$V:$V,'12燃料'!$X:$X,ROW(),'12燃料'!$AH:$AH,2))</f>
        <v/>
      </c>
      <c r="I6" s="345" t="str">
        <f>IF(H6="","",H6*0.0258)</f>
        <v/>
      </c>
      <c r="J6" s="345" t="str">
        <f>IF(H6="","",H6*0.0258)</f>
        <v/>
      </c>
      <c r="K6" s="346" t="str">
        <f>IF(COUNTIFS('12燃料'!$X:$X,ROW())=0,"",SUMIFS('12燃料'!$W:$W,'12燃料'!$X:$X,ROW(),'12燃料'!$AH:$AH,2))</f>
        <v/>
      </c>
      <c r="M6" s="575" t="str">
        <f>IF(COUNTIFS('12燃料'!$X:$X,ROW())=0,"",SUMIFS('12燃料'!$U:$U,'12燃料'!$X:$X,ROW()))</f>
        <v/>
      </c>
    </row>
    <row r="7" spans="1:13" ht="30.15" customHeight="1">
      <c r="A7" s="1810"/>
      <c r="B7" s="1813"/>
      <c r="C7" s="1365" t="s">
        <v>10</v>
      </c>
      <c r="D7" s="1366"/>
      <c r="E7" s="1681"/>
      <c r="F7" s="343" t="str">
        <f>IF(COUNTIFS('12燃料'!$X:$X,ROW())=0,"",ROUND(SUMIFS('12燃料'!$U:$U,'12燃料'!$X:$X,ROW(),'12燃料'!$AH:$AH,2),0))</f>
        <v/>
      </c>
      <c r="G7" s="347" t="s">
        <v>8</v>
      </c>
      <c r="H7" s="345" t="str">
        <f>IF(COUNTIFS('12燃料'!$X:$X,ROW())=0,"",SUMIFS('12燃料'!$V:$V,'12燃料'!$X:$X,ROW(),'12燃料'!$AH:$AH,2))</f>
        <v/>
      </c>
      <c r="I7" s="345" t="str">
        <f t="shared" ref="I7:I45" si="0">IF(H7="","",H7*0.0258)</f>
        <v/>
      </c>
      <c r="J7" s="345" t="str">
        <f t="shared" ref="J7:J35" si="1">IF(H7="","",H7*0.0258)</f>
        <v/>
      </c>
      <c r="K7" s="346" t="str">
        <f>IF(COUNTIFS('12燃料'!$X:$X,ROW())=0,"",SUMIFS('12燃料'!$W:$W,'12燃料'!$X:$X,ROW(),'12燃料'!$AH:$AH,2))</f>
        <v/>
      </c>
      <c r="M7" s="575" t="str">
        <f>IF(COUNTIFS('12燃料'!$X:$X,ROW())=0,"",SUMIFS('12燃料'!$U:$U,'12燃料'!$X:$X,ROW()))</f>
        <v/>
      </c>
    </row>
    <row r="8" spans="1:13" ht="30.15" customHeight="1">
      <c r="A8" s="1810"/>
      <c r="B8" s="1813"/>
      <c r="C8" s="1795" t="s">
        <v>11</v>
      </c>
      <c r="D8" s="1804"/>
      <c r="E8" s="1796"/>
      <c r="F8" s="343">
        <f>IF(COUNTIFS('12燃料'!$X:$X,ROW())=0,"",ROUND(SUMIFS('12燃料'!$U:$U,'12燃料'!$X:$X,ROW(),'12燃料'!$AH:$AH,2),0))</f>
        <v>0</v>
      </c>
      <c r="G8" s="347" t="s">
        <v>8</v>
      </c>
      <c r="H8" s="345">
        <f>IF(COUNTIFS('12燃料'!$X:$X,ROW())=0,"",SUMIFS('12燃料'!$V:$V,'12燃料'!$X:$X,ROW(),'12燃料'!$AH:$AH,2))</f>
        <v>0</v>
      </c>
      <c r="I8" s="345">
        <f t="shared" si="0"/>
        <v>0</v>
      </c>
      <c r="J8" s="345">
        <f t="shared" si="1"/>
        <v>0</v>
      </c>
      <c r="K8" s="346">
        <f>IF(COUNTIFS('12燃料'!$X:$X,ROW())=0,"",SUMIFS('12燃料'!$W:$W,'12燃料'!$X:$X,ROW(),'12燃料'!$AH:$AH,2))</f>
        <v>0</v>
      </c>
      <c r="M8" s="575">
        <f>IF(COUNTIFS('12燃料'!$X:$X,ROW())=0,"",SUMIFS('12燃料'!$U:$U,'12燃料'!$X:$X,ROW()))</f>
        <v>0</v>
      </c>
    </row>
    <row r="9" spans="1:13" ht="30.15" customHeight="1">
      <c r="A9" s="1810"/>
      <c r="B9" s="1813"/>
      <c r="C9" s="1365" t="s">
        <v>13</v>
      </c>
      <c r="D9" s="1366"/>
      <c r="E9" s="1681"/>
      <c r="F9" s="343" t="str">
        <f>IF(COUNTIFS('12燃料'!$X:$X,ROW())=0,"",ROUND(SUMIFS('12燃料'!$U:$U,'12燃料'!$X:$X,ROW(),'12燃料'!$AH:$AH,2),0))</f>
        <v/>
      </c>
      <c r="G9" s="347" t="s">
        <v>8</v>
      </c>
      <c r="H9" s="345" t="str">
        <f>IF(COUNTIFS('12燃料'!$X:$X,ROW())=0,"",SUMIFS('12燃料'!$V:$V,'12燃料'!$X:$X,ROW(),'12燃料'!$AH:$AH,2))</f>
        <v/>
      </c>
      <c r="I9" s="345" t="str">
        <f t="shared" si="0"/>
        <v/>
      </c>
      <c r="J9" s="345" t="str">
        <f t="shared" si="1"/>
        <v/>
      </c>
      <c r="K9" s="346" t="str">
        <f>IF(COUNTIFS('12燃料'!$X:$X,ROW())=0,"",SUMIFS('12燃料'!$W:$W,'12燃料'!$X:$X,ROW(),'12燃料'!$AH:$AH,2))</f>
        <v/>
      </c>
      <c r="M9" s="575" t="str">
        <f>IF(COUNTIFS('12燃料'!$X:$X,ROW())=0,"",SUMIFS('12燃料'!$U:$U,'12燃料'!$X:$X,ROW()))</f>
        <v/>
      </c>
    </row>
    <row r="10" spans="1:13" ht="30.15" customHeight="1">
      <c r="A10" s="1810"/>
      <c r="B10" s="1813"/>
      <c r="C10" s="1795" t="s">
        <v>14</v>
      </c>
      <c r="D10" s="1804"/>
      <c r="E10" s="1796"/>
      <c r="F10" s="343">
        <f>IF(COUNTIFS('12燃料'!$X:$X,ROW())=0,"",ROUND(SUMIFS('12燃料'!$U:$U,'12燃料'!$X:$X,ROW(),'12燃料'!$AH:$AH,2),0))</f>
        <v>0</v>
      </c>
      <c r="G10" s="347" t="s">
        <v>8</v>
      </c>
      <c r="H10" s="345">
        <f>IF(COUNTIFS('12燃料'!$X:$X,ROW())=0,"",SUMIFS('12燃料'!$V:$V,'12燃料'!$X:$X,ROW(),'12燃料'!$AH:$AH,2))</f>
        <v>0</v>
      </c>
      <c r="I10" s="345">
        <f t="shared" si="0"/>
        <v>0</v>
      </c>
      <c r="J10" s="345">
        <f t="shared" si="1"/>
        <v>0</v>
      </c>
      <c r="K10" s="346">
        <f>IF(COUNTIFS('12燃料'!$X:$X,ROW())=0,"",SUMIFS('12燃料'!$W:$W,'12燃料'!$X:$X,ROW(),'12燃料'!$AH:$AH,2))</f>
        <v>0</v>
      </c>
      <c r="M10" s="575">
        <f>IF(COUNTIFS('12燃料'!$X:$X,ROW())=0,"",SUMIFS('12燃料'!$U:$U,'12燃料'!$X:$X,ROW()))</f>
        <v>0</v>
      </c>
    </row>
    <row r="11" spans="1:13" ht="30.15" customHeight="1">
      <c r="A11" s="1810"/>
      <c r="B11" s="1813"/>
      <c r="C11" s="1795" t="s">
        <v>15</v>
      </c>
      <c r="D11" s="1804"/>
      <c r="E11" s="1796"/>
      <c r="F11" s="343">
        <f>IF(COUNTIFS('12燃料'!$X:$X,ROW())=0,"",ROUND(SUMIFS('12燃料'!$U:$U,'12燃料'!$X:$X,ROW(),'12燃料'!$AH:$AH,2),0))</f>
        <v>0</v>
      </c>
      <c r="G11" s="347" t="s">
        <v>8</v>
      </c>
      <c r="H11" s="345">
        <f>IF(COUNTIFS('12燃料'!$X:$X,ROW())=0,"",SUMIFS('12燃料'!$V:$V,'12燃料'!$X:$X,ROW(),'12燃料'!$AH:$AH,2))</f>
        <v>0</v>
      </c>
      <c r="I11" s="345">
        <f t="shared" si="0"/>
        <v>0</v>
      </c>
      <c r="J11" s="345">
        <f t="shared" si="1"/>
        <v>0</v>
      </c>
      <c r="K11" s="346">
        <f>IF(COUNTIFS('12燃料'!$X:$X,ROW())=0,"",SUMIFS('12燃料'!$W:$W,'12燃料'!$X:$X,ROW(),'12燃料'!$AH:$AH,2))</f>
        <v>0</v>
      </c>
      <c r="M11" s="575">
        <f>IF(COUNTIFS('12燃料'!$X:$X,ROW())=0,"",SUMIFS('12燃料'!$U:$U,'12燃料'!$X:$X,ROW()))</f>
        <v>0</v>
      </c>
    </row>
    <row r="12" spans="1:13" ht="30.15" customHeight="1">
      <c r="A12" s="1810"/>
      <c r="B12" s="1813"/>
      <c r="C12" s="1795" t="s">
        <v>16</v>
      </c>
      <c r="D12" s="1804"/>
      <c r="E12" s="1796"/>
      <c r="F12" s="343">
        <f>IF(COUNTIFS('12燃料'!$X:$X,ROW())=0,"",ROUND(SUMIFS('12燃料'!$U:$U,'12燃料'!$X:$X,ROW(),'12燃料'!$AH:$AH,2),0))</f>
        <v>0</v>
      </c>
      <c r="G12" s="347" t="s">
        <v>8</v>
      </c>
      <c r="H12" s="345">
        <f>IF(COUNTIFS('12燃料'!$X:$X,ROW())=0,"",SUMIFS('12燃料'!$V:$V,'12燃料'!$X:$X,ROW(),'12燃料'!$AH:$AH,2))</f>
        <v>0</v>
      </c>
      <c r="I12" s="345">
        <f t="shared" si="0"/>
        <v>0</v>
      </c>
      <c r="J12" s="345">
        <f t="shared" si="1"/>
        <v>0</v>
      </c>
      <c r="K12" s="346">
        <f>IF(COUNTIFS('12燃料'!$X:$X,ROW())=0,"",SUMIFS('12燃料'!$W:$W,'12燃料'!$X:$X,ROW(),'12燃料'!$AH:$AH,2))</f>
        <v>0</v>
      </c>
      <c r="M12" s="575">
        <f>IF(COUNTIFS('12燃料'!$X:$X,ROW())=0,"",SUMIFS('12燃料'!$U:$U,'12燃料'!$X:$X,ROW()))</f>
        <v>0</v>
      </c>
    </row>
    <row r="13" spans="1:13" ht="30.15" customHeight="1">
      <c r="A13" s="1810"/>
      <c r="B13" s="1813"/>
      <c r="C13" s="1365" t="s">
        <v>17</v>
      </c>
      <c r="D13" s="1366"/>
      <c r="E13" s="1681"/>
      <c r="F13" s="343" t="str">
        <f>IF(COUNTIFS('12燃料'!$X:$X,ROW())=0,"",ROUND(SUMIFS('12燃料'!$U:$U,'12燃料'!$X:$X,ROW(),'12燃料'!$AH:$AH,2),0))</f>
        <v/>
      </c>
      <c r="G13" s="347" t="s">
        <v>8</v>
      </c>
      <c r="H13" s="345" t="str">
        <f>IF(COUNTIFS('12燃料'!$X:$X,ROW())=0,"",SUMIFS('12燃料'!$V:$V,'12燃料'!$X:$X,ROW(),'12燃料'!$AH:$AH,2))</f>
        <v/>
      </c>
      <c r="I13" s="345" t="str">
        <f t="shared" si="0"/>
        <v/>
      </c>
      <c r="J13" s="345" t="str">
        <f t="shared" si="1"/>
        <v/>
      </c>
      <c r="K13" s="346" t="str">
        <f>IF(COUNTIFS('12燃料'!$X:$X,ROW())=0,"",SUMIFS('12燃料'!$W:$W,'12燃料'!$X:$X,ROW(),'12燃料'!$AH:$AH,2))</f>
        <v/>
      </c>
      <c r="M13" s="575" t="str">
        <f>IF(COUNTIFS('12燃料'!$X:$X,ROW())=0,"",SUMIFS('12燃料'!$U:$U,'12燃料'!$X:$X,ROW()))</f>
        <v/>
      </c>
    </row>
    <row r="14" spans="1:13" ht="30.15" customHeight="1">
      <c r="A14" s="1810"/>
      <c r="B14" s="1813"/>
      <c r="C14" s="1365" t="s">
        <v>18</v>
      </c>
      <c r="D14" s="1366"/>
      <c r="E14" s="1681"/>
      <c r="F14" s="343" t="str">
        <f>IF(COUNTIFS('12燃料'!$X:$X,ROW())=0,"",ROUND(SUMIFS('12燃料'!$U:$U,'12燃料'!$X:$X,ROW(),'12燃料'!$AH:$AH,2),0))</f>
        <v/>
      </c>
      <c r="G14" s="347" t="s">
        <v>19</v>
      </c>
      <c r="H14" s="345" t="str">
        <f>IF(COUNTIFS('12燃料'!$X:$X,ROW())=0,"",SUMIFS('12燃料'!$V:$V,'12燃料'!$X:$X,ROW(),'12燃料'!$AH:$AH,2))</f>
        <v/>
      </c>
      <c r="I14" s="345" t="str">
        <f t="shared" si="0"/>
        <v/>
      </c>
      <c r="J14" s="345" t="str">
        <f t="shared" si="1"/>
        <v/>
      </c>
      <c r="K14" s="346" t="str">
        <f>IF(COUNTIFS('12燃料'!$X:$X,ROW())=0,"",SUMIFS('12燃料'!$W:$W,'12燃料'!$X:$X,ROW(),'12燃料'!$AH:$AH,2))</f>
        <v/>
      </c>
      <c r="M14" s="575" t="str">
        <f>IF(COUNTIFS('12燃料'!$X:$X,ROW())=0,"",SUMIFS('12燃料'!$U:$U,'12燃料'!$X:$X,ROW()))</f>
        <v/>
      </c>
    </row>
    <row r="15" spans="1:13" ht="30.15" customHeight="1">
      <c r="A15" s="1810"/>
      <c r="B15" s="1813"/>
      <c r="C15" s="1365" t="s">
        <v>20</v>
      </c>
      <c r="D15" s="1366"/>
      <c r="E15" s="1681"/>
      <c r="F15" s="343" t="str">
        <f>IF(COUNTIFS('12燃料'!$X:$X,ROW())=0,"",ROUND(SUMIFS('12燃料'!$U:$U,'12燃料'!$X:$X,ROW(),'12燃料'!$AH:$AH,2),0))</f>
        <v/>
      </c>
      <c r="G15" s="347" t="s">
        <v>19</v>
      </c>
      <c r="H15" s="345" t="str">
        <f>IF(COUNTIFS('12燃料'!$X:$X,ROW())=0,"",SUMIFS('12燃料'!$V:$V,'12燃料'!$X:$X,ROW(),'12燃料'!$AH:$AH,2))</f>
        <v/>
      </c>
      <c r="I15" s="345" t="str">
        <f t="shared" si="0"/>
        <v/>
      </c>
      <c r="J15" s="345" t="str">
        <f t="shared" si="1"/>
        <v/>
      </c>
      <c r="K15" s="346" t="str">
        <f>IF(COUNTIFS('12燃料'!$X:$X,ROW())=0,"",SUMIFS('12燃料'!$W:$W,'12燃料'!$X:$X,ROW(),'12燃料'!$AH:$AH,2))</f>
        <v/>
      </c>
      <c r="M15" s="575" t="str">
        <f>IF(COUNTIFS('12燃料'!$X:$X,ROW())=0,"",SUMIFS('12燃料'!$U:$U,'12燃料'!$X:$X,ROW()))</f>
        <v/>
      </c>
    </row>
    <row r="16" spans="1:13" ht="30.15" customHeight="1">
      <c r="A16" s="1810"/>
      <c r="B16" s="1813"/>
      <c r="C16" s="1818" t="s">
        <v>21</v>
      </c>
      <c r="D16" s="1795" t="s">
        <v>22</v>
      </c>
      <c r="E16" s="1796"/>
      <c r="F16" s="343">
        <f>IF(COUNTIFS('12燃料'!$X:$X,ROW())=0,"",ROUND(SUMIFS('12燃料'!$U:$U,'12燃料'!$X:$X,ROW(),'12燃料'!$AH:$AH,2),0))</f>
        <v>0</v>
      </c>
      <c r="G16" s="347" t="s">
        <v>19</v>
      </c>
      <c r="H16" s="345">
        <f>IF(COUNTIFS('12燃料'!$X:$X,ROW())=0,"",SUMIFS('12燃料'!$V:$V,'12燃料'!$X:$X,ROW(),'12燃料'!$AH:$AH,2))</f>
        <v>0</v>
      </c>
      <c r="I16" s="345">
        <f t="shared" si="0"/>
        <v>0</v>
      </c>
      <c r="J16" s="345">
        <f t="shared" si="1"/>
        <v>0</v>
      </c>
      <c r="K16" s="346">
        <f>IF(COUNTIFS('12燃料'!$X:$X,ROW())=0,"",SUMIFS('12燃料'!$W:$W,'12燃料'!$X:$X,ROW(),'12燃料'!$AH:$AH,2))</f>
        <v>0</v>
      </c>
      <c r="M16" s="575">
        <f>IF(COUNTIFS('12燃料'!$X:$X,ROW())=0,"",SUMIFS('12燃料'!$U:$U,'12燃料'!$X:$X,ROW()))</f>
        <v>0</v>
      </c>
    </row>
    <row r="17" spans="1:13" ht="30.15" customHeight="1">
      <c r="A17" s="1810"/>
      <c r="B17" s="1813"/>
      <c r="C17" s="1797"/>
      <c r="D17" s="1365" t="s">
        <v>23</v>
      </c>
      <c r="E17" s="1681"/>
      <c r="F17" s="343" t="str">
        <f>IF(COUNTIFS('12燃料'!$X:$X,ROW())=0,"",ROUND(SUMIFS('12燃料'!$U:$U,'12燃料'!$X:$X,ROW(),'12燃料'!$AH:$AH,2),0))</f>
        <v/>
      </c>
      <c r="G17" s="347" t="s">
        <v>283</v>
      </c>
      <c r="H17" s="345" t="str">
        <f>IF(COUNTIFS('12燃料'!$X:$X,ROW())=0,"",SUMIFS('12燃料'!$V:$V,'12燃料'!$X:$X,ROW(),'12燃料'!$AH:$AH,2))</f>
        <v/>
      </c>
      <c r="I17" s="345" t="str">
        <f t="shared" si="0"/>
        <v/>
      </c>
      <c r="J17" s="345" t="str">
        <f t="shared" si="1"/>
        <v/>
      </c>
      <c r="K17" s="346" t="str">
        <f>IF(COUNTIFS('12燃料'!$X:$X,ROW())=0,"",SUMIFS('12燃料'!$W:$W,'12燃料'!$X:$X,ROW(),'12燃料'!$AH:$AH,2))</f>
        <v/>
      </c>
      <c r="M17" s="575" t="str">
        <f>IF(COUNTIFS('12燃料'!$X:$X,ROW())=0,"",SUMIFS('12燃料'!$U:$U,'12燃料'!$X:$X,ROW()))</f>
        <v/>
      </c>
    </row>
    <row r="18" spans="1:13" ht="30.15" customHeight="1">
      <c r="A18" s="1810"/>
      <c r="B18" s="1813"/>
      <c r="C18" s="1676" t="s">
        <v>24</v>
      </c>
      <c r="D18" s="1365" t="s">
        <v>25</v>
      </c>
      <c r="E18" s="1681"/>
      <c r="F18" s="343" t="str">
        <f>IF(COUNTIFS('12燃料'!$X:$X,ROW())=0,"",ROUND(SUMIFS('12燃料'!$U:$U,'12燃料'!$X:$X,ROW(),'12燃料'!$AH:$AH,2),0))</f>
        <v/>
      </c>
      <c r="G18" s="347" t="s">
        <v>19</v>
      </c>
      <c r="H18" s="345" t="str">
        <f>IF(COUNTIFS('12燃料'!$X:$X,ROW())=0,"",SUMIFS('12燃料'!$V:$V,'12燃料'!$X:$X,ROW(),'12燃料'!$AH:$AH,2))</f>
        <v/>
      </c>
      <c r="I18" s="345" t="str">
        <f t="shared" si="0"/>
        <v/>
      </c>
      <c r="J18" s="345" t="str">
        <f t="shared" si="1"/>
        <v/>
      </c>
      <c r="K18" s="346" t="str">
        <f>IF(COUNTIFS('12燃料'!$X:$X,ROW())=0,"",SUMIFS('12燃料'!$W:$W,'12燃料'!$X:$X,ROW(),'12燃料'!$AH:$AH,2))</f>
        <v/>
      </c>
      <c r="M18" s="575" t="str">
        <f>IF(COUNTIFS('12燃料'!$X:$X,ROW())=0,"",SUMIFS('12燃料'!$U:$U,'12燃料'!$X:$X,ROW()))</f>
        <v/>
      </c>
    </row>
    <row r="19" spans="1:13" ht="30.15" customHeight="1">
      <c r="A19" s="1810"/>
      <c r="B19" s="1813"/>
      <c r="C19" s="1797"/>
      <c r="D19" s="1365" t="s">
        <v>26</v>
      </c>
      <c r="E19" s="1681"/>
      <c r="F19" s="343" t="str">
        <f>IF(COUNTIFS('12燃料'!$X:$X,ROW())=0,"",ROUND(SUMIFS('12燃料'!$U:$U,'12燃料'!$X:$X,ROW(),'12燃料'!$AH:$AH,2),0))</f>
        <v/>
      </c>
      <c r="G19" s="347" t="s">
        <v>283</v>
      </c>
      <c r="H19" s="345" t="str">
        <f>IF(COUNTIFS('12燃料'!$X:$X,ROW())=0,"",SUMIFS('12燃料'!$V:$V,'12燃料'!$X:$X,ROW(),'12燃料'!$AH:$AH,2))</f>
        <v/>
      </c>
      <c r="I19" s="345" t="str">
        <f t="shared" si="0"/>
        <v/>
      </c>
      <c r="J19" s="345" t="str">
        <f t="shared" si="1"/>
        <v/>
      </c>
      <c r="K19" s="346" t="str">
        <f>IF(COUNTIFS('12燃料'!$X:$X,ROW())=0,"",SUMIFS('12燃料'!$W:$W,'12燃料'!$X:$X,ROW(),'12燃料'!$AH:$AH,2))</f>
        <v/>
      </c>
      <c r="M19" s="575" t="str">
        <f>IF(COUNTIFS('12燃料'!$X:$X,ROW())=0,"",SUMIFS('12燃料'!$U:$U,'12燃料'!$X:$X,ROW()))</f>
        <v/>
      </c>
    </row>
    <row r="20" spans="1:13" ht="30.15" customHeight="1">
      <c r="A20" s="1810"/>
      <c r="B20" s="1813"/>
      <c r="C20" s="1816" t="s">
        <v>43</v>
      </c>
      <c r="D20" s="1365" t="s">
        <v>44</v>
      </c>
      <c r="E20" s="1681"/>
      <c r="F20" s="343" t="str">
        <f>IF(COUNTIFS('12燃料'!$X:$X,ROW())=0,"",ROUND(SUMIFS('12燃料'!$U:$U,'12燃料'!$X:$X,ROW(),'12燃料'!$AH:$AH,2),0))</f>
        <v/>
      </c>
      <c r="G20" s="347" t="s">
        <v>19</v>
      </c>
      <c r="H20" s="345" t="str">
        <f>IF(COUNTIFS('12燃料'!$X:$X,ROW())=0,"",SUMIFS('12燃料'!$V:$V,'12燃料'!$X:$X,ROW(),'12燃料'!$AH:$AH,2))</f>
        <v/>
      </c>
      <c r="I20" s="345" t="str">
        <f t="shared" si="0"/>
        <v/>
      </c>
      <c r="J20" s="345" t="str">
        <f t="shared" si="1"/>
        <v/>
      </c>
      <c r="K20" s="346" t="str">
        <f>IF(COUNTIFS('12燃料'!$X:$X,ROW())=0,"",SUMIFS('12燃料'!$W:$W,'12燃料'!$X:$X,ROW(),'12燃料'!$AH:$AH,2))</f>
        <v/>
      </c>
      <c r="M20" s="575" t="str">
        <f>IF(COUNTIFS('12燃料'!$X:$X,ROW())=0,"",SUMIFS('12燃料'!$U:$U,'12燃料'!$X:$X,ROW()))</f>
        <v/>
      </c>
    </row>
    <row r="21" spans="1:13" ht="30.15" customHeight="1">
      <c r="A21" s="1810"/>
      <c r="B21" s="1813"/>
      <c r="C21" s="1781"/>
      <c r="D21" s="1365" t="s">
        <v>45</v>
      </c>
      <c r="E21" s="1681"/>
      <c r="F21" s="343" t="str">
        <f>IF(COUNTIFS('12燃料'!$X:$X,ROW())=0,"",ROUND(SUMIFS('12燃料'!$U:$U,'12燃料'!$X:$X,ROW(),'12燃料'!$AH:$AH,2),0))</f>
        <v/>
      </c>
      <c r="G21" s="347" t="s">
        <v>19</v>
      </c>
      <c r="H21" s="345" t="str">
        <f>IF(COUNTIFS('12燃料'!$X:$X,ROW())=0,"",SUMIFS('12燃料'!$V:$V,'12燃料'!$X:$X,ROW(),'12燃料'!$AH:$AH,2))</f>
        <v/>
      </c>
      <c r="I21" s="345" t="str">
        <f t="shared" si="0"/>
        <v/>
      </c>
      <c r="J21" s="345" t="str">
        <f t="shared" si="1"/>
        <v/>
      </c>
      <c r="K21" s="346" t="str">
        <f>IF(COUNTIFS('12燃料'!$X:$X,ROW())=0,"",SUMIFS('12燃料'!$W:$W,'12燃料'!$X:$X,ROW(),'12燃料'!$AH:$AH,2))</f>
        <v/>
      </c>
      <c r="M21" s="575" t="str">
        <f>IF(COUNTIFS('12燃料'!$X:$X,ROW())=0,"",SUMIFS('12燃料'!$U:$U,'12燃料'!$X:$X,ROW()))</f>
        <v/>
      </c>
    </row>
    <row r="22" spans="1:13" ht="30.15" customHeight="1">
      <c r="A22" s="1810"/>
      <c r="B22" s="1813"/>
      <c r="C22" s="1782"/>
      <c r="D22" s="1365" t="s">
        <v>54</v>
      </c>
      <c r="E22" s="1681"/>
      <c r="F22" s="343" t="str">
        <f>IF(COUNTIFS('12燃料'!$X:$X,ROW())=0,"",ROUND(SUMIFS('12燃料'!$U:$U,'12燃料'!$X:$X,ROW(),'12燃料'!$AH:$AH,2),0))</f>
        <v/>
      </c>
      <c r="G22" s="347" t="s">
        <v>19</v>
      </c>
      <c r="H22" s="345" t="str">
        <f>IF(COUNTIFS('12燃料'!$X:$X,ROW())=0,"",SUMIFS('12燃料'!$V:$V,'12燃料'!$X:$X,ROW(),'12燃料'!$AH:$AH,2))</f>
        <v/>
      </c>
      <c r="I22" s="345" t="str">
        <f t="shared" si="0"/>
        <v/>
      </c>
      <c r="J22" s="345" t="str">
        <f t="shared" si="1"/>
        <v/>
      </c>
      <c r="K22" s="346" t="str">
        <f>IF(COUNTIFS('12燃料'!$X:$X,ROW())=0,"",SUMIFS('12燃料'!$W:$W,'12燃料'!$X:$X,ROW(),'12燃料'!$AH:$AH,2))</f>
        <v/>
      </c>
      <c r="M22" s="575" t="str">
        <f>IF(COUNTIFS('12燃料'!$X:$X,ROW())=0,"",SUMIFS('12燃料'!$U:$U,'12燃料'!$X:$X,ROW()))</f>
        <v/>
      </c>
    </row>
    <row r="23" spans="1:13" ht="30.15" customHeight="1">
      <c r="A23" s="1810"/>
      <c r="B23" s="1813"/>
      <c r="C23" s="1817" t="s">
        <v>46</v>
      </c>
      <c r="D23" s="1365" t="s">
        <v>47</v>
      </c>
      <c r="E23" s="1681"/>
      <c r="F23" s="343" t="str">
        <f>IF(COUNTIFS('12燃料'!$X:$X,ROW())=0,"",ROUND(SUMIFS('12燃料'!$U:$U,'12燃料'!$X:$X,ROW(),'12燃料'!$AH:$AH,2),0))</f>
        <v/>
      </c>
      <c r="G23" s="347" t="s">
        <v>19</v>
      </c>
      <c r="H23" s="345" t="str">
        <f>IF(COUNTIFS('12燃料'!$X:$X,ROW())=0,"",SUMIFS('12燃料'!$V:$V,'12燃料'!$X:$X,ROW(),'12燃料'!$AH:$AH,2))</f>
        <v/>
      </c>
      <c r="I23" s="345" t="str">
        <f t="shared" si="0"/>
        <v/>
      </c>
      <c r="J23" s="345" t="str">
        <f t="shared" si="1"/>
        <v/>
      </c>
      <c r="K23" s="346" t="str">
        <f>IF(COUNTIFS('12燃料'!$X:$X,ROW())=0,"",SUMIFS('12燃料'!$W:$W,'12燃料'!$X:$X,ROW(),'12燃料'!$AH:$AH,2))</f>
        <v/>
      </c>
      <c r="M23" s="575" t="str">
        <f>IF(COUNTIFS('12燃料'!$X:$X,ROW())=0,"",SUMIFS('12燃料'!$U:$U,'12燃料'!$X:$X,ROW()))</f>
        <v/>
      </c>
    </row>
    <row r="24" spans="1:13" ht="30.15" customHeight="1">
      <c r="A24" s="1810"/>
      <c r="B24" s="1813"/>
      <c r="C24" s="1817"/>
      <c r="D24" s="1365" t="s">
        <v>48</v>
      </c>
      <c r="E24" s="1681"/>
      <c r="F24" s="343" t="str">
        <f>IF(COUNTIFS('12燃料'!$X:$X,ROW())=0,"",ROUND(SUMIFS('12燃料'!$U:$U,'12燃料'!$X:$X,ROW(),'12燃料'!$AH:$AH,2),0))</f>
        <v/>
      </c>
      <c r="G24" s="347" t="s">
        <v>19</v>
      </c>
      <c r="H24" s="345" t="str">
        <f>IF(COUNTIFS('12燃料'!$X:$X,ROW())=0,"",SUMIFS('12燃料'!$V:$V,'12燃料'!$X:$X,ROW(),'12燃料'!$AH:$AH,2))</f>
        <v/>
      </c>
      <c r="I24" s="345" t="str">
        <f t="shared" si="0"/>
        <v/>
      </c>
      <c r="J24" s="345" t="str">
        <f t="shared" si="1"/>
        <v/>
      </c>
      <c r="K24" s="346" t="str">
        <f>IF(COUNTIFS('12燃料'!$X:$X,ROW())=0,"",SUMIFS('12燃料'!$W:$W,'12燃料'!$X:$X,ROW(),'12燃料'!$AH:$AH,2))</f>
        <v/>
      </c>
      <c r="M24" s="575" t="str">
        <f>IF(COUNTIFS('12燃料'!$X:$X,ROW())=0,"",SUMIFS('12燃料'!$U:$U,'12燃料'!$X:$X,ROW()))</f>
        <v/>
      </c>
    </row>
    <row r="25" spans="1:13" ht="30.15" customHeight="1">
      <c r="A25" s="1810"/>
      <c r="B25" s="1813"/>
      <c r="C25" s="1365" t="s">
        <v>53</v>
      </c>
      <c r="D25" s="1366"/>
      <c r="E25" s="1681"/>
      <c r="F25" s="343" t="str">
        <f>IF(COUNTIFS('12燃料'!$X:$X,ROW())=0,"",ROUND(SUMIFS('12燃料'!$U:$U,'12燃料'!$X:$X,ROW(),'12燃料'!$AH:$AH,2),0))</f>
        <v/>
      </c>
      <c r="G25" s="347" t="s">
        <v>19</v>
      </c>
      <c r="H25" s="345" t="str">
        <f>IF(COUNTIFS('12燃料'!$X:$X,ROW())=0,"",SUMIFS('12燃料'!$V:$V,'12燃料'!$X:$X,ROW(),'12燃料'!$AH:$AH,2))</f>
        <v/>
      </c>
      <c r="I25" s="345" t="str">
        <f t="shared" si="0"/>
        <v/>
      </c>
      <c r="J25" s="345" t="str">
        <f t="shared" si="1"/>
        <v/>
      </c>
      <c r="K25" s="346" t="str">
        <f>IF(COUNTIFS('12燃料'!$X:$X,ROW())=0,"",SUMIFS('12燃料'!$W:$W,'12燃料'!$X:$X,ROW(),'12燃料'!$AH:$AH,2))</f>
        <v/>
      </c>
      <c r="M25" s="575" t="str">
        <f>IF(COUNTIFS('12燃料'!$X:$X,ROW())=0,"",SUMIFS('12燃料'!$U:$U,'12燃料'!$X:$X,ROW()))</f>
        <v/>
      </c>
    </row>
    <row r="26" spans="1:13" ht="30.15" customHeight="1">
      <c r="A26" s="1810"/>
      <c r="B26" s="1813"/>
      <c r="C26" s="1365" t="s">
        <v>27</v>
      </c>
      <c r="D26" s="1366"/>
      <c r="E26" s="1681"/>
      <c r="F26" s="343" t="str">
        <f>IF(COUNTIFS('12燃料'!$X:$X,ROW())=0,"",ROUND(SUMIFS('12燃料'!$U:$U,'12燃料'!$X:$X,ROW(),'12燃料'!$AH:$AH,2),0))</f>
        <v/>
      </c>
      <c r="G26" s="348" t="s">
        <v>19</v>
      </c>
      <c r="H26" s="345" t="str">
        <f>IF(COUNTIFS('12燃料'!$X:$X,ROW())=0,"",SUMIFS('12燃料'!$V:$V,'12燃料'!$X:$X,ROW(),'12燃料'!$AH:$AH,2))</f>
        <v/>
      </c>
      <c r="I26" s="345" t="str">
        <f t="shared" si="0"/>
        <v/>
      </c>
      <c r="J26" s="345" t="str">
        <f t="shared" si="1"/>
        <v/>
      </c>
      <c r="K26" s="346" t="str">
        <f>IF(COUNTIFS('12燃料'!$X:$X,ROW())=0,"",SUMIFS('12燃料'!$W:$W,'12燃料'!$X:$X,ROW(),'12燃料'!$AH:$AH,2))</f>
        <v/>
      </c>
      <c r="M26" s="575" t="str">
        <f>IF(COUNTIFS('12燃料'!$X:$X,ROW())=0,"",SUMIFS('12燃料'!$U:$U,'12燃料'!$X:$X,ROW()))</f>
        <v/>
      </c>
    </row>
    <row r="27" spans="1:13" ht="30.15" customHeight="1">
      <c r="A27" s="1810"/>
      <c r="B27" s="1813"/>
      <c r="C27" s="1365" t="s">
        <v>28</v>
      </c>
      <c r="D27" s="1366"/>
      <c r="E27" s="1681"/>
      <c r="F27" s="343" t="str">
        <f>IF(COUNTIFS('12燃料'!$X:$X,ROW())=0,"",ROUND(SUMIFS('12燃料'!$U:$U,'12燃料'!$X:$X,ROW(),'12燃料'!$AH:$AH,2),0))</f>
        <v/>
      </c>
      <c r="G27" s="348" t="s">
        <v>19</v>
      </c>
      <c r="H27" s="345" t="str">
        <f>IF(COUNTIFS('12燃料'!$X:$X,ROW())=0,"",SUMIFS('12燃料'!$V:$V,'12燃料'!$X:$X,ROW(),'12燃料'!$AH:$AH,2))</f>
        <v/>
      </c>
      <c r="I27" s="345" t="str">
        <f t="shared" si="0"/>
        <v/>
      </c>
      <c r="J27" s="345" t="str">
        <f t="shared" si="1"/>
        <v/>
      </c>
      <c r="K27" s="346" t="str">
        <f>IF(COUNTIFS('12燃料'!$X:$X,ROW())=0,"",SUMIFS('12燃料'!$W:$W,'12燃料'!$X:$X,ROW(),'12燃料'!$AH:$AH,2))</f>
        <v/>
      </c>
      <c r="M27" s="575" t="str">
        <f>IF(COUNTIFS('12燃料'!$X:$X,ROW())=0,"",SUMIFS('12燃料'!$U:$U,'12燃料'!$X:$X,ROW()))</f>
        <v/>
      </c>
    </row>
    <row r="28" spans="1:13" ht="30.15" customHeight="1">
      <c r="A28" s="1810"/>
      <c r="B28" s="1813"/>
      <c r="C28" s="1365" t="s">
        <v>71</v>
      </c>
      <c r="D28" s="1366"/>
      <c r="E28" s="1681"/>
      <c r="F28" s="343" t="str">
        <f>IF(COUNTIFS('12燃料'!$X:$X,ROW())=0,"",ROUND(SUMIFS('12燃料'!$U:$U,'12燃料'!$X:$X,ROW(),'12燃料'!$AH:$AH,2),0))</f>
        <v/>
      </c>
      <c r="G28" s="347" t="s">
        <v>283</v>
      </c>
      <c r="H28" s="345" t="str">
        <f>IF(COUNTIFS('12燃料'!$X:$X,ROW())=0,"",SUMIFS('12燃料'!$V:$V,'12燃料'!$X:$X,ROW(),'12燃料'!$AH:$AH,2))</f>
        <v/>
      </c>
      <c r="I28" s="345" t="str">
        <f t="shared" si="0"/>
        <v/>
      </c>
      <c r="J28" s="345" t="str">
        <f t="shared" si="1"/>
        <v/>
      </c>
      <c r="K28" s="346" t="str">
        <f>IF(COUNTIFS('12燃料'!$X:$X,ROW())=0,"",SUMIFS('12燃料'!$W:$W,'12燃料'!$X:$X,ROW(),'12燃料'!$AH:$AH,2))</f>
        <v/>
      </c>
      <c r="M28" s="575" t="str">
        <f>IF(COUNTIFS('12燃料'!$X:$X,ROW())=0,"",SUMIFS('12燃料'!$U:$U,'12燃料'!$X:$X,ROW()))</f>
        <v/>
      </c>
    </row>
    <row r="29" spans="1:13" ht="30.15" customHeight="1">
      <c r="A29" s="1810"/>
      <c r="B29" s="1813"/>
      <c r="C29" s="1365" t="s">
        <v>63</v>
      </c>
      <c r="D29" s="1366"/>
      <c r="E29" s="1681"/>
      <c r="F29" s="343" t="str">
        <f>IF(COUNTIFS('12燃料'!$X:$X,ROW())=0,"",ROUND(SUMIFS('12燃料'!$U:$U,'12燃料'!$X:$X,ROW(),'12燃料'!$AH:$AH,2),0))</f>
        <v/>
      </c>
      <c r="G29" s="347" t="s">
        <v>283</v>
      </c>
      <c r="H29" s="345" t="str">
        <f>IF(COUNTIFS('12燃料'!$X:$X,ROW())=0,"",SUMIFS('12燃料'!$V:$V,'12燃料'!$X:$X,ROW(),'12燃料'!$AH:$AH,2))</f>
        <v/>
      </c>
      <c r="I29" s="345" t="str">
        <f t="shared" si="0"/>
        <v/>
      </c>
      <c r="J29" s="345" t="str">
        <f t="shared" si="1"/>
        <v/>
      </c>
      <c r="K29" s="346" t="str">
        <f>IF(COUNTIFS('12燃料'!$X:$X,ROW())=0,"",SUMIFS('12燃料'!$W:$W,'12燃料'!$X:$X,ROW(),'12燃料'!$AH:$AH,2))</f>
        <v/>
      </c>
      <c r="M29" s="575" t="str">
        <f>IF(COUNTIFS('12燃料'!$X:$X,ROW())=0,"",SUMIFS('12燃料'!$U:$U,'12燃料'!$X:$X,ROW()))</f>
        <v/>
      </c>
    </row>
    <row r="30" spans="1:13" ht="30.15" customHeight="1">
      <c r="A30" s="1810"/>
      <c r="B30" s="1813"/>
      <c r="C30" s="1365" t="s">
        <v>49</v>
      </c>
      <c r="D30" s="1366"/>
      <c r="E30" s="1681"/>
      <c r="F30" s="343" t="str">
        <f>IF(COUNTIFS('12燃料'!$X:$X,ROW())=0,"",ROUND(SUMIFS('12燃料'!$U:$U,'12燃料'!$X:$X,ROW(),'12燃料'!$AH:$AH,2),0))</f>
        <v/>
      </c>
      <c r="G30" s="347" t="s">
        <v>283</v>
      </c>
      <c r="H30" s="345" t="str">
        <f>IF(COUNTIFS('12燃料'!$X:$X,ROW())=0,"",SUMIFS('12燃料'!$V:$V,'12燃料'!$X:$X,ROW(),'12燃料'!$AH:$AH,2))</f>
        <v/>
      </c>
      <c r="I30" s="345" t="str">
        <f t="shared" si="0"/>
        <v/>
      </c>
      <c r="J30" s="345" t="str">
        <f t="shared" si="1"/>
        <v/>
      </c>
      <c r="K30" s="346" t="str">
        <f>IF(COUNTIFS('12燃料'!$X:$X,ROW())=0,"",SUMIFS('12燃料'!$W:$W,'12燃料'!$X:$X,ROW(),'12燃料'!$AH:$AH,2))</f>
        <v/>
      </c>
      <c r="M30" s="575" t="str">
        <f>IF(COUNTIFS('12燃料'!$X:$X,ROW())=0,"",SUMIFS('12燃料'!$U:$U,'12燃料'!$X:$X,ROW()))</f>
        <v/>
      </c>
    </row>
    <row r="31" spans="1:13" ht="30.15" customHeight="1">
      <c r="A31" s="1810"/>
      <c r="B31" s="1813"/>
      <c r="C31" s="1365" t="s">
        <v>30</v>
      </c>
      <c r="D31" s="1366"/>
      <c r="E31" s="1681"/>
      <c r="F31" s="343" t="str">
        <f>IF(COUNTIFS('12燃料'!$X:$X,ROW())=0,"",ROUND(SUMIFS('12燃料'!$U:$U,'12燃料'!$X:$X,ROW(),'12燃料'!$AH:$AH,2),0))</f>
        <v/>
      </c>
      <c r="G31" s="347" t="s">
        <v>283</v>
      </c>
      <c r="H31" s="345" t="str">
        <f>IF(COUNTIFS('12燃料'!$X:$X,ROW())=0,"",SUMIFS('12燃料'!$V:$V,'12燃料'!$X:$X,ROW(),'12燃料'!$AH:$AH,2))</f>
        <v/>
      </c>
      <c r="I31" s="345" t="str">
        <f t="shared" si="0"/>
        <v/>
      </c>
      <c r="J31" s="345" t="str">
        <f t="shared" si="1"/>
        <v/>
      </c>
      <c r="K31" s="346" t="str">
        <f>IF(COUNTIFS('12燃料'!$X:$X,ROW())=0,"",SUMIFS('12燃料'!$W:$W,'12燃料'!$X:$X,ROW(),'12燃料'!$AH:$AH,2))</f>
        <v/>
      </c>
      <c r="M31" s="575" t="str">
        <f>IF(COUNTIFS('12燃料'!$X:$X,ROW())=0,"",SUMIFS('12燃料'!$U:$U,'12燃料'!$X:$X,ROW()))</f>
        <v/>
      </c>
    </row>
    <row r="32" spans="1:13" ht="30.15" customHeight="1">
      <c r="A32" s="1810"/>
      <c r="B32" s="1813"/>
      <c r="C32" s="1365" t="s">
        <v>50</v>
      </c>
      <c r="D32" s="1366"/>
      <c r="E32" s="1681"/>
      <c r="F32" s="343" t="str">
        <f>IF(COUNTIFS('12燃料'!$X:$X,ROW())=0,"",ROUND(SUMIFS('12燃料'!$U:$U,'12燃料'!$X:$X,ROW(),'12燃料'!$AH:$AH,2),0))</f>
        <v/>
      </c>
      <c r="G32" s="347" t="s">
        <v>8</v>
      </c>
      <c r="H32" s="345" t="str">
        <f>IF(COUNTIFS('12燃料'!$X:$X,ROW())=0,"",SUMIFS('12燃料'!$V:$V,'12燃料'!$X:$X,ROW(),'12燃料'!$AH:$AH,2))</f>
        <v/>
      </c>
      <c r="I32" s="345" t="str">
        <f t="shared" si="0"/>
        <v/>
      </c>
      <c r="J32" s="345" t="str">
        <f t="shared" si="1"/>
        <v/>
      </c>
      <c r="K32" s="346" t="str">
        <f>IF(COUNTIFS('12燃料'!$X:$X,ROW())=0,"",SUMIFS('12燃料'!$W:$W,'12燃料'!$X:$X,ROW(),'12燃料'!$AH:$AH,2))</f>
        <v/>
      </c>
      <c r="M32" s="575" t="str">
        <f>IF(COUNTIFS('12燃料'!$X:$X,ROW())=0,"",SUMIFS('12燃料'!$U:$U,'12燃料'!$X:$X,ROW()))</f>
        <v/>
      </c>
    </row>
    <row r="33" spans="1:13" ht="30.15" customHeight="1">
      <c r="A33" s="1810"/>
      <c r="B33" s="1813"/>
      <c r="C33" s="1798" t="s">
        <v>32</v>
      </c>
      <c r="D33" s="1799"/>
      <c r="E33" s="1800"/>
      <c r="F33" s="349">
        <f>IF(COUNTIFS('13電気・熱_都市ガス'!$AP:$AP,ROW())=0,"",ROUND(SUMIFS('13電気・熱_都市ガス'!$AM:$AM,'13電気・熱_都市ガス'!$AP:$AP,ROW(),'13電気・熱_都市ガス'!$BI:$BI,2),0))</f>
        <v>0</v>
      </c>
      <c r="G33" s="347" t="s">
        <v>283</v>
      </c>
      <c r="H33" s="345">
        <f>IF(COUNTIFS('13電気・熱_都市ガス'!$AP:$AP,ROW())=0,"",SUMIFS('13電気・熱_都市ガス'!$AN:$AN,'13電気・熱_都市ガス'!$AP:$AP,ROW(),'13電気・熱_都市ガス'!$BI:$BI,2))</f>
        <v>0</v>
      </c>
      <c r="I33" s="345">
        <f t="shared" si="0"/>
        <v>0</v>
      </c>
      <c r="J33" s="345">
        <f t="shared" si="1"/>
        <v>0</v>
      </c>
      <c r="K33" s="346">
        <f>IF(COUNTIFS('13電気・熱_都市ガス'!$AP:$AP,ROW())=0,"",SUMIFS('13電気・熱_都市ガス'!$AO:$AO,'13電気・熱_都市ガス'!$AP:$AP,ROW(),'13電気・熱_都市ガス'!$BI:$BI,2))</f>
        <v>0</v>
      </c>
      <c r="M33" s="575">
        <f>IF(COUNTIFS('13電気・熱_都市ガス'!$AP:$AP,ROW())=0,"",SUMIFS('13電気・熱_都市ガス'!$AM:$AM,'13電気・熱_都市ガス'!$AP:$AP,ROW()))</f>
        <v>0</v>
      </c>
    </row>
    <row r="34" spans="1:13" ht="30.15" customHeight="1">
      <c r="A34" s="1810"/>
      <c r="B34" s="1813"/>
      <c r="C34" s="1801" t="s">
        <v>31</v>
      </c>
      <c r="D34" s="1802" t="str">
        <f>IF('0.事業所概要'!J25="","その他燃料①",'0.事業所概要'!J25)</f>
        <v>その他燃料①</v>
      </c>
      <c r="E34" s="1803"/>
      <c r="F34" s="343" t="str">
        <f>IF(COUNTIFS('12燃料'!$X:$X,ROW())=0,"",ROUND(SUMIFS('12燃料'!$U:$U,'12燃料'!$X:$X,ROW(),'12燃料'!$AH:$AH,2),0))</f>
        <v/>
      </c>
      <c r="G34" s="350" t="str">
        <f>IF('0.事業所概要'!L25="","",'0.事業所概要'!L25)</f>
        <v/>
      </c>
      <c r="H34" s="345" t="str">
        <f>IF(COUNTIFS('12燃料'!$X:$X,ROW())=0,"",SUMIFS('12燃料'!$V:$V,'12燃料'!$X:$X,ROW(),'12燃料'!$AH:$AH,2))</f>
        <v/>
      </c>
      <c r="I34" s="345" t="str">
        <f t="shared" si="0"/>
        <v/>
      </c>
      <c r="J34" s="345" t="str">
        <f t="shared" si="1"/>
        <v/>
      </c>
      <c r="K34" s="346" t="str">
        <f>IF(COUNTIFS('12燃料'!$X:$X,ROW())=0,"",SUMIFS('12燃料'!$W:$W,'12燃料'!$X:$X,ROW(),'12燃料'!$AH:$AH,2))</f>
        <v/>
      </c>
      <c r="M34" s="575" t="str">
        <f>IF(COUNTIFS('12燃料'!$X:$X,ROW())=0,"",SUMIFS('12燃料'!$U:$U,'12燃料'!$X:$X,ROW()))</f>
        <v/>
      </c>
    </row>
    <row r="35" spans="1:13" ht="30.15" customHeight="1">
      <c r="A35" s="1810"/>
      <c r="B35" s="1813"/>
      <c r="C35" s="1801"/>
      <c r="D35" s="1802" t="str">
        <f>IF('0.事業所概要'!J26="","その他燃料②",'0.事業所概要'!J26)</f>
        <v>その他燃料②</v>
      </c>
      <c r="E35" s="1803"/>
      <c r="F35" s="343" t="str">
        <f>IF(COUNTIFS('12燃料'!$X:$X,ROW())=0,"",ROUND(SUMIFS('12燃料'!$U:$U,'12燃料'!$X:$X,ROW(),'12燃料'!$AH:$AH,2),0))</f>
        <v/>
      </c>
      <c r="G35" s="350" t="str">
        <f>IF('0.事業所概要'!L26="","",'0.事業所概要'!L26)</f>
        <v/>
      </c>
      <c r="H35" s="345" t="str">
        <f>IF(COUNTIFS('12燃料'!$X:$X,ROW())=0,"",SUMIFS('12燃料'!$V:$V,'12燃料'!$X:$X,ROW(),'12燃料'!$AH:$AH,2))</f>
        <v/>
      </c>
      <c r="I35" s="345" t="str">
        <f t="shared" si="0"/>
        <v/>
      </c>
      <c r="J35" s="345" t="str">
        <f t="shared" si="1"/>
        <v/>
      </c>
      <c r="K35" s="346" t="str">
        <f>IF(COUNTIFS('12燃料'!$X:$X,ROW())=0,"",SUMIFS('12燃料'!$W:$W,'12燃料'!$X:$X,ROW(),'12燃料'!$AH:$AH,2))</f>
        <v/>
      </c>
      <c r="M35" s="575" t="str">
        <f>IF(COUNTIFS('12燃料'!$X:$X,ROW())=0,"",SUMIFS('12燃料'!$U:$U,'12燃料'!$X:$X,ROW()))</f>
        <v/>
      </c>
    </row>
    <row r="36" spans="1:13" ht="30.15" customHeight="1" thickBot="1">
      <c r="A36" s="1810"/>
      <c r="B36" s="171"/>
      <c r="C36" s="1696" t="s">
        <v>37</v>
      </c>
      <c r="D36" s="1776"/>
      <c r="E36" s="1697"/>
      <c r="F36" s="1774"/>
      <c r="G36" s="1775"/>
      <c r="H36" s="351">
        <f>IF(COUNT(H6:H35)=0,"",SUM(H6:H35))</f>
        <v>0</v>
      </c>
      <c r="I36" s="352">
        <f t="shared" ref="I36:K36" si="2">IF(COUNT(I6:I35)=0,"",SUM(I6:I35))</f>
        <v>0</v>
      </c>
      <c r="J36" s="352">
        <f t="shared" si="2"/>
        <v>0</v>
      </c>
      <c r="K36" s="353">
        <f t="shared" si="2"/>
        <v>0</v>
      </c>
    </row>
    <row r="37" spans="1:13" ht="30.15" customHeight="1" thickTop="1">
      <c r="A37" s="1810"/>
      <c r="B37" s="1777" t="s">
        <v>273</v>
      </c>
      <c r="C37" s="1780" t="s">
        <v>188</v>
      </c>
      <c r="D37" s="1783" t="s">
        <v>33</v>
      </c>
      <c r="E37" s="1784"/>
      <c r="F37" s="354" t="str">
        <f>IF(COUNTIFS('13電気・熱_都市ガス'!$AP:$AP,ROW())=0,"",ROUND(SUMIFS('13電気・熱_都市ガス'!$AM:$AM,'13電気・熱_都市ガス'!$AP:$AP,ROW(),'13電気・熱_都市ガス'!$BI:$BI,2),0))</f>
        <v/>
      </c>
      <c r="G37" s="355" t="s">
        <v>7</v>
      </c>
      <c r="H37" s="460" t="str">
        <f>IF(COUNTIFS('13電気・熱_都市ガス'!$AP:$AP,ROW())=0,"",SUMIFS('13電気・熱_都市ガス'!$AN:$AN,'13電気・熱_都市ガス'!$AP:$AP,ROW(),'13電気・熱_都市ガス'!$BI:$BI,2))</f>
        <v/>
      </c>
      <c r="I37" s="356" t="str">
        <f t="shared" si="0"/>
        <v/>
      </c>
      <c r="J37" s="356" t="str">
        <f t="shared" ref="J37:J42" si="3">IF(H37="","",H37*0.0258)</f>
        <v/>
      </c>
      <c r="K37" s="357" t="str">
        <f>IF(COUNTIFS('13電気・熱_都市ガス'!$AP:$AP,ROW())=0,"",SUMIFS('13電気・熱_都市ガス'!$AO:$AO,'13電気・熱_都市ガス'!$AP:$AP,ROW(),'13電気・熱_都市ガス'!$BI:$BI,2))</f>
        <v/>
      </c>
      <c r="M37" s="575" t="str">
        <f>IF(COUNTIFS('13電気・熱_都市ガス'!$AP:$AP,ROW())=0,"",SUMIFS('13電気・熱_都市ガス'!$AM:$AM,'13電気・熱_都市ガス'!$AP:$AP,ROW()))</f>
        <v/>
      </c>
    </row>
    <row r="38" spans="1:13" ht="30.15" customHeight="1">
      <c r="A38" s="1810"/>
      <c r="B38" s="1778"/>
      <c r="C38" s="1781"/>
      <c r="D38" s="1785" t="s">
        <v>34</v>
      </c>
      <c r="E38" s="1786"/>
      <c r="F38" s="343" t="str">
        <f>IF(COUNTIFS('13電気・熱_都市ガス'!$AP:$AP,ROW())=0,"",ROUND(SUMIFS('13電気・熱_都市ガス'!$AM:$AM,'13電気・熱_都市ガス'!$AP:$AP,ROW(),'13電気・熱_都市ガス'!$BI:$BI,2),0))</f>
        <v/>
      </c>
      <c r="G38" s="347" t="s">
        <v>7</v>
      </c>
      <c r="H38" s="461" t="str">
        <f>IF(COUNTIFS('13電気・熱_都市ガス'!$AP:$AP,ROW())=0,"",SUMIFS('13電気・熱_都市ガス'!$AN:$AN,'13電気・熱_都市ガス'!$AP:$AP,ROW(),'13電気・熱_都市ガス'!$BI:$BI,2))</f>
        <v/>
      </c>
      <c r="I38" s="345" t="str">
        <f t="shared" si="0"/>
        <v/>
      </c>
      <c r="J38" s="345" t="str">
        <f t="shared" si="3"/>
        <v/>
      </c>
      <c r="K38" s="346" t="str">
        <f>IF(COUNTIFS('13電気・熱_都市ガス'!$AP:$AP,ROW())=0,"",SUMIFS('13電気・熱_都市ガス'!$AO:$AO,'13電気・熱_都市ガス'!$AP:$AP,ROW(),'13電気・熱_都市ガス'!$BI:$BI,2))</f>
        <v/>
      </c>
      <c r="M38" s="575" t="str">
        <f>IF(COUNTIFS('13電気・熱_都市ガス'!$AP:$AP,ROW())=0,"",SUMIFS('13電気・熱_都市ガス'!$AM:$AM,'13電気・熱_都市ガス'!$AP:$AP,ROW()))</f>
        <v/>
      </c>
    </row>
    <row r="39" spans="1:13" ht="30.15" customHeight="1">
      <c r="A39" s="1810"/>
      <c r="B39" s="1778"/>
      <c r="C39" s="1781"/>
      <c r="D39" s="1365" t="s">
        <v>35</v>
      </c>
      <c r="E39" s="1681"/>
      <c r="F39" s="343" t="str">
        <f>IF(COUNTIFS('13電気・熱_都市ガス'!$AP:$AP,ROW())=0,"",ROUND(SUMIFS('13電気・熱_都市ガス'!$AM:$AM,'13電気・熱_都市ガス'!$AP:$AP,ROW(),'13電気・熱_都市ガス'!$BI:$BI,2),0))</f>
        <v/>
      </c>
      <c r="G39" s="347" t="s">
        <v>7</v>
      </c>
      <c r="H39" s="461" t="str">
        <f>IF(COUNTIFS('13電気・熱_都市ガス'!$AP:$AP,ROW())=0,"",SUMIFS('13電気・熱_都市ガス'!$AN:$AN,'13電気・熱_都市ガス'!$AP:$AP,ROW(),'13電気・熱_都市ガス'!$BI:$BI,2))</f>
        <v/>
      </c>
      <c r="I39" s="345" t="str">
        <f t="shared" si="0"/>
        <v/>
      </c>
      <c r="J39" s="345" t="str">
        <f t="shared" si="3"/>
        <v/>
      </c>
      <c r="K39" s="346" t="str">
        <f>IF(COUNTIFS('13電気・熱_都市ガス'!$AP:$AP,ROW())=0,"",SUMIFS('13電気・熱_都市ガス'!$AO:$AO,'13電気・熱_都市ガス'!$AP:$AP,ROW(),'13電気・熱_都市ガス'!$BI:$BI,2))</f>
        <v/>
      </c>
      <c r="M39" s="575" t="str">
        <f>IF(COUNTIFS('13電気・熱_都市ガス'!$AP:$AP,ROW())=0,"",SUMIFS('13電気・熱_都市ガス'!$AM:$AM,'13電気・熱_都市ガス'!$AP:$AP,ROW()))</f>
        <v/>
      </c>
    </row>
    <row r="40" spans="1:13" ht="30.15" customHeight="1">
      <c r="A40" s="1810"/>
      <c r="B40" s="1778"/>
      <c r="C40" s="1782"/>
      <c r="D40" s="1365" t="s">
        <v>36</v>
      </c>
      <c r="E40" s="1681"/>
      <c r="F40" s="343" t="str">
        <f>IF(COUNTIFS('13電気・熱_都市ガス'!$AP:$AP,ROW())=0,"",ROUND(SUMIFS('13電気・熱_都市ガス'!$AM:$AM,'13電気・熱_都市ガス'!$AP:$AP,ROW(),'13電気・熱_都市ガス'!$BI:$BI,2),0))</f>
        <v/>
      </c>
      <c r="G40" s="347" t="s">
        <v>7</v>
      </c>
      <c r="H40" s="461" t="str">
        <f>IF(COUNTIFS('13電気・熱_都市ガス'!$AP:$AP,ROW())=0,"",SUMIFS('13電気・熱_都市ガス'!$AN:$AN,'13電気・熱_都市ガス'!$AP:$AP,ROW(),'13電気・熱_都市ガス'!$BI:$BI,2))</f>
        <v/>
      </c>
      <c r="I40" s="345" t="str">
        <f t="shared" si="0"/>
        <v/>
      </c>
      <c r="J40" s="345" t="str">
        <f t="shared" si="3"/>
        <v/>
      </c>
      <c r="K40" s="346" t="str">
        <f>IF(COUNTIFS('13電気・熱_都市ガス'!$AP:$AP,ROW())=0,"",SUMIFS('13電気・熱_都市ガス'!$AO:$AO,'13電気・熱_都市ガス'!$AP:$AP,ROW(),'13電気・熱_都市ガス'!$BI:$BI,2))</f>
        <v/>
      </c>
      <c r="M40" s="575" t="str">
        <f>IF(COUNTIFS('13電気・熱_都市ガス'!$AP:$AP,ROW())=0,"",SUMIFS('13電気・熱_都市ガス'!$AM:$AM,'13電気・熱_都市ガス'!$AP:$AP,ROW()))</f>
        <v/>
      </c>
    </row>
    <row r="41" spans="1:13" ht="30.15" customHeight="1">
      <c r="A41" s="1810"/>
      <c r="B41" s="1778"/>
      <c r="C41" s="1787" t="s">
        <v>189</v>
      </c>
      <c r="D41" s="1769" t="s">
        <v>58</v>
      </c>
      <c r="E41" s="14" t="s">
        <v>56</v>
      </c>
      <c r="F41" s="358" t="str">
        <f>IF(COUNTIFS('14再エネ電気・熱'!$AS:$AS,ROW())=0,"",ROUND(SUMIFS('14再エネ電気・熱'!$AI:$AI,'14再エネ電気・熱'!$AS:$AS,ROW(),'14再エネ電気・熱'!$BE:$BE,2),0))</f>
        <v/>
      </c>
      <c r="G41" s="347" t="s">
        <v>7</v>
      </c>
      <c r="H41" s="345" t="str">
        <f>IF(COUNTIFS('14再エネ電気・熱'!$AS:$AS,ROW())=0,"",SUMIFS('14再エネ電気・熱'!$AJ:$AJ,'14再エネ電気・熱'!$AS:$AS,ROW(),'14再エネ電気・熱'!$BE:$BE,2))</f>
        <v/>
      </c>
      <c r="I41" s="345" t="str">
        <f t="shared" si="0"/>
        <v/>
      </c>
      <c r="J41" s="359"/>
      <c r="K41" s="346" t="str">
        <f>IF(COUNTIFS('14再エネ電気・熱'!$AS:$AS,ROW())=0,"",SUMIFS('14再エネ電気・熱'!$AL:$AL,'14再エネ電気・熱'!$AS:$AS,ROW(),'14再エネ電気・熱'!$BE:$BE,2))</f>
        <v/>
      </c>
      <c r="M41" s="575" t="str">
        <f>IF(COUNTIFS('14再エネ電気・熱'!$AS:$AS,ROW())=0,"",SUMIFS('14再エネ電気・熱'!$AI:$AI,'14再エネ電気・熱'!$AS:$AS,ROW()))</f>
        <v/>
      </c>
    </row>
    <row r="42" spans="1:13" ht="30.15" customHeight="1">
      <c r="A42" s="1810"/>
      <c r="B42" s="1778"/>
      <c r="C42" s="1788"/>
      <c r="D42" s="1770"/>
      <c r="E42" s="14" t="s">
        <v>57</v>
      </c>
      <c r="F42" s="358" t="str">
        <f>IF(COUNTIFS('14再エネ電気・熱'!$AS:$AS,ROW())=0,"",ROUND(SUMIFS('14再エネ電気・熱'!$AI:$AI,'14再エネ電気・熱'!$AS:$AS,ROW(),'14再エネ電気・熱'!$BE:$BE,2),0))</f>
        <v/>
      </c>
      <c r="G42" s="347" t="s">
        <v>7</v>
      </c>
      <c r="H42" s="345" t="str">
        <f>IF(COUNTIFS('14再エネ電気・熱'!$AS:$AS,ROW())=0,"",SUMIFS('14再エネ電気・熱'!$AJ:$AJ,'14再エネ電気・熱'!$AS:$AS,ROW(),'14再エネ電気・熱'!$BE:$BE,2))</f>
        <v/>
      </c>
      <c r="I42" s="345" t="str">
        <f t="shared" si="0"/>
        <v/>
      </c>
      <c r="J42" s="345" t="str">
        <f t="shared" si="3"/>
        <v/>
      </c>
      <c r="K42" s="346" t="str">
        <f>IF(COUNTIFS('14再エネ電気・熱'!$AS:$AS,ROW())=0,"",SUMIFS('14再エネ電気・熱'!$AL:$AL,'14再エネ電気・熱'!$AS:$AS,ROW(),'14再エネ電気・熱'!$BE:$BE,2))</f>
        <v/>
      </c>
      <c r="M42" s="575" t="str">
        <f>IF(COUNTIFS('14再エネ電気・熱'!$AS:$AS,ROW())=0,"",SUMIFS('14再エネ電気・熱'!$AI:$AI,'14再エネ電気・熱'!$AS:$AS,ROW()))</f>
        <v/>
      </c>
    </row>
    <row r="43" spans="1:13" ht="30.15" customHeight="1">
      <c r="A43" s="1810"/>
      <c r="B43" s="1778"/>
      <c r="C43" s="1788"/>
      <c r="D43" s="1769" t="s">
        <v>65</v>
      </c>
      <c r="E43" s="14" t="s">
        <v>56</v>
      </c>
      <c r="F43" s="358" t="str">
        <f>IF(COUNTIFS('14再エネ電気・熱'!$AS:$AS,ROW())=0,"",ROUND(SUMIFS('14再エネ電気・熱'!$AI:$AI,'14再エネ電気・熱'!$AS:$AS,ROW(),'14再エネ電気・熱'!$BE:$BE,2),0))</f>
        <v/>
      </c>
      <c r="G43" s="347" t="s">
        <v>7</v>
      </c>
      <c r="H43" s="345" t="str">
        <f>IF(COUNTIFS('14再エネ電気・熱'!$AS:$AS,ROW())=0,"",SUMIFS('14再エネ電気・熱'!$AJ:$AJ,'14再エネ電気・熱'!$AS:$AS,ROW(),'14再エネ電気・熱'!$BE:$BE,2))</f>
        <v/>
      </c>
      <c r="I43" s="345" t="str">
        <f t="shared" si="0"/>
        <v/>
      </c>
      <c r="J43" s="360"/>
      <c r="K43" s="346" t="str">
        <f>IF(COUNTIFS('14再エネ電気・熱'!$AS:$AS,ROW())=0,"",SUMIFS('14再エネ電気・熱'!$AL:$AL,'14再エネ電気・熱'!$AS:$AS,ROW(),'14再エネ電気・熱'!$BE:$BE,2))</f>
        <v/>
      </c>
      <c r="M43" s="575" t="str">
        <f>IF(COUNTIFS('14再エネ電気・熱'!$AS:$AS,ROW())=0,"",SUMIFS('14再エネ電気・熱'!$AI:$AI,'14再エネ電気・熱'!$AS:$AS,ROW()))</f>
        <v/>
      </c>
    </row>
    <row r="44" spans="1:13" ht="30.15" customHeight="1">
      <c r="A44" s="1810"/>
      <c r="B44" s="1778"/>
      <c r="C44" s="1788"/>
      <c r="D44" s="1770"/>
      <c r="E44" s="14" t="s">
        <v>57</v>
      </c>
      <c r="F44" s="358" t="str">
        <f>IF(COUNTIFS('14再エネ電気・熱'!$AS:$AS,ROW())=0,"",ROUND(SUMIFS('14再エネ電気・熱'!$AI:$AI,'14再エネ電気・熱'!$AS:$AS,ROW(),'14再エネ電気・熱'!$BE:$BE,2),0))</f>
        <v/>
      </c>
      <c r="G44" s="347" t="s">
        <v>7</v>
      </c>
      <c r="H44" s="345" t="str">
        <f>IF(COUNTIFS('14再エネ電気・熱'!$AS:$AS,ROW())=0,"",SUMIFS('14再エネ電気・熱'!$AJ:$AJ,'14再エネ電気・熱'!$AS:$AS,ROW(),'14再エネ電気・熱'!$BE:$BE,2))</f>
        <v/>
      </c>
      <c r="I44" s="345" t="str">
        <f t="shared" si="0"/>
        <v/>
      </c>
      <c r="J44" s="345" t="str">
        <f t="shared" ref="J44:J45" si="4">IF(H44="","",H44*0.0258)</f>
        <v/>
      </c>
      <c r="K44" s="346" t="str">
        <f>IF(COUNTIFS('14再エネ電気・熱'!$AS:$AS,ROW())=0,"",SUMIFS('14再エネ電気・熱'!$AL:$AL,'14再エネ電気・熱'!$AS:$AS,ROW(),'14再エネ電気・熱'!$BE:$BE,2))</f>
        <v/>
      </c>
      <c r="M44" s="575" t="str">
        <f>IF(COUNTIFS('14再エネ電気・熱'!$AS:$AS,ROW())=0,"",SUMIFS('14再エネ電気・熱'!$AI:$AI,'14再エネ電気・熱'!$AS:$AS,ROW()))</f>
        <v/>
      </c>
    </row>
    <row r="45" spans="1:13" ht="45" customHeight="1">
      <c r="A45" s="1810"/>
      <c r="B45" s="1778"/>
      <c r="C45" s="1789"/>
      <c r="D45" s="1670" t="s">
        <v>186</v>
      </c>
      <c r="E45" s="1671"/>
      <c r="F45" s="358" t="str">
        <f>IF(COUNTIFS('14再エネ電気・熱'!$AS:$AS,ROW())=0,"",ROUND(SUMIFS('14再エネ電気・熱'!$AI:$AI,'14再エネ電気・熱'!$AS:$AS,ROW(),'14再エネ電気・熱'!$BE:$BE,2),0))</f>
        <v/>
      </c>
      <c r="G45" s="347" t="s">
        <v>7</v>
      </c>
      <c r="H45" s="345" t="str">
        <f>IF(COUNTIFS('14再エネ電気・熱'!$AS:$AS,ROW())=0,"",SUMIFS('14再エネ電気・熱'!$AJ:$AJ,'14再エネ電気・熱'!$AS:$AS,ROW(),'14再エネ電気・熱'!$BE:$BE,2))</f>
        <v/>
      </c>
      <c r="I45" s="345" t="str">
        <f t="shared" si="0"/>
        <v/>
      </c>
      <c r="J45" s="345" t="str">
        <f t="shared" si="4"/>
        <v/>
      </c>
      <c r="K45" s="346" t="str">
        <f>IF(COUNTIFS('14再エネ電気・熱'!$AS:$AS,ROW())=0,"",SUMIFS('14再エネ電気・熱'!$AL:$AL,'14再エネ電気・熱'!$AS:$AS,ROW(),'14再エネ電気・熱'!$BE:$BE,2))</f>
        <v/>
      </c>
      <c r="M45" s="575" t="str">
        <f>IF(COUNTIFS('14再エネ電気・熱'!$AS:$AS,ROW())=0,"",SUMIFS('14再エネ電気・熱'!$AI:$AI,'14再エネ電気・熱'!$AS:$AS,ROW()))</f>
        <v/>
      </c>
    </row>
    <row r="46" spans="1:13" ht="35.15" customHeight="1" thickBot="1">
      <c r="A46" s="1810"/>
      <c r="B46" s="1779"/>
      <c r="C46" s="1790" t="s">
        <v>37</v>
      </c>
      <c r="D46" s="1791"/>
      <c r="E46" s="1792"/>
      <c r="F46" s="1793"/>
      <c r="G46" s="1794"/>
      <c r="H46" s="363" t="str">
        <f>IF(COUNT(H37:H45)=0,"",SUM(H37:H45))</f>
        <v/>
      </c>
      <c r="I46" s="364" t="str">
        <f t="shared" ref="I46:K46" si="5">IF(COUNT(I37:I45)=0,"",SUM(I37:I45))</f>
        <v/>
      </c>
      <c r="J46" s="364" t="str">
        <f>IF(COUNT(J37:J45)=0,"",SUM(J37:J45))</f>
        <v/>
      </c>
      <c r="K46" s="353" t="str">
        <f t="shared" si="5"/>
        <v/>
      </c>
    </row>
    <row r="47" spans="1:13" ht="35.25" customHeight="1" thickTop="1">
      <c r="A47" s="1810"/>
      <c r="B47" s="1762" t="s">
        <v>274</v>
      </c>
      <c r="C47" s="764" t="s">
        <v>192</v>
      </c>
      <c r="D47" s="1764" t="s">
        <v>190</v>
      </c>
      <c r="E47" s="1765"/>
      <c r="F47" s="343">
        <f>IF(COUNTIFS('13電気・熱_都市ガス'!$AP:$AP,ROW())=0,"",ROUND(SUMIFS('13電気・熱_都市ガス'!$AM:$AM,'13電気・熱_都市ガス'!$AP:$AP,ROW(),'13電気・熱_都市ガス'!$BI:$BI,2),0))</f>
        <v>0</v>
      </c>
      <c r="G47" s="347" t="s">
        <v>38</v>
      </c>
      <c r="H47" s="345">
        <f>IF(COUNTIFS('13電気・熱_都市ガス'!$AP:$AP,ROW())=0,"",SUMIFS('13電気・熱_都市ガス'!$AN:$AN,'13電気・熱_都市ガス'!$AP:$AP,ROW(),'13電気・熱_都市ガス'!$BI:$BI,2))</f>
        <v>0</v>
      </c>
      <c r="I47" s="345">
        <f t="shared" ref="I47:I52" si="6">IF(H47="","",H47*0.0258)</f>
        <v>0</v>
      </c>
      <c r="J47" s="345">
        <f t="shared" ref="J47" si="7">IF(H47="","",H47*0.0258)</f>
        <v>0</v>
      </c>
      <c r="K47" s="365">
        <f>IF(COUNTIFS('13電気・熱_都市ガス'!$AP:$AP,ROW())=0,"",SUMIFS('13電気・熱_都市ガス'!$AO:$AO,'13電気・熱_都市ガス'!$AP:$AP,ROW(),'13電気・熱_都市ガス'!$BI:$BI,2))</f>
        <v>0</v>
      </c>
      <c r="M47" s="575">
        <f>IF(COUNTIFS('13電気・熱_都市ガス'!$AP:$AP,ROW())=0,"",SUMIFS('13電気・熱_都市ガス'!$AM:$AM,'13電気・熱_都市ガス'!$AP:$AP,ROW()))</f>
        <v>0</v>
      </c>
    </row>
    <row r="48" spans="1:13" ht="30" customHeight="1">
      <c r="A48" s="1810"/>
      <c r="B48" s="1762"/>
      <c r="C48" s="1766" t="s">
        <v>189</v>
      </c>
      <c r="D48" s="1769" t="s">
        <v>66</v>
      </c>
      <c r="E48" s="14" t="s">
        <v>56</v>
      </c>
      <c r="F48" s="349">
        <f>IF(COUNTIFS('14再エネ電気・熱'!$AS:$AS,ROW())=0,"",ROUND(SUMIFS('14再エネ電気・熱'!$AI:$AI,'14再エネ電気・熱'!$AS:$AS,ROW(),'14再エネ電気・熱'!$BE:$BE,2),0))</f>
        <v>0</v>
      </c>
      <c r="G48" s="347" t="s">
        <v>38</v>
      </c>
      <c r="H48" s="345">
        <f>IF(COUNTIFS('14再エネ電気・熱'!$AS:$AS,ROW())=0,"",SUMIFS('14再エネ電気・熱'!$AJ:$AJ,'14再エネ電気・熱'!$AS:$AS,ROW(),'14再エネ電気・熱'!$BE:$BE,2))</f>
        <v>0</v>
      </c>
      <c r="I48" s="345">
        <f t="shared" si="6"/>
        <v>0</v>
      </c>
      <c r="J48" s="366"/>
      <c r="K48" s="346">
        <f>IF(COUNTIFS('14再エネ電気・熱'!$AS:$AS,ROW())=0,"",SUMIFS('14再エネ電気・熱'!$AL:$AL,'14再エネ電気・熱'!$AS:$AS,ROW(),'14再エネ電気・熱'!$BE:$BE,2))</f>
        <v>0</v>
      </c>
      <c r="M48" s="575">
        <f>IF(COUNTIFS('14再エネ電気・熱'!$AS:$AS,ROW())=0,"",SUMIFS('14再エネ電気・熱'!$AI:$AI,'14再エネ電気・熱'!$AS:$AS,ROW()))</f>
        <v>0</v>
      </c>
    </row>
    <row r="49" spans="1:13" ht="30.15" customHeight="1">
      <c r="A49" s="1810"/>
      <c r="B49" s="1762"/>
      <c r="C49" s="1767"/>
      <c r="D49" s="1770"/>
      <c r="E49" s="14" t="s">
        <v>57</v>
      </c>
      <c r="F49" s="343">
        <f>IF(COUNTIFS('14再エネ電気・熱'!$AS:$AS,ROW())=0,"",ROUND(SUMIFS('14再エネ電気・熱'!$AI:$AI,'14再エネ電気・熱'!$AS:$AS,ROW(),'14再エネ電気・熱'!$BE:$BE,2),0))</f>
        <v>0</v>
      </c>
      <c r="G49" s="347" t="s">
        <v>38</v>
      </c>
      <c r="H49" s="345">
        <f>IF(COUNTIFS('14再エネ電気・熱'!$AS:$AS,ROW())=0,"",SUMIFS('14再エネ電気・熱'!$AJ:$AJ,'14再エネ電気・熱'!$AS:$AS,ROW(),'14再エネ電気・熱'!$BE:$BE,2))</f>
        <v>0</v>
      </c>
      <c r="I49" s="345">
        <f t="shared" si="6"/>
        <v>0</v>
      </c>
      <c r="J49" s="345">
        <f t="shared" ref="J49" si="8">IF(H49="","",H49*0.0258)</f>
        <v>0</v>
      </c>
      <c r="K49" s="346">
        <f>IF(COUNTIFS('14再エネ電気・熱'!$AS:$AS,ROW())=0,"",SUMIFS('14再エネ電気・熱'!$AL:$AL,'14再エネ電気・熱'!$AS:$AS,ROW(),'14再エネ電気・熱'!$BE:$BE,2))</f>
        <v>0</v>
      </c>
      <c r="M49" s="575">
        <f>IF(COUNTIFS('14再エネ電気・熱'!$AS:$AS,ROW())=0,"",SUMIFS('14再エネ電気・熱'!$AI:$AI,'14再エネ電気・熱'!$AS:$AS,ROW()))</f>
        <v>0</v>
      </c>
    </row>
    <row r="50" spans="1:13" ht="30.15" customHeight="1">
      <c r="A50" s="1810"/>
      <c r="B50" s="1762"/>
      <c r="C50" s="1767"/>
      <c r="D50" s="1769" t="s">
        <v>67</v>
      </c>
      <c r="E50" s="14" t="s">
        <v>56</v>
      </c>
      <c r="F50" s="343" t="str">
        <f>IF(COUNTIFS('14再エネ電気・熱'!$AS:$AS,ROW())=0,"",ROUND(SUMIFS('14再エネ電気・熱'!$AI:$AI,'14再エネ電気・熱'!$AS:$AS,ROW(),'14再エネ電気・熱'!$BE:$BE,2),0))</f>
        <v/>
      </c>
      <c r="G50" s="347" t="s">
        <v>38</v>
      </c>
      <c r="H50" s="345" t="str">
        <f>IF(COUNTIFS('14再エネ電気・熱'!$AS:$AS,ROW())=0,"",SUMIFS('14再エネ電気・熱'!$AJ:$AJ,'14再エネ電気・熱'!$AS:$AS,ROW(),'14再エネ電気・熱'!$BE:$BE,2))</f>
        <v/>
      </c>
      <c r="I50" s="345" t="str">
        <f t="shared" si="6"/>
        <v/>
      </c>
      <c r="J50" s="367"/>
      <c r="K50" s="346" t="str">
        <f>IF(COUNTIFS('14再エネ電気・熱'!$AS:$AS,ROW())=0,"",SUMIFS('14再エネ電気・熱'!$AL:$AL,'14再エネ電気・熱'!$AS:$AS,ROW(),'14再エネ電気・熱'!$BE:$BE,2))</f>
        <v/>
      </c>
      <c r="M50" s="575" t="str">
        <f>IF(COUNTIFS('14再エネ電気・熱'!$AS:$AS,ROW())=0,"",SUMIFS('14再エネ電気・熱'!$AI:$AI,'14再エネ電気・熱'!$AS:$AS,ROW()))</f>
        <v/>
      </c>
    </row>
    <row r="51" spans="1:13" ht="30.15" customHeight="1">
      <c r="A51" s="1810"/>
      <c r="B51" s="1762"/>
      <c r="C51" s="1767"/>
      <c r="D51" s="1770"/>
      <c r="E51" s="14" t="s">
        <v>57</v>
      </c>
      <c r="F51" s="343" t="str">
        <f>IF(COUNTIFS('14再エネ電気・熱'!$AS:$AS,ROW())=0,"",ROUND(SUMIFS('14再エネ電気・熱'!$AI:$AI,'14再エネ電気・熱'!$AS:$AS,ROW(),'14再エネ電気・熱'!$BE:$BE,2),0))</f>
        <v/>
      </c>
      <c r="G51" s="347" t="s">
        <v>38</v>
      </c>
      <c r="H51" s="345" t="str">
        <f>IF(COUNTIFS('14再エネ電気・熱'!$AS:$AS,ROW())=0,"",SUMIFS('14再エネ電気・熱'!$AJ:$AJ,'14再エネ電気・熱'!$AS:$AS,ROW(),'14再エネ電気・熱'!$BE:$BE,2))</f>
        <v/>
      </c>
      <c r="I51" s="345" t="str">
        <f t="shared" si="6"/>
        <v/>
      </c>
      <c r="J51" s="345" t="str">
        <f t="shared" ref="J51:J52" si="9">IF(H51="","",H51*0.0258)</f>
        <v/>
      </c>
      <c r="K51" s="346" t="str">
        <f>IF(COUNTIFS('14再エネ電気・熱'!$AS:$AS,ROW())=0,"",SUMIFS('14再エネ電気・熱'!$AL:$AL,'14再エネ電気・熱'!$AS:$AS,ROW(),'14再エネ電気・熱'!$BE:$BE,2))</f>
        <v/>
      </c>
      <c r="M51" s="575" t="str">
        <f>IF(COUNTIFS('14再エネ電気・熱'!$AS:$AS,ROW())=0,"",SUMIFS('14再エネ電気・熱'!$AI:$AI,'14再エネ電気・熱'!$AS:$AS,ROW()))</f>
        <v/>
      </c>
    </row>
    <row r="52" spans="1:13" ht="45" customHeight="1">
      <c r="A52" s="1810"/>
      <c r="B52" s="1762"/>
      <c r="C52" s="1767"/>
      <c r="D52" s="1670" t="s">
        <v>186</v>
      </c>
      <c r="E52" s="1671"/>
      <c r="F52" s="343" t="str">
        <f>IF(COUNTIFS('14再エネ電気・熱'!$AS:$AS,ROW())=0,"",ROUND(SUMIFS('14再エネ電気・熱'!$AI:$AI,'14再エネ電気・熱'!$AS:$AS,ROW(),'14再エネ電気・熱'!$BE:$BE,2),0))</f>
        <v/>
      </c>
      <c r="G52" s="348" t="s">
        <v>38</v>
      </c>
      <c r="H52" s="345" t="str">
        <f>IF(COUNTIFS('14再エネ電気・熱'!$AS:$AS,ROW())=0,"",SUMIFS('14再エネ電気・熱'!$AJ:$AJ,'14再エネ電気・熱'!$AS:$AS,ROW(),'14再エネ電気・熱'!$BE:$BE,2))</f>
        <v/>
      </c>
      <c r="I52" s="345" t="str">
        <f t="shared" si="6"/>
        <v/>
      </c>
      <c r="J52" s="345" t="str">
        <f t="shared" si="9"/>
        <v/>
      </c>
      <c r="K52" s="346" t="str">
        <f>IF(COUNTIFS('14再エネ電気・熱'!$AS:$AS,ROW())=0,"",SUMIFS('14再エネ電気・熱'!$AL:$AL,'14再エネ電気・熱'!$AS:$AS,ROW(),'14再エネ電気・熱'!$BE:$BE,2))</f>
        <v/>
      </c>
      <c r="M52" s="575" t="str">
        <f>IF(COUNTIFS('14再エネ電気・熱'!$AS:$AS,ROW())=0,"",SUMIFS('14再エネ電気・熱'!$AI:$AI,'14再エネ電気・熱'!$AS:$AS,ROW()))</f>
        <v/>
      </c>
    </row>
    <row r="53" spans="1:13" ht="45" customHeight="1">
      <c r="A53" s="1810"/>
      <c r="B53" s="1762"/>
      <c r="C53" s="1768"/>
      <c r="D53" s="1670" t="s">
        <v>187</v>
      </c>
      <c r="E53" s="1671"/>
      <c r="F53" s="343" t="str">
        <f>IF(COUNTIFS('14再エネ電気・熱'!$AS:$AS,ROW())=0,"",ROUND(SUMIFS('14再エネ電気・熱'!$AI:$AI,'14再エネ電気・熱'!$AS:$AS,ROW(),'14再エネ電気・熱'!$BE:$BE,2),0))</f>
        <v/>
      </c>
      <c r="G53" s="347" t="s">
        <v>38</v>
      </c>
      <c r="H53" s="368"/>
      <c r="I53" s="367"/>
      <c r="J53" s="367"/>
      <c r="K53" s="346" t="str">
        <f>IF(COUNTIFS('14再エネ電気・熱'!$AS:$AS,ROW())=0,"",SUMIFS('14再エネ電気・熱'!$AL:$AL,'14再エネ電気・熱'!$AS:$AS,ROW(),'14再エネ電気・熱'!$BE:$BE,2))</f>
        <v/>
      </c>
      <c r="M53" s="575" t="str">
        <f>IF(COUNTIFS('14再エネ電気・熱'!$AS:$AS,ROW())=0,"",SUMIFS('14再エネ電気・熱'!$AI:$AI,'14再エネ電気・熱'!$AS:$AS,ROW()))</f>
        <v/>
      </c>
    </row>
    <row r="54" spans="1:13" ht="35.15" customHeight="1" thickBot="1">
      <c r="A54" s="1811"/>
      <c r="B54" s="1763"/>
      <c r="C54" s="1771" t="s">
        <v>37</v>
      </c>
      <c r="D54" s="1772"/>
      <c r="E54" s="1773"/>
      <c r="F54" s="1774"/>
      <c r="G54" s="1775"/>
      <c r="H54" s="369">
        <f>IF(COUNT(H47:H53)=0,"",SUM(H47:H53))</f>
        <v>0</v>
      </c>
      <c r="I54" s="370">
        <f t="shared" ref="I54:K54" si="10">IF(COUNT(I47:I53)=0,"",SUM(I47:I53))</f>
        <v>0</v>
      </c>
      <c r="J54" s="371">
        <f t="shared" si="10"/>
        <v>0</v>
      </c>
      <c r="K54" s="372">
        <f t="shared" si="10"/>
        <v>0</v>
      </c>
    </row>
    <row r="55" spans="1:13" ht="35.15" customHeight="1" thickTop="1">
      <c r="A55" s="15"/>
      <c r="B55" s="16"/>
      <c r="C55" s="17"/>
      <c r="D55" s="17"/>
      <c r="E55" s="17"/>
      <c r="F55" s="18"/>
      <c r="G55" s="18"/>
      <c r="H55" s="110"/>
      <c r="I55" s="20"/>
      <c r="J55" s="19"/>
      <c r="K55" s="110" t="s">
        <v>268</v>
      </c>
    </row>
    <row r="56" spans="1:13" ht="35.15" customHeight="1" thickBot="1">
      <c r="A56" s="4" t="s">
        <v>266</v>
      </c>
      <c r="B56" s="21"/>
      <c r="C56" s="22"/>
      <c r="D56" s="22"/>
      <c r="E56" s="22"/>
      <c r="F56" s="23"/>
      <c r="G56" s="23"/>
      <c r="H56" s="24"/>
      <c r="I56" s="26"/>
      <c r="J56" s="25"/>
      <c r="K56" s="24"/>
    </row>
    <row r="57" spans="1:13" ht="51.75" customHeight="1">
      <c r="A57" s="1737" t="s">
        <v>265</v>
      </c>
      <c r="B57" s="1711" t="s">
        <v>1</v>
      </c>
      <c r="C57" s="1740"/>
      <c r="D57" s="1740"/>
      <c r="E57" s="1717"/>
      <c r="F57" s="1742" t="s">
        <v>1900</v>
      </c>
      <c r="G57" s="1743"/>
      <c r="H57" s="8" t="s">
        <v>2</v>
      </c>
      <c r="I57" s="170" t="s">
        <v>51</v>
      </c>
      <c r="J57" s="170" t="s">
        <v>52</v>
      </c>
      <c r="K57" s="116" t="s">
        <v>3</v>
      </c>
    </row>
    <row r="58" spans="1:13" ht="20" thickBot="1">
      <c r="A58" s="1738"/>
      <c r="B58" s="1713"/>
      <c r="C58" s="1741"/>
      <c r="D58" s="1741"/>
      <c r="E58" s="1718"/>
      <c r="F58" s="27"/>
      <c r="G58" s="28"/>
      <c r="H58" s="29" t="s">
        <v>7</v>
      </c>
      <c r="I58" s="30" t="s">
        <v>8</v>
      </c>
      <c r="J58" s="30" t="s">
        <v>8</v>
      </c>
      <c r="K58" s="31" t="s">
        <v>177</v>
      </c>
    </row>
    <row r="59" spans="1:13" ht="30.15" customHeight="1" thickTop="1">
      <c r="A59" s="1738"/>
      <c r="B59" s="1744" t="s">
        <v>39</v>
      </c>
      <c r="C59" s="1746" t="s">
        <v>40</v>
      </c>
      <c r="D59" s="1747"/>
      <c r="E59" s="1748"/>
      <c r="F59" s="373" t="str">
        <f>IF(COUNTIFS('13電気・熱_都市ガス'!$AP:$AP,ROW())=0,"",ROUND(SUMIFS('13電気・熱_都市ガス'!$AM:$AM,'13電気・熱_都市ガス'!$AP:$AP,ROW(),'13電気・熱_都市ガス'!$BI:$BI,2),0))</f>
        <v/>
      </c>
      <c r="G59" s="355" t="s">
        <v>7</v>
      </c>
      <c r="H59" s="513" t="str">
        <f>IF(COUNTIFS('13電気・熱_都市ガス'!$AP:$AP,ROW())=0,"",SUMIFS('13電気・熱_都市ガス'!$AN:$AN,'13電気・熱_都市ガス'!$AP:$AP,ROW(),'13電気・熱_都市ガス'!$BI:$BI,2))</f>
        <v/>
      </c>
      <c r="I59" s="514" t="str">
        <f>IF(H59="","",H59*0.0258)</f>
        <v/>
      </c>
      <c r="J59" s="513" t="str">
        <f>IF(H59="","",H59*0.0258)</f>
        <v/>
      </c>
      <c r="K59" s="374" t="str">
        <f>IF(COUNTIFS('13電気・熱_都市ガス'!$AP:$AP,ROW())=0,"",SUMIFS('13電気・熱_都市ガス'!$AO:$AO,'13電気・熱_都市ガス'!$AP:$AP,ROW(),'13電気・熱_都市ガス'!$BI:$BI,2))</f>
        <v/>
      </c>
      <c r="M59" s="575" t="str">
        <f>IF(COUNTIFS('13電気・熱_都市ガス'!$AP:$AP,ROW())=0,"",-1*SUMIFS('13電気・熱_都市ガス'!$AM:$AM,'13電気・熱_都市ガス'!$AP:$AP,ROW()))</f>
        <v/>
      </c>
    </row>
    <row r="60" spans="1:13" ht="30.15" customHeight="1">
      <c r="A60" s="1738"/>
      <c r="B60" s="1745"/>
      <c r="C60" s="1749" t="s">
        <v>41</v>
      </c>
      <c r="D60" s="1726"/>
      <c r="E60" s="1727"/>
      <c r="F60" s="375" t="str">
        <f>IF(COUNTIFS('13電気・熱_都市ガス'!$AP:$AP,ROW())=0,"",ROUND(SUMIFS('13電気・熱_都市ガス'!$AM:$AM,'13電気・熱_都市ガス'!$AP:$AP,ROW(),'13電気・熱_都市ガス'!$BI:$BI,2),0))</f>
        <v/>
      </c>
      <c r="G60" s="347" t="s">
        <v>38</v>
      </c>
      <c r="H60" s="515" t="str">
        <f>IF(COUNTIFS('13電気・熱_都市ガス'!$AP:$AP,ROW())=0,"",SUMIFS('13電気・熱_都市ガス'!$AN:$AN,'13電気・熱_都市ガス'!$AP:$AP,ROW(),'13電気・熱_都市ガス'!$BI:$BI,2))</f>
        <v/>
      </c>
      <c r="I60" s="516" t="str">
        <f>IF(H60="","",H60*0.0258)</f>
        <v/>
      </c>
      <c r="J60" s="515" t="str">
        <f>IF(H60="","",H60*0.0258)</f>
        <v/>
      </c>
      <c r="K60" s="376" t="str">
        <f>IF(COUNTIFS('13電気・熱_都市ガス'!$AP:$AP,ROW())=0,"",SUMIFS('13電気・熱_都市ガス'!$AO:$AO,'13電気・熱_都市ガス'!$AP:$AP,ROW(),'13電気・熱_都市ガス'!$BI:$BI,2))</f>
        <v/>
      </c>
      <c r="M60" s="575" t="str">
        <f>IF(COUNTIFS('13電気・熱_都市ガス'!$AP:$AP,ROW())=0,"",-1*SUMIFS('13電気・熱_都市ガス'!$AM:$AM,'13電気・熱_都市ガス'!$AP:$AP,ROW()))</f>
        <v/>
      </c>
    </row>
    <row r="61" spans="1:13" ht="31.5" customHeight="1" thickBot="1">
      <c r="A61" s="1738"/>
      <c r="B61" s="1745"/>
      <c r="C61" s="1750" t="s">
        <v>37</v>
      </c>
      <c r="D61" s="1731"/>
      <c r="E61" s="1732"/>
      <c r="F61" s="1751"/>
      <c r="G61" s="1752"/>
      <c r="H61" s="517" t="str">
        <f>IF(COUNT(H59:H60)=0,"",SUM(H59:H60))</f>
        <v/>
      </c>
      <c r="I61" s="517" t="str">
        <f t="shared" ref="I61:J61" si="11">IF(COUNT(I59:I60)=0,"",SUM(I59:I60))</f>
        <v/>
      </c>
      <c r="J61" s="517" t="str">
        <f t="shared" si="11"/>
        <v/>
      </c>
      <c r="K61" s="372" t="str">
        <f>IF(COUNT(K59:K60)=0,"",SUM(K59:K60))</f>
        <v/>
      </c>
    </row>
    <row r="62" spans="1:13" ht="30" customHeight="1" thickTop="1">
      <c r="A62" s="1738"/>
      <c r="B62" s="1753" t="s">
        <v>1996</v>
      </c>
      <c r="C62" s="1747" t="s">
        <v>59</v>
      </c>
      <c r="D62" s="1747"/>
      <c r="E62" s="1748"/>
      <c r="F62" s="1755"/>
      <c r="G62" s="1756"/>
      <c r="H62" s="377"/>
      <c r="I62" s="378"/>
      <c r="J62" s="379"/>
      <c r="K62" s="462" t="str">
        <f>IF(COUNTIFS('18証書_森林吸収量'!$N$6:$N$58,ROW())=0,"",-1*SUMIFS('18証書_森林吸収量'!$F$6:$F$58,'18証書_森林吸収量'!$N$6:$N$58,ROW(),'18証書_森林吸収量'!$S$6:$S$58,2))</f>
        <v/>
      </c>
      <c r="M62" s="575" t="str">
        <f>IF(COUNTIFS('18証書_森林吸収量'!$N$6:$N$58,ROW())=0,"",-1*SUMIFS('18証書_森林吸収量'!$F$6:$F$58,'18証書_森林吸収量'!$N$6:$N$58,ROW()))</f>
        <v/>
      </c>
    </row>
    <row r="63" spans="1:13" ht="30" customHeight="1">
      <c r="A63" s="1738"/>
      <c r="B63" s="1754"/>
      <c r="C63" s="1726" t="s">
        <v>64</v>
      </c>
      <c r="D63" s="1726"/>
      <c r="E63" s="1727"/>
      <c r="F63" s="1728"/>
      <c r="G63" s="1729"/>
      <c r="H63" s="381"/>
      <c r="I63" s="382"/>
      <c r="J63" s="383"/>
      <c r="K63" s="362" t="str">
        <f>IF(COUNTIFS('18証書_森林吸収量'!$N$6:$N$58,ROW())=0,"",-1*SUMIFS('18証書_森林吸収量'!$F$6:$F$58,'18証書_森林吸収量'!$N$6:$N$58,ROW(),'18証書_森林吸収量'!$S$6:$S$58,2))</f>
        <v/>
      </c>
      <c r="M63" s="575" t="str">
        <f>IF(COUNTIFS('18証書_森林吸収量'!$N$6:$N$58,ROW())=0,"",-1*SUMIFS('18証書_森林吸収量'!$F$6:$F$58,'18証書_森林吸収量'!$N$6:$N$58,ROW()))</f>
        <v/>
      </c>
    </row>
    <row r="64" spans="1:13" ht="30" customHeight="1">
      <c r="A64" s="1738"/>
      <c r="B64" s="1754"/>
      <c r="C64" s="1726" t="s">
        <v>60</v>
      </c>
      <c r="D64" s="1726"/>
      <c r="E64" s="1727"/>
      <c r="F64" s="1728"/>
      <c r="G64" s="1729"/>
      <c r="H64" s="381"/>
      <c r="I64" s="382"/>
      <c r="J64" s="383"/>
      <c r="K64" s="362" t="str">
        <f>IF(COUNTIFS('18証書_森林吸収量'!$N$6:$N$58,ROW())=0,"",-1*SUMIFS('18証書_森林吸収量'!$F$6:$F$58,'18証書_森林吸収量'!$N$6:$N$58,ROW(),'18証書_森林吸収量'!$S$6:$S$58,2))</f>
        <v/>
      </c>
      <c r="M64" s="575" t="str">
        <f>IF(COUNTIFS('18証書_森林吸収量'!$N$6:$N$58,ROW())=0,"",-1*SUMIFS('18証書_森林吸収量'!$F$6:$F$58,'18証書_森林吸収量'!$N$6:$N$58,ROW()))</f>
        <v/>
      </c>
    </row>
    <row r="65" spans="1:13" ht="30" customHeight="1">
      <c r="A65" s="1738"/>
      <c r="B65" s="1754"/>
      <c r="C65" s="1749" t="s">
        <v>61</v>
      </c>
      <c r="D65" s="1726"/>
      <c r="E65" s="1727"/>
      <c r="F65" s="1728"/>
      <c r="G65" s="1729"/>
      <c r="H65" s="381"/>
      <c r="I65" s="382"/>
      <c r="J65" s="383"/>
      <c r="K65" s="362" t="str">
        <f>IF(COUNTIFS('18証書_森林吸収量'!$N$6:$N$58,ROW())=0,"",-1*SUMIFS('18証書_森林吸収量'!$F$6:$F$58,'18証書_森林吸収量'!$N$6:$N$58,ROW(),'18証書_森林吸収量'!$S$6:$S$58,2))</f>
        <v/>
      </c>
      <c r="M65" s="575" t="str">
        <f>IF(COUNTIFS('18証書_森林吸収量'!$N$6:$N$58,ROW())=0,"",-1*SUMIFS('18証書_森林吸収量'!$F$6:$F$58,'18証書_森林吸収量'!$N$6:$N$58,ROW()))</f>
        <v/>
      </c>
    </row>
    <row r="66" spans="1:13" ht="46.5" customHeight="1">
      <c r="A66" s="1738"/>
      <c r="B66" s="1754"/>
      <c r="C66" s="1670" t="s">
        <v>282</v>
      </c>
      <c r="D66" s="1726"/>
      <c r="E66" s="1727"/>
      <c r="F66" s="1728"/>
      <c r="G66" s="1729"/>
      <c r="H66" s="381"/>
      <c r="I66" s="382"/>
      <c r="J66" s="383"/>
      <c r="K66" s="362" t="str">
        <f>IF(COUNTIFS('18証書_森林吸収量'!$N$6:$N$58,ROW())=0,"",-1*SUMIFS('18証書_森林吸収量'!$F$6:$F$58,'18証書_森林吸収量'!$N$6:$N$58,ROW(),'18証書_森林吸収量'!$S$6:$S$58,2))</f>
        <v/>
      </c>
      <c r="M66" s="575" t="str">
        <f>IF(COUNTIFS('18証書_森林吸収量'!$N$6:$N$58,ROW())=0,"",-1*SUMIFS('18証書_森林吸収量'!$F$6:$F$58,'18証書_森林吸収量'!$N$6:$N$58,ROW()))</f>
        <v/>
      </c>
    </row>
    <row r="67" spans="1:13" ht="54.75" customHeight="1">
      <c r="A67" s="1738"/>
      <c r="B67" s="1754"/>
      <c r="C67" s="1730" t="s">
        <v>62</v>
      </c>
      <c r="D67" s="1731"/>
      <c r="E67" s="1732"/>
      <c r="F67" s="1733"/>
      <c r="G67" s="1734"/>
      <c r="H67" s="384"/>
      <c r="I67" s="385"/>
      <c r="J67" s="386"/>
      <c r="K67" s="362" t="str">
        <f>IF(COUNTIFS('18証書_森林吸収量'!$N$6:$N$58,ROW())=0,"",-1*SUMIFS('18証書_森林吸収量'!$F$6:$F$58,'18証書_森林吸収量'!$N$6:$N$58,ROW(),'18証書_森林吸収量'!$S$6:$S$58,2))</f>
        <v/>
      </c>
      <c r="M67" s="575" t="str">
        <f>IF(COUNTIFS('18証書_森林吸収量'!$N$6:$N$58,ROW())=0,"",-1*SUMIFS('18証書_森林吸収量'!$F$6:$F$58,'18証書_森林吸収量'!$N$6:$N$58,ROW()))</f>
        <v/>
      </c>
    </row>
    <row r="68" spans="1:13" ht="33.75" customHeight="1">
      <c r="A68" s="1738"/>
      <c r="B68" s="1754"/>
      <c r="C68" s="1704" t="s">
        <v>37</v>
      </c>
      <c r="D68" s="1704"/>
      <c r="E68" s="1670"/>
      <c r="F68" s="1735"/>
      <c r="G68" s="1736"/>
      <c r="H68" s="383"/>
      <c r="I68" s="396"/>
      <c r="J68" s="397"/>
      <c r="K68" s="472" t="str">
        <f>IF(COUNT(K62:K67)=0,"",SUM(K62:K67))</f>
        <v/>
      </c>
    </row>
    <row r="69" spans="1:13" ht="39.9" customHeight="1" thickBot="1">
      <c r="A69" s="1739"/>
      <c r="B69" s="1757" t="s">
        <v>42</v>
      </c>
      <c r="C69" s="1758"/>
      <c r="D69" s="1758"/>
      <c r="E69" s="1759"/>
      <c r="F69" s="1760"/>
      <c r="G69" s="1761"/>
      <c r="H69" s="394">
        <f>IF(COUNT(H36,H46,H54,H61)=0,"",SUM(H36,H46,H54,H61))</f>
        <v>0</v>
      </c>
      <c r="I69" s="394">
        <f t="shared" ref="I69:J69" si="12">IF(COUNT(I36,I46,I54,I61)=0,"",SUM(I36,I46,I54,I61))</f>
        <v>0</v>
      </c>
      <c r="J69" s="394">
        <f t="shared" si="12"/>
        <v>0</v>
      </c>
      <c r="K69" s="395">
        <f>IF(COUNT(K36,K46,K54,K61,K68)=0,"",IF(SUM(K36,K46,K54,K61,K68)&lt;0,0,SUM(K36,K46,K54,K61,K68)))</f>
        <v>0</v>
      </c>
    </row>
    <row r="70" spans="1:13" ht="18" thickBot="1">
      <c r="A70" s="4"/>
      <c r="B70" s="4"/>
      <c r="C70" s="4"/>
      <c r="D70" s="4"/>
      <c r="E70" s="4"/>
      <c r="F70" s="4"/>
      <c r="G70" s="4"/>
      <c r="H70" s="4"/>
      <c r="I70" s="4"/>
      <c r="J70" s="4"/>
      <c r="K70" s="4"/>
    </row>
    <row r="71" spans="1:13" ht="63" customHeight="1">
      <c r="A71" s="1708"/>
      <c r="B71" s="1711" t="s">
        <v>156</v>
      </c>
      <c r="C71" s="1712"/>
      <c r="D71" s="1711" t="s">
        <v>73</v>
      </c>
      <c r="E71" s="1717"/>
      <c r="F71" s="1720" t="s">
        <v>1900</v>
      </c>
      <c r="G71" s="1721"/>
      <c r="H71" s="118" t="s">
        <v>2</v>
      </c>
      <c r="I71" s="111" t="s">
        <v>51</v>
      </c>
      <c r="J71" s="117"/>
      <c r="K71" s="117"/>
    </row>
    <row r="72" spans="1:13" ht="33" hidden="1" customHeight="1">
      <c r="A72" s="1709"/>
      <c r="B72" s="1713"/>
      <c r="C72" s="1714"/>
      <c r="D72" s="1713"/>
      <c r="E72" s="1718"/>
      <c r="F72" s="1722"/>
      <c r="G72" s="1723"/>
      <c r="H72" s="9" t="s">
        <v>6</v>
      </c>
      <c r="I72" s="32" t="s">
        <v>55</v>
      </c>
      <c r="J72" s="117"/>
      <c r="K72" s="117"/>
    </row>
    <row r="73" spans="1:13" ht="19.5" customHeight="1" thickBot="1">
      <c r="A73" s="1710"/>
      <c r="B73" s="1715"/>
      <c r="C73" s="1716"/>
      <c r="D73" s="1715"/>
      <c r="E73" s="1719"/>
      <c r="F73" s="1724"/>
      <c r="G73" s="1725"/>
      <c r="H73" s="34" t="s">
        <v>181</v>
      </c>
      <c r="I73" s="35" t="s">
        <v>182</v>
      </c>
      <c r="J73" s="117"/>
      <c r="K73" s="117"/>
    </row>
    <row r="74" spans="1:13" ht="30.15" customHeight="1">
      <c r="A74" s="1684" t="s">
        <v>157</v>
      </c>
      <c r="B74" s="1687" t="s">
        <v>279</v>
      </c>
      <c r="C74" s="1688"/>
      <c r="D74" s="1693" t="s">
        <v>87</v>
      </c>
      <c r="E74" s="1694"/>
      <c r="F74" s="274" t="str">
        <f>IF('16非化石燃料_工場現場'!G8="","",ROUND('16非化石燃料_工場現場'!G8,0))</f>
        <v/>
      </c>
      <c r="G74" s="270" t="str">
        <f>'16非化石燃料_工場現場'!H8</f>
        <v>ｔ</v>
      </c>
      <c r="H74" s="463" t="str">
        <f>IF('16非化石燃料_工場現場'!P8="","",'16非化石燃料_工場現場'!P8)</f>
        <v/>
      </c>
      <c r="I74" s="278" t="str">
        <f>IF(H74="","",H74*0.0258)</f>
        <v/>
      </c>
      <c r="J74" s="4"/>
      <c r="K74" s="4"/>
    </row>
    <row r="75" spans="1:13" ht="30.15" customHeight="1">
      <c r="A75" s="1685"/>
      <c r="B75" s="1689"/>
      <c r="C75" s="1690"/>
      <c r="D75" s="1679" t="s">
        <v>88</v>
      </c>
      <c r="E75" s="1680"/>
      <c r="F75" s="275" t="str">
        <f>IF('16非化石燃料_工場現場'!G9="","",ROUND('16非化石燃料_工場現場'!G9,0))</f>
        <v/>
      </c>
      <c r="G75" s="271" t="str">
        <f>'16非化石燃料_工場現場'!H9</f>
        <v>ｔ</v>
      </c>
      <c r="H75" s="279" t="str">
        <f>IF('16非化石燃料_工場現場'!P9="","",'16非化石燃料_工場現場'!P9)</f>
        <v/>
      </c>
      <c r="I75" s="280" t="str">
        <f t="shared" ref="I75:I97" si="13">IF(H75="","",H75*0.0258)</f>
        <v/>
      </c>
      <c r="J75" s="4"/>
      <c r="K75" s="4"/>
    </row>
    <row r="76" spans="1:13" ht="30.15" customHeight="1">
      <c r="A76" s="1685"/>
      <c r="B76" s="1689"/>
      <c r="C76" s="1690"/>
      <c r="D76" s="1679" t="s">
        <v>89</v>
      </c>
      <c r="E76" s="1680"/>
      <c r="F76" s="275" t="str">
        <f>IF('16非化石燃料_工場現場'!G10="","",ROUND('16非化石燃料_工場現場'!G10,0))</f>
        <v/>
      </c>
      <c r="G76" s="271" t="str">
        <f>'16非化石燃料_工場現場'!H10</f>
        <v>ｔ</v>
      </c>
      <c r="H76" s="279" t="str">
        <f>IF('16非化石燃料_工場現場'!P10="","",'16非化石燃料_工場現場'!P10)</f>
        <v/>
      </c>
      <c r="I76" s="280" t="str">
        <f t="shared" si="13"/>
        <v/>
      </c>
      <c r="J76" s="4"/>
      <c r="K76" s="4"/>
    </row>
    <row r="77" spans="1:13" ht="30.15" customHeight="1">
      <c r="A77" s="1685"/>
      <c r="B77" s="1689"/>
      <c r="C77" s="1690"/>
      <c r="D77" s="1679" t="s">
        <v>90</v>
      </c>
      <c r="E77" s="1680"/>
      <c r="F77" s="275" t="str">
        <f>IF('16非化石燃料_工場現場'!G11="","",ROUND('16非化石燃料_工場現場'!G11,0))</f>
        <v/>
      </c>
      <c r="G77" s="271" t="str">
        <f>'16非化石燃料_工場現場'!H11</f>
        <v>ｔ</v>
      </c>
      <c r="H77" s="279" t="str">
        <f>IF('16非化石燃料_工場現場'!P11="","",'16非化石燃料_工場現場'!P11)</f>
        <v/>
      </c>
      <c r="I77" s="280" t="str">
        <f t="shared" si="13"/>
        <v/>
      </c>
      <c r="J77" s="4"/>
      <c r="K77" s="4"/>
    </row>
    <row r="78" spans="1:13" ht="30.15" customHeight="1">
      <c r="A78" s="1685"/>
      <c r="B78" s="1689"/>
      <c r="C78" s="1690"/>
      <c r="D78" s="1679" t="s">
        <v>91</v>
      </c>
      <c r="E78" s="1680"/>
      <c r="F78" s="275" t="str">
        <f>IF('16非化石燃料_工場現場'!G12="","",ROUND('16非化石燃料_工場現場'!G12,0))</f>
        <v/>
      </c>
      <c r="G78" s="271" t="str">
        <f>'16非化石燃料_工場現場'!H12</f>
        <v>ｔ</v>
      </c>
      <c r="H78" s="279" t="str">
        <f>IF('16非化石燃料_工場現場'!P12="","",'16非化石燃料_工場現場'!P12)</f>
        <v/>
      </c>
      <c r="I78" s="280" t="str">
        <f t="shared" si="13"/>
        <v/>
      </c>
      <c r="J78" s="4"/>
      <c r="K78" s="4"/>
    </row>
    <row r="79" spans="1:13" ht="73.5" customHeight="1">
      <c r="A79" s="1685"/>
      <c r="B79" s="1689"/>
      <c r="C79" s="1690"/>
      <c r="D79" s="1679" t="s">
        <v>92</v>
      </c>
      <c r="E79" s="1680"/>
      <c r="F79" s="275" t="str">
        <f>IF('16非化石燃料_工場現場'!G13="","",ROUND('16非化石燃料_工場現場'!G13,0))</f>
        <v/>
      </c>
      <c r="G79" s="271" t="str">
        <f>'16非化石燃料_工場現場'!H13</f>
        <v>kL</v>
      </c>
      <c r="H79" s="279" t="str">
        <f>IF('16非化石燃料_工場現場'!P13="","",'16非化石燃料_工場現場'!P13)</f>
        <v/>
      </c>
      <c r="I79" s="280" t="str">
        <f t="shared" si="13"/>
        <v/>
      </c>
      <c r="J79" s="4"/>
      <c r="K79" s="4"/>
    </row>
    <row r="80" spans="1:13" ht="45" customHeight="1">
      <c r="A80" s="1685"/>
      <c r="B80" s="1689"/>
      <c r="C80" s="1690"/>
      <c r="D80" s="1695" t="s">
        <v>178</v>
      </c>
      <c r="E80" s="1680"/>
      <c r="F80" s="275" t="str">
        <f>IF('16非化石燃料_工場現場'!G14="","",ROUND('16非化石燃料_工場現場'!G14,0))</f>
        <v/>
      </c>
      <c r="G80" s="271" t="str">
        <f>'16非化石燃料_工場現場'!H14</f>
        <v>kL</v>
      </c>
      <c r="H80" s="279" t="str">
        <f>IF('16非化石燃料_工場現場'!P14="","",'16非化石燃料_工場現場'!P14)</f>
        <v/>
      </c>
      <c r="I80" s="280" t="str">
        <f t="shared" si="13"/>
        <v/>
      </c>
      <c r="J80" s="4"/>
      <c r="K80" s="4"/>
    </row>
    <row r="81" spans="1:11" ht="30.15" customHeight="1">
      <c r="A81" s="1685"/>
      <c r="B81" s="1689"/>
      <c r="C81" s="1690"/>
      <c r="D81" s="1679" t="s">
        <v>94</v>
      </c>
      <c r="E81" s="1680"/>
      <c r="F81" s="275" t="str">
        <f>IF('16非化石燃料_工場現場'!G15="","",ROUND('16非化石燃料_工場現場'!G15,0))</f>
        <v/>
      </c>
      <c r="G81" s="271" t="str">
        <f>'16非化石燃料_工場現場'!H15</f>
        <v>千m3</v>
      </c>
      <c r="H81" s="279" t="str">
        <f>IF('16非化石燃料_工場現場'!P15="","",'16非化石燃料_工場現場'!P15)</f>
        <v/>
      </c>
      <c r="I81" s="280" t="str">
        <f t="shared" si="13"/>
        <v/>
      </c>
      <c r="J81" s="4"/>
      <c r="K81" s="4"/>
    </row>
    <row r="82" spans="1:11" ht="30.15" customHeight="1">
      <c r="A82" s="1685"/>
      <c r="B82" s="1689"/>
      <c r="C82" s="1690"/>
      <c r="D82" s="1679" t="s">
        <v>159</v>
      </c>
      <c r="E82" s="1680"/>
      <c r="F82" s="275" t="str">
        <f>IF('16非化石燃料_工場現場'!G16="","",ROUND('16非化石燃料_工場現場'!G16,0))</f>
        <v/>
      </c>
      <c r="G82" s="271" t="str">
        <f>'16非化石燃料_工場現場'!H16</f>
        <v>t</v>
      </c>
      <c r="H82" s="279" t="str">
        <f>IF('16非化石燃料_工場現場'!P16="","",'16非化石燃料_工場現場'!P16)</f>
        <v/>
      </c>
      <c r="I82" s="280" t="str">
        <f t="shared" si="13"/>
        <v/>
      </c>
      <c r="J82" s="4"/>
      <c r="K82" s="4"/>
    </row>
    <row r="83" spans="1:11" ht="30.15" customHeight="1">
      <c r="A83" s="1685"/>
      <c r="B83" s="1689"/>
      <c r="C83" s="1690"/>
      <c r="D83" s="1365" t="str">
        <f>IF('15非化石燃料_建物'!C17="","廃棄物原燃料　自由記入1",'15非化石燃料_建物'!C17)</f>
        <v>廃棄物ガス</v>
      </c>
      <c r="E83" s="1681"/>
      <c r="F83" s="275" t="str">
        <f>IF('16非化石燃料_工場現場'!G17="","",ROUND('16非化石燃料_工場現場'!G17,0))</f>
        <v/>
      </c>
      <c r="G83" s="271" t="str">
        <f>'16非化石燃料_工場現場'!H17</f>
        <v>kg</v>
      </c>
      <c r="H83" s="279" t="str">
        <f>IF('16非化石燃料_工場現場'!P17="","",'16非化石燃料_工場現場'!P17)</f>
        <v/>
      </c>
      <c r="I83" s="280" t="str">
        <f t="shared" si="13"/>
        <v/>
      </c>
      <c r="J83" s="4"/>
      <c r="K83" s="4"/>
    </row>
    <row r="84" spans="1:11" ht="30.15" customHeight="1" thickBot="1">
      <c r="A84" s="1685"/>
      <c r="B84" s="1691"/>
      <c r="C84" s="1692"/>
      <c r="D84" s="1696" t="str">
        <f>IF('15非化石燃料_建物'!C18="","廃棄物原燃料　自由記入2",'15非化石燃料_建物'!C18)</f>
        <v>廃棄物原燃料　自由記入2</v>
      </c>
      <c r="E84" s="1697"/>
      <c r="F84" s="276" t="str">
        <f>IF('16非化石燃料_工場現場'!G18="","",ROUND('16非化石燃料_工場現場'!G18,0))</f>
        <v/>
      </c>
      <c r="G84" s="272" t="str">
        <f>'16非化石燃料_工場現場'!H18</f>
        <v>kg</v>
      </c>
      <c r="H84" s="279" t="str">
        <f>IF('16非化石燃料_工場現場'!P18="","",'16非化石燃料_工場現場'!P18)</f>
        <v/>
      </c>
      <c r="I84" s="281" t="str">
        <f t="shared" si="13"/>
        <v/>
      </c>
      <c r="J84" s="4"/>
      <c r="K84" s="4"/>
    </row>
    <row r="85" spans="1:11" ht="30.15" customHeight="1" thickTop="1">
      <c r="A85" s="1685"/>
      <c r="B85" s="1698" t="s">
        <v>160</v>
      </c>
      <c r="C85" s="1698"/>
      <c r="D85" s="1702" t="s">
        <v>161</v>
      </c>
      <c r="E85" s="1703"/>
      <c r="F85" s="277" t="str">
        <f>IF('16非化石燃料_工場現場'!G19="","",ROUND('16非化石燃料_工場現場'!G19,0))</f>
        <v/>
      </c>
      <c r="G85" s="273" t="str">
        <f>'16非化石燃料_工場現場'!H19</f>
        <v>t</v>
      </c>
      <c r="H85" s="464" t="str">
        <f>IF('16非化石燃料_工場現場'!P19="","",'16非化石燃料_工場現場'!P19)</f>
        <v/>
      </c>
      <c r="I85" s="282" t="str">
        <f t="shared" si="13"/>
        <v/>
      </c>
      <c r="J85" s="4"/>
      <c r="K85" s="4"/>
    </row>
    <row r="86" spans="1:11" ht="30.15" customHeight="1">
      <c r="A86" s="1685"/>
      <c r="B86" s="1699"/>
      <c r="C86" s="1699"/>
      <c r="D86" s="1704" t="s">
        <v>162</v>
      </c>
      <c r="E86" s="1705"/>
      <c r="F86" s="275" t="str">
        <f>IF('16非化石燃料_工場現場'!G20="","",ROUND('16非化石燃料_工場現場'!G20,0))</f>
        <v/>
      </c>
      <c r="G86" s="271" t="str">
        <f>'16非化石燃料_工場現場'!H20</f>
        <v>t</v>
      </c>
      <c r="H86" s="279" t="str">
        <f>IF('16非化石燃料_工場現場'!P20="","",'16非化石燃料_工場現場'!P20)</f>
        <v/>
      </c>
      <c r="I86" s="280" t="str">
        <f t="shared" si="13"/>
        <v/>
      </c>
      <c r="J86" s="4"/>
      <c r="K86" s="4"/>
    </row>
    <row r="87" spans="1:11" ht="30.15" customHeight="1">
      <c r="A87" s="1685"/>
      <c r="B87" s="1699"/>
      <c r="C87" s="1699"/>
      <c r="D87" s="1704" t="s">
        <v>163</v>
      </c>
      <c r="E87" s="1705"/>
      <c r="F87" s="275" t="str">
        <f>IF('16非化石燃料_工場現場'!G21="","",ROUND('16非化石燃料_工場現場'!G21,0))</f>
        <v/>
      </c>
      <c r="G87" s="271" t="str">
        <f>'16非化石燃料_工場現場'!H21</f>
        <v>t</v>
      </c>
      <c r="H87" s="279" t="str">
        <f>IF('16非化石燃料_工場現場'!P21="","",'16非化石燃料_工場現場'!P21)</f>
        <v/>
      </c>
      <c r="I87" s="280" t="str">
        <f t="shared" si="13"/>
        <v/>
      </c>
      <c r="J87" s="4"/>
      <c r="K87" s="4"/>
    </row>
    <row r="88" spans="1:11" ht="30.15" customHeight="1">
      <c r="A88" s="1685"/>
      <c r="B88" s="1699"/>
      <c r="C88" s="1699"/>
      <c r="D88" s="1704" t="s">
        <v>164</v>
      </c>
      <c r="E88" s="1705"/>
      <c r="F88" s="275" t="str">
        <f>IF('16非化石燃料_工場現場'!G22="","",ROUND('16非化石燃料_工場現場'!G22,0))</f>
        <v/>
      </c>
      <c r="G88" s="271" t="str">
        <f>'16非化石燃料_工場現場'!H22</f>
        <v>kL</v>
      </c>
      <c r="H88" s="279" t="str">
        <f>IF('16非化石燃料_工場現場'!P22="","",'16非化石燃料_工場現場'!P22)</f>
        <v/>
      </c>
      <c r="I88" s="280" t="str">
        <f t="shared" si="13"/>
        <v/>
      </c>
      <c r="J88" s="4"/>
      <c r="K88" s="4"/>
    </row>
    <row r="89" spans="1:11" ht="30.15" customHeight="1">
      <c r="A89" s="1685"/>
      <c r="B89" s="1699"/>
      <c r="C89" s="1699"/>
      <c r="D89" s="1704" t="s">
        <v>165</v>
      </c>
      <c r="E89" s="1705"/>
      <c r="F89" s="275" t="str">
        <f>IF('16非化石燃料_工場現場'!G23="","",ROUND('16非化石燃料_工場現場'!G23,0))</f>
        <v/>
      </c>
      <c r="G89" s="271" t="str">
        <f>'16非化石燃料_工場現場'!H23</f>
        <v>kL</v>
      </c>
      <c r="H89" s="279" t="str">
        <f>IF('16非化石燃料_工場現場'!P23="","",'16非化石燃料_工場現場'!P23)</f>
        <v/>
      </c>
      <c r="I89" s="280" t="str">
        <f t="shared" si="13"/>
        <v/>
      </c>
      <c r="J89" s="4"/>
      <c r="K89" s="4"/>
    </row>
    <row r="90" spans="1:11" ht="30.15" customHeight="1">
      <c r="A90" s="1685"/>
      <c r="B90" s="1699"/>
      <c r="C90" s="1699"/>
      <c r="D90" s="1704" t="s">
        <v>166</v>
      </c>
      <c r="E90" s="1705"/>
      <c r="F90" s="275" t="str">
        <f>IF('16非化石燃料_工場現場'!G24="","",ROUND('16非化石燃料_工場現場'!G24,0))</f>
        <v/>
      </c>
      <c r="G90" s="271" t="str">
        <f>'16非化石燃料_工場現場'!H24</f>
        <v>千m3</v>
      </c>
      <c r="H90" s="279" t="str">
        <f>IF('16非化石燃料_工場現場'!P24="","",'16非化石燃料_工場現場'!P24)</f>
        <v/>
      </c>
      <c r="I90" s="280" t="str">
        <f t="shared" si="13"/>
        <v/>
      </c>
      <c r="J90" s="4"/>
      <c r="K90" s="4"/>
    </row>
    <row r="91" spans="1:11" ht="30.15" customHeight="1">
      <c r="A91" s="1685"/>
      <c r="B91" s="1700"/>
      <c r="C91" s="1700"/>
      <c r="D91" s="1670" t="s">
        <v>167</v>
      </c>
      <c r="E91" s="1671"/>
      <c r="F91" s="275" t="str">
        <f>IF('16非化石燃料_工場現場'!G25="","",ROUND('16非化石燃料_工場現場'!G25,0))</f>
        <v/>
      </c>
      <c r="G91" s="271" t="str">
        <f>'16非化石燃料_工場現場'!H25</f>
        <v>t</v>
      </c>
      <c r="H91" s="279" t="str">
        <f>IF('16非化石燃料_工場現場'!P25="","",'16非化石燃料_工場現場'!P25)</f>
        <v/>
      </c>
      <c r="I91" s="283" t="str">
        <f t="shared" si="13"/>
        <v/>
      </c>
      <c r="J91" s="4"/>
      <c r="K91" s="4"/>
    </row>
    <row r="92" spans="1:11" ht="30.15" customHeight="1">
      <c r="A92" s="1685"/>
      <c r="B92" s="1700"/>
      <c r="C92" s="1700"/>
      <c r="D92" s="1670" t="str">
        <f>IF('15非化石燃料_建物'!C26="","非化石燃料　自由記入1",'15非化石燃料_建物'!C26)</f>
        <v>非化石燃料　自由記入1</v>
      </c>
      <c r="E92" s="1671"/>
      <c r="F92" s="275" t="str">
        <f>IF('16非化石燃料_工場現場'!G26="","",ROUND('16非化石燃料_工場現場'!G26,0))</f>
        <v/>
      </c>
      <c r="G92" s="271" t="str">
        <f>'16非化石燃料_工場現場'!H26</f>
        <v>L</v>
      </c>
      <c r="H92" s="279" t="str">
        <f>IF('16非化石燃料_工場現場'!P26="","",'16非化石燃料_工場現場'!P26)</f>
        <v/>
      </c>
      <c r="I92" s="283" t="str">
        <f t="shared" si="13"/>
        <v/>
      </c>
      <c r="J92" s="4"/>
      <c r="K92" s="4"/>
    </row>
    <row r="93" spans="1:11" ht="30.15" customHeight="1" thickBot="1">
      <c r="A93" s="1685"/>
      <c r="B93" s="1701"/>
      <c r="C93" s="1701"/>
      <c r="D93" s="1672" t="str">
        <f>IF('15非化石燃料_建物'!C27="","非化石燃料　自由記入2",'15非化石燃料_建物'!C27)</f>
        <v>非化石燃料　自由記入2</v>
      </c>
      <c r="E93" s="1673"/>
      <c r="F93" s="276" t="str">
        <f>IF('16非化石燃料_工場現場'!G27="","",ROUND('16非化石燃料_工場現場'!G27,0))</f>
        <v/>
      </c>
      <c r="G93" s="272" t="str">
        <f>'16非化石燃料_工場現場'!H27</f>
        <v>kg</v>
      </c>
      <c r="H93" s="279" t="str">
        <f>IF('16非化石燃料_工場現場'!P27="","",'16非化石燃料_工場現場'!P27)</f>
        <v/>
      </c>
      <c r="I93" s="281" t="str">
        <f t="shared" si="13"/>
        <v/>
      </c>
      <c r="J93" s="4"/>
      <c r="K93" s="4"/>
    </row>
    <row r="94" spans="1:11" ht="30.15" customHeight="1" thickTop="1">
      <c r="A94" s="1685"/>
      <c r="B94" s="1674" t="s">
        <v>168</v>
      </c>
      <c r="C94" s="1674"/>
      <c r="D94" s="1677" t="s">
        <v>169</v>
      </c>
      <c r="E94" s="1678"/>
      <c r="F94" s="277" t="str">
        <f>IF('16非化石燃料_工場現場'!G28="","",ROUND('16非化石燃料_工場現場'!G28,0))</f>
        <v/>
      </c>
      <c r="G94" s="273" t="str">
        <f>'16非化石燃料_工場現場'!H28</f>
        <v>t</v>
      </c>
      <c r="H94" s="464" t="str">
        <f>IF('16非化石燃料_工場現場'!P28="","",'16非化石燃料_工場現場'!P28)</f>
        <v/>
      </c>
      <c r="I94" s="282" t="str">
        <f t="shared" si="13"/>
        <v/>
      </c>
      <c r="J94" s="4"/>
      <c r="K94" s="4"/>
    </row>
    <row r="95" spans="1:11" ht="30.15" customHeight="1">
      <c r="A95" s="1685"/>
      <c r="B95" s="1675"/>
      <c r="C95" s="1675"/>
      <c r="D95" s="1679" t="s">
        <v>170</v>
      </c>
      <c r="E95" s="1680"/>
      <c r="F95" s="275" t="str">
        <f>IF('16非化石燃料_工場現場'!G29="","",ROUND('16非化石燃料_工場現場'!G29,0))</f>
        <v/>
      </c>
      <c r="G95" s="271" t="str">
        <f>'16非化石燃料_工場現場'!H29</f>
        <v>t</v>
      </c>
      <c r="H95" s="279" t="str">
        <f>IF('16非化石燃料_工場現場'!P29="","",'16非化石燃料_工場現場'!P29)</f>
        <v/>
      </c>
      <c r="I95" s="280" t="str">
        <f t="shared" si="13"/>
        <v/>
      </c>
      <c r="J95" s="4"/>
      <c r="K95" s="4"/>
    </row>
    <row r="96" spans="1:11" ht="30.15" customHeight="1">
      <c r="A96" s="1685"/>
      <c r="B96" s="1675"/>
      <c r="C96" s="1675"/>
      <c r="D96" s="1365" t="str">
        <f>IF('15非化石燃料_建物'!C30="","その他の非化石燃料　自由記入1",'15非化石燃料_建物'!C30)</f>
        <v>その他の非化石燃料　自由記入1</v>
      </c>
      <c r="E96" s="1681"/>
      <c r="F96" s="275" t="str">
        <f>IF('16非化石燃料_工場現場'!G30="","",ROUND('16非化石燃料_工場現場'!G30,0))</f>
        <v/>
      </c>
      <c r="G96" s="271" t="str">
        <f>'16非化石燃料_工場現場'!H30</f>
        <v>kg</v>
      </c>
      <c r="H96" s="279" t="str">
        <f>IF('16非化石燃料_工場現場'!P30="","",'16非化石燃料_工場現場'!P30)</f>
        <v/>
      </c>
      <c r="I96" s="280" t="str">
        <f t="shared" si="13"/>
        <v/>
      </c>
      <c r="J96" s="4"/>
      <c r="K96" s="4"/>
    </row>
    <row r="97" spans="1:11" ht="30.15" customHeight="1" thickBot="1">
      <c r="A97" s="1685"/>
      <c r="B97" s="1676"/>
      <c r="C97" s="1676"/>
      <c r="D97" s="1682" t="str">
        <f>IF('15非化石燃料_建物'!C31="","その他の非化石燃料　自由記入2",'15非化石燃料_建物'!C31)</f>
        <v>その他の非化石燃料　自由記入2</v>
      </c>
      <c r="E97" s="1683"/>
      <c r="F97" s="276" t="str">
        <f>IF('16非化石燃料_工場現場'!G31="","",ROUND('16非化石燃料_工場現場'!G31,0))</f>
        <v/>
      </c>
      <c r="G97" s="272" t="str">
        <f>'16非化石燃料_工場現場'!H31</f>
        <v>kg</v>
      </c>
      <c r="H97" s="279" t="str">
        <f>IF('16非化石燃料_工場現場'!P31="","",'16非化石燃料_工場現場'!P31)</f>
        <v/>
      </c>
      <c r="I97" s="281" t="str">
        <f t="shared" si="13"/>
        <v/>
      </c>
      <c r="J97" s="4"/>
      <c r="K97" s="4"/>
    </row>
    <row r="98" spans="1:11" ht="30.15" customHeight="1" thickTop="1" thickBot="1">
      <c r="A98" s="1686"/>
      <c r="B98" s="1706" t="s">
        <v>171</v>
      </c>
      <c r="C98" s="1706"/>
      <c r="D98" s="1706"/>
      <c r="E98" s="1707"/>
      <c r="F98" s="1660"/>
      <c r="G98" s="1661"/>
      <c r="H98" s="284" t="str">
        <f>IF(COUNT(H74:H97)=0,"",SUM(H74:H97))</f>
        <v/>
      </c>
      <c r="I98" s="285" t="str">
        <f>IF(COUNT(I74:I97)=0,"",SUM(I74:I97))</f>
        <v/>
      </c>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ht="18" thickBot="1">
      <c r="A101" s="4"/>
      <c r="B101" s="4"/>
      <c r="C101" s="4"/>
      <c r="D101" s="4"/>
      <c r="E101" s="4"/>
      <c r="F101" s="4"/>
      <c r="G101" s="4"/>
      <c r="H101" s="4"/>
      <c r="I101" s="4"/>
      <c r="J101" s="4"/>
      <c r="K101" s="4"/>
    </row>
    <row r="102" spans="1:11" ht="30.15" customHeight="1">
      <c r="A102" s="4"/>
      <c r="B102" s="4"/>
      <c r="C102" s="4"/>
      <c r="D102" s="1662" t="s">
        <v>184</v>
      </c>
      <c r="E102" s="1663"/>
      <c r="F102" s="1663"/>
      <c r="G102" s="1663"/>
      <c r="H102" s="474">
        <f>IF(COUNT(I69,I98)=0,"",ROUND(SUM(I69,I98),0))</f>
        <v>0</v>
      </c>
      <c r="I102" s="286" t="s">
        <v>182</v>
      </c>
      <c r="J102" s="4"/>
      <c r="K102" s="4"/>
    </row>
    <row r="103" spans="1:11" ht="30.15" customHeight="1">
      <c r="A103" s="4"/>
      <c r="B103" s="4"/>
      <c r="C103" s="4"/>
      <c r="D103" s="1664" t="s">
        <v>183</v>
      </c>
      <c r="E103" s="1665"/>
      <c r="F103" s="1665"/>
      <c r="G103" s="1665"/>
      <c r="H103" s="475">
        <f>IF(COUNT(J69)=0,"",ROUND(J69,0))</f>
        <v>0</v>
      </c>
      <c r="I103" s="287" t="s">
        <v>267</v>
      </c>
      <c r="J103" s="4"/>
      <c r="K103" s="4"/>
    </row>
    <row r="104" spans="1:11" ht="30.15" customHeight="1">
      <c r="A104" s="4"/>
      <c r="B104" s="4"/>
      <c r="C104" s="4"/>
      <c r="D104" s="1819" t="s">
        <v>281</v>
      </c>
      <c r="E104" s="1820"/>
      <c r="F104" s="1820"/>
      <c r="G104" s="1820"/>
      <c r="H104" s="759">
        <f>IF(COUNT(K69)=0,"",ROUND(K69,0))</f>
        <v>0</v>
      </c>
      <c r="I104" s="760" t="s">
        <v>1904</v>
      </c>
      <c r="J104" s="4"/>
      <c r="K104" s="4"/>
    </row>
    <row r="105" spans="1:11" ht="30.15" customHeight="1" thickBot="1">
      <c r="A105" s="4"/>
      <c r="B105" s="4"/>
      <c r="C105" s="4"/>
      <c r="D105" s="1668" t="s">
        <v>285</v>
      </c>
      <c r="E105" s="1669"/>
      <c r="F105" s="1669"/>
      <c r="G105" s="1669"/>
      <c r="H105" s="473">
        <f>IF(AND(参考2!$I$58&lt;&gt;"",$H$104&lt;&gt;""),ROUND(参考2!$I$58-IF(SUM(K36,K46,K54,K61)&lt;0,0,ROUND(SUM(K36,K46,K54,K61),0))+IF($K$68="",0,$K$68)*-1,0),"")</f>
        <v>0</v>
      </c>
      <c r="I105" s="288" t="s">
        <v>1904</v>
      </c>
      <c r="J105" s="4"/>
      <c r="K105" s="4"/>
    </row>
    <row r="106" spans="1:11">
      <c r="A106" s="4"/>
      <c r="B106" s="4"/>
      <c r="C106" s="4"/>
      <c r="D106" s="4"/>
      <c r="E106" s="4"/>
      <c r="F106" s="4"/>
      <c r="G106" s="4"/>
      <c r="H106" s="4"/>
      <c r="I106" s="4"/>
      <c r="J106" s="4"/>
      <c r="K106" s="4"/>
    </row>
    <row r="107" spans="1:11" ht="22.5">
      <c r="A107" s="4"/>
      <c r="B107" s="4"/>
      <c r="C107" s="4"/>
      <c r="D107" s="4"/>
      <c r="E107" s="4"/>
      <c r="F107" s="4"/>
      <c r="G107" s="4"/>
      <c r="H107" s="4"/>
      <c r="I107" s="4"/>
      <c r="J107" s="4"/>
      <c r="K107" s="112" t="s">
        <v>268</v>
      </c>
    </row>
    <row r="109" spans="1:11" ht="22.5">
      <c r="K109" s="499"/>
    </row>
  </sheetData>
  <sheetProtection algorithmName="SHA-512" hashValue="bcDXiHmqJF9dndXK9iqRBf+LstxlSbNOrCvU+hJaZ2qBgN3Ms5dpH0GHFP9fmkNpVnsfoN3y9jPC4AuJA0NJIg==" saltValue="lg/+PERbhXEW12nCYhJnMA==" spinCount="100000" sheet="1" objects="1" scenarios="1"/>
  <mergeCells count="129">
    <mergeCell ref="C10:E10"/>
    <mergeCell ref="C11:E11"/>
    <mergeCell ref="C12:E12"/>
    <mergeCell ref="C13:E13"/>
    <mergeCell ref="C14:E14"/>
    <mergeCell ref="C15:E15"/>
    <mergeCell ref="A2:E2"/>
    <mergeCell ref="H3:J3"/>
    <mergeCell ref="B4:E5"/>
    <mergeCell ref="F4:G4"/>
    <mergeCell ref="A6:A54"/>
    <mergeCell ref="B6:B35"/>
    <mergeCell ref="C6:E6"/>
    <mergeCell ref="C7:E7"/>
    <mergeCell ref="C8:E8"/>
    <mergeCell ref="C9:E9"/>
    <mergeCell ref="C20:C22"/>
    <mergeCell ref="D20:E20"/>
    <mergeCell ref="D21:E21"/>
    <mergeCell ref="D22:E22"/>
    <mergeCell ref="C23:C24"/>
    <mergeCell ref="D23:E23"/>
    <mergeCell ref="D24:E24"/>
    <mergeCell ref="C16:C17"/>
    <mergeCell ref="D16:E16"/>
    <mergeCell ref="D17:E17"/>
    <mergeCell ref="C18:C19"/>
    <mergeCell ref="D18:E18"/>
    <mergeCell ref="D19:E19"/>
    <mergeCell ref="C31:E31"/>
    <mergeCell ref="C32:E32"/>
    <mergeCell ref="C33:E33"/>
    <mergeCell ref="C34:C35"/>
    <mergeCell ref="D34:E34"/>
    <mergeCell ref="D35:E35"/>
    <mergeCell ref="C25:E25"/>
    <mergeCell ref="C26:E26"/>
    <mergeCell ref="C27:E27"/>
    <mergeCell ref="C28:E28"/>
    <mergeCell ref="C29:E29"/>
    <mergeCell ref="C30:E30"/>
    <mergeCell ref="C36:E36"/>
    <mergeCell ref="F36:G36"/>
    <mergeCell ref="B37:B46"/>
    <mergeCell ref="C37:C40"/>
    <mergeCell ref="D37:E37"/>
    <mergeCell ref="D38:E38"/>
    <mergeCell ref="D39:E39"/>
    <mergeCell ref="D40:E40"/>
    <mergeCell ref="C41:C45"/>
    <mergeCell ref="D41:D42"/>
    <mergeCell ref="D43:D44"/>
    <mergeCell ref="D45:E45"/>
    <mergeCell ref="C46:E46"/>
    <mergeCell ref="F46:G46"/>
    <mergeCell ref="F63:G63"/>
    <mergeCell ref="C64:E64"/>
    <mergeCell ref="F64:G64"/>
    <mergeCell ref="C65:E65"/>
    <mergeCell ref="F65:G65"/>
    <mergeCell ref="B69:E69"/>
    <mergeCell ref="F69:G69"/>
    <mergeCell ref="B47:B54"/>
    <mergeCell ref="D47:E47"/>
    <mergeCell ref="C48:C53"/>
    <mergeCell ref="D48:D49"/>
    <mergeCell ref="D50:D51"/>
    <mergeCell ref="D52:E52"/>
    <mergeCell ref="D53:E53"/>
    <mergeCell ref="C54:E54"/>
    <mergeCell ref="F54:G54"/>
    <mergeCell ref="A71:A73"/>
    <mergeCell ref="B71:C73"/>
    <mergeCell ref="D71:E73"/>
    <mergeCell ref="F71:G71"/>
    <mergeCell ref="F72:G72"/>
    <mergeCell ref="F73:G73"/>
    <mergeCell ref="C66:E66"/>
    <mergeCell ref="F66:G66"/>
    <mergeCell ref="C67:E67"/>
    <mergeCell ref="F67:G67"/>
    <mergeCell ref="C68:E68"/>
    <mergeCell ref="F68:G68"/>
    <mergeCell ref="A57:A69"/>
    <mergeCell ref="B57:E58"/>
    <mergeCell ref="F57:G57"/>
    <mergeCell ref="B59:B61"/>
    <mergeCell ref="C59:E59"/>
    <mergeCell ref="C60:E60"/>
    <mergeCell ref="C61:E61"/>
    <mergeCell ref="F61:G61"/>
    <mergeCell ref="B62:B68"/>
    <mergeCell ref="C62:E62"/>
    <mergeCell ref="F62:G62"/>
    <mergeCell ref="C63:E63"/>
    <mergeCell ref="A74:A98"/>
    <mergeCell ref="B74:C84"/>
    <mergeCell ref="D74:E74"/>
    <mergeCell ref="D75:E75"/>
    <mergeCell ref="D76:E76"/>
    <mergeCell ref="D77:E77"/>
    <mergeCell ref="D78:E78"/>
    <mergeCell ref="D79:E79"/>
    <mergeCell ref="D80:E80"/>
    <mergeCell ref="D81:E81"/>
    <mergeCell ref="D82:E82"/>
    <mergeCell ref="D83:E83"/>
    <mergeCell ref="D84:E84"/>
    <mergeCell ref="B85:C93"/>
    <mergeCell ref="D85:E85"/>
    <mergeCell ref="D86:E86"/>
    <mergeCell ref="D87:E87"/>
    <mergeCell ref="D88:E88"/>
    <mergeCell ref="D89:E89"/>
    <mergeCell ref="D90:E90"/>
    <mergeCell ref="B98:E98"/>
    <mergeCell ref="F98:G98"/>
    <mergeCell ref="D102:G102"/>
    <mergeCell ref="D103:G103"/>
    <mergeCell ref="D104:G104"/>
    <mergeCell ref="D105:G105"/>
    <mergeCell ref="D91:E91"/>
    <mergeCell ref="D92:E92"/>
    <mergeCell ref="D93:E93"/>
    <mergeCell ref="B94:C97"/>
    <mergeCell ref="D94:E94"/>
    <mergeCell ref="D95:E95"/>
    <mergeCell ref="D96:E96"/>
    <mergeCell ref="D97:E97"/>
  </mergeCells>
  <phoneticPr fontId="5"/>
  <conditionalFormatting sqref="K6:K54">
    <cfRule type="cellIs" dxfId="34" priority="1" operator="notEqual">
      <formula>""</formula>
    </cfRule>
  </conditionalFormatting>
  <conditionalFormatting sqref="K59:K69">
    <cfRule type="cellIs" dxfId="33" priority="2" operator="notEqual">
      <formula>""</formula>
    </cfRule>
  </conditionalFormatting>
  <pageMargins left="0.78740157480314965" right="0.59055118110236227" top="0.78740157480314965" bottom="0.59055118110236227" header="0.31496062992125984" footer="0.31496062992125984"/>
  <pageSetup paperSize="9" scale="39" fitToHeight="0" orientation="portrait" r:id="rId1"/>
  <headerFooter>
    <oddHeader>&amp;R&amp;8ver.4.01</oddHeader>
  </headerFooter>
  <rowBreaks count="1" manualBreakCount="1">
    <brk id="55"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C000"/>
    <pageSetUpPr fitToPage="1"/>
  </sheetPr>
  <dimension ref="A1:N109"/>
  <sheetViews>
    <sheetView showGridLines="0" zoomScale="85" zoomScaleNormal="85" zoomScaleSheetLayoutView="100" workbookViewId="0">
      <pane xSplit="2" ySplit="5" topLeftCell="C93" activePane="bottomRight" state="frozen"/>
      <selection activeCell="L62" sqref="L62"/>
      <selection pane="topRight" activeCell="L62" sqref="L62"/>
      <selection pane="bottomLeft" activeCell="L62" sqref="L62"/>
      <selection pane="bottomRight" activeCell="H105" sqref="H105"/>
    </sheetView>
  </sheetViews>
  <sheetFormatPr defaultColWidth="4.08203125" defaultRowHeight="17.5" outlineLevelCol="1"/>
  <cols>
    <col min="1" max="2" width="6.1640625" style="498" customWidth="1"/>
    <col min="3" max="3" width="19.08203125" style="498" customWidth="1"/>
    <col min="4" max="5" width="35.58203125" style="498" customWidth="1"/>
    <col min="6" max="6" width="14.58203125" style="498" customWidth="1"/>
    <col min="7" max="7" width="10.1640625" style="498" customWidth="1"/>
    <col min="8" max="8" width="15.5" style="498" customWidth="1"/>
    <col min="9" max="9" width="17.9140625" style="498" customWidth="1"/>
    <col min="10" max="10" width="18.9140625" style="498" customWidth="1"/>
    <col min="11" max="11" width="23.5" style="498" customWidth="1"/>
    <col min="12" max="12" width="9" style="498" customWidth="1"/>
    <col min="13" max="13" width="14.1640625" style="498" hidden="1" customWidth="1" outlineLevel="1"/>
    <col min="14" max="14" width="9" style="498" customWidth="1" collapsed="1"/>
    <col min="15" max="247" width="9" style="498" customWidth="1"/>
    <col min="248" max="248" width="1.58203125" style="498" customWidth="1"/>
    <col min="249" max="249" width="1.9140625" style="498" customWidth="1"/>
    <col min="250" max="16384" width="4.08203125" style="498"/>
  </cols>
  <sheetData>
    <row r="1" spans="1:13">
      <c r="A1" s="3" t="s">
        <v>2506</v>
      </c>
      <c r="B1" s="4"/>
      <c r="C1" s="4"/>
      <c r="D1" s="4"/>
      <c r="E1" s="4"/>
      <c r="F1" s="4"/>
      <c r="G1" s="4"/>
      <c r="H1" s="109"/>
      <c r="I1" s="109"/>
      <c r="J1" s="108" t="s">
        <v>2056</v>
      </c>
      <c r="K1" s="216" t="str">
        <f>IF('0.事業所概要'!D11="","",'0.事業所概要'!D11)</f>
        <v>県庁産業㈱　　本社、浦和支店</v>
      </c>
    </row>
    <row r="2" spans="1:13">
      <c r="A2" s="1805" t="s">
        <v>2507</v>
      </c>
      <c r="B2" s="1805"/>
      <c r="C2" s="1805"/>
      <c r="D2" s="1805"/>
      <c r="E2" s="1805"/>
      <c r="F2" s="4"/>
      <c r="G2" s="4"/>
      <c r="H2" s="4"/>
      <c r="I2" s="4"/>
      <c r="J2" s="4"/>
      <c r="K2" s="164" t="str">
        <f>CONCATENATE('0.事業所概要'!$B$3,'0.事業所概要'!$C$3,"年度")</f>
        <v>令和７年度</v>
      </c>
    </row>
    <row r="3" spans="1:13" ht="23.25" customHeight="1" thickBot="1">
      <c r="A3" s="763"/>
      <c r="B3" s="756" t="s">
        <v>2061</v>
      </c>
      <c r="C3" s="763"/>
      <c r="D3" s="763"/>
      <c r="E3" s="4"/>
      <c r="F3" s="5"/>
      <c r="G3" s="4"/>
      <c r="H3" s="1806"/>
      <c r="I3" s="1806"/>
      <c r="J3" s="1806"/>
      <c r="K3" s="6"/>
      <c r="M3" s="575" t="s">
        <v>2051</v>
      </c>
    </row>
    <row r="4" spans="1:13" ht="54" customHeight="1">
      <c r="A4" s="7"/>
      <c r="B4" s="1711" t="s">
        <v>1</v>
      </c>
      <c r="C4" s="1740"/>
      <c r="D4" s="1740"/>
      <c r="E4" s="1717"/>
      <c r="F4" s="1808" t="s">
        <v>262</v>
      </c>
      <c r="G4" s="1743"/>
      <c r="H4" s="8" t="s">
        <v>2</v>
      </c>
      <c r="I4" s="170" t="s">
        <v>51</v>
      </c>
      <c r="J4" s="170" t="s">
        <v>52</v>
      </c>
      <c r="K4" s="116" t="s">
        <v>3</v>
      </c>
      <c r="M4" s="576" t="s">
        <v>2050</v>
      </c>
    </row>
    <row r="5" spans="1:13" ht="33" customHeight="1" thickBot="1">
      <c r="A5" s="10"/>
      <c r="B5" s="1715"/>
      <c r="C5" s="1807"/>
      <c r="D5" s="1807"/>
      <c r="E5" s="1719"/>
      <c r="F5" s="11"/>
      <c r="G5" s="12"/>
      <c r="H5" s="33" t="s">
        <v>7</v>
      </c>
      <c r="I5" s="119" t="s">
        <v>8</v>
      </c>
      <c r="J5" s="119" t="s">
        <v>8</v>
      </c>
      <c r="K5" s="13" t="s">
        <v>177</v>
      </c>
    </row>
    <row r="6" spans="1:13" ht="30.15" customHeight="1">
      <c r="A6" s="1809" t="s">
        <v>264</v>
      </c>
      <c r="B6" s="1812" t="s">
        <v>185</v>
      </c>
      <c r="C6" s="1814" t="s">
        <v>9</v>
      </c>
      <c r="D6" s="1398"/>
      <c r="E6" s="1815"/>
      <c r="F6" s="343" t="str">
        <f>IF(COUNTIFS('12燃料'!$X:$X,ROW())=0,"",ROUND(SUMIFS('12燃料'!$U:$U,'12燃料'!$X:$X,ROW(),'12燃料'!$AH:$AH,3),0))</f>
        <v/>
      </c>
      <c r="G6" s="344" t="s">
        <v>8</v>
      </c>
      <c r="H6" s="345" t="str">
        <f>IF(COUNTIFS('12燃料'!$X:$X,ROW())=0,"",SUMIFS('12燃料'!$V:$V,'12燃料'!$X:$X,ROW(),'12燃料'!$AH:$AH,3))</f>
        <v/>
      </c>
      <c r="I6" s="345" t="str">
        <f>IF(H6="","",H6*0.0258)</f>
        <v/>
      </c>
      <c r="J6" s="345" t="str">
        <f>IF(H6="","",H6*0.0258)</f>
        <v/>
      </c>
      <c r="K6" s="346" t="str">
        <f>IF(COUNTIFS('12燃料'!$X:$X,ROW())=0,"",SUMIFS('12燃料'!$W:$W,'12燃料'!$X:$X,ROW(),'12燃料'!$AH:$AH,3))</f>
        <v/>
      </c>
      <c r="M6" s="575" t="str">
        <f>IF(COUNTIFS('12燃料'!$X:$X,ROW())=0,"",SUMIFS('12燃料'!$U:$U,'12燃料'!$X:$X,ROW()))</f>
        <v/>
      </c>
    </row>
    <row r="7" spans="1:13" ht="30.15" customHeight="1">
      <c r="A7" s="1810"/>
      <c r="B7" s="1813"/>
      <c r="C7" s="1365" t="s">
        <v>10</v>
      </c>
      <c r="D7" s="1366"/>
      <c r="E7" s="1681"/>
      <c r="F7" s="343" t="str">
        <f>IF(COUNTIFS('12燃料'!$X:$X,ROW())=0,"",ROUND(SUMIFS('12燃料'!$U:$U,'12燃料'!$X:$X,ROW(),'12燃料'!$AH:$AH,3),0))</f>
        <v/>
      </c>
      <c r="G7" s="347" t="s">
        <v>8</v>
      </c>
      <c r="H7" s="345" t="str">
        <f>IF(COUNTIFS('12燃料'!$X:$X,ROW())=0,"",SUMIFS('12燃料'!$V:$V,'12燃料'!$X:$X,ROW(),'12燃料'!$AH:$AH,3))</f>
        <v/>
      </c>
      <c r="I7" s="345" t="str">
        <f t="shared" ref="I7:I44" si="0">IF(H7="","",H7*0.0258)</f>
        <v/>
      </c>
      <c r="J7" s="345" t="str">
        <f t="shared" ref="J7:J32" si="1">IF(H7="","",H7*0.0258)</f>
        <v/>
      </c>
      <c r="K7" s="346" t="str">
        <f>IF(COUNTIFS('12燃料'!$X:$X,ROW())=0,"",SUMIFS('12燃料'!$W:$W,'12燃料'!$X:$X,ROW(),'12燃料'!$AH:$AH,3))</f>
        <v/>
      </c>
      <c r="M7" s="575" t="str">
        <f>IF(COUNTIFS('12燃料'!$X:$X,ROW())=0,"",SUMIFS('12燃料'!$U:$U,'12燃料'!$X:$X,ROW()))</f>
        <v/>
      </c>
    </row>
    <row r="8" spans="1:13" ht="30.15" customHeight="1">
      <c r="A8" s="1810"/>
      <c r="B8" s="1813"/>
      <c r="C8" s="1795" t="s">
        <v>11</v>
      </c>
      <c r="D8" s="1804"/>
      <c r="E8" s="1796"/>
      <c r="F8" s="343">
        <f>IF(COUNTIFS('12燃料'!$X:$X,ROW())=0,"",ROUND(SUMIFS('12燃料'!$U:$U,'12燃料'!$X:$X,ROW(),'12燃料'!$AH:$AH,3),0))</f>
        <v>0</v>
      </c>
      <c r="G8" s="347" t="s">
        <v>8</v>
      </c>
      <c r="H8" s="345">
        <f>IF(COUNTIFS('12燃料'!$X:$X,ROW())=0,"",SUMIFS('12燃料'!$V:$V,'12燃料'!$X:$X,ROW(),'12燃料'!$AH:$AH,3))</f>
        <v>0</v>
      </c>
      <c r="I8" s="345">
        <f t="shared" si="0"/>
        <v>0</v>
      </c>
      <c r="J8" s="345">
        <f t="shared" si="1"/>
        <v>0</v>
      </c>
      <c r="K8" s="346">
        <f>IF(COUNTIFS('12燃料'!$X:$X,ROW())=0,"",SUMIFS('12燃料'!$W:$W,'12燃料'!$X:$X,ROW(),'12燃料'!$AH:$AH,3))</f>
        <v>0</v>
      </c>
      <c r="M8" s="575">
        <f>IF(COUNTIFS('12燃料'!$X:$X,ROW())=0,"",SUMIFS('12燃料'!$U:$U,'12燃料'!$X:$X,ROW()))</f>
        <v>0</v>
      </c>
    </row>
    <row r="9" spans="1:13" ht="30.15" customHeight="1">
      <c r="A9" s="1810"/>
      <c r="B9" s="1813"/>
      <c r="C9" s="1365" t="s">
        <v>13</v>
      </c>
      <c r="D9" s="1366"/>
      <c r="E9" s="1681"/>
      <c r="F9" s="343" t="str">
        <f>IF(COUNTIFS('12燃料'!$X:$X,ROW())=0,"",ROUND(SUMIFS('12燃料'!$U:$U,'12燃料'!$X:$X,ROW(),'12燃料'!$AH:$AH,3),0))</f>
        <v/>
      </c>
      <c r="G9" s="347" t="s">
        <v>8</v>
      </c>
      <c r="H9" s="345" t="str">
        <f>IF(COUNTIFS('12燃料'!$X:$X,ROW())=0,"",SUMIFS('12燃料'!$V:$V,'12燃料'!$X:$X,ROW(),'12燃料'!$AH:$AH,3))</f>
        <v/>
      </c>
      <c r="I9" s="345" t="str">
        <f t="shared" si="0"/>
        <v/>
      </c>
      <c r="J9" s="345" t="str">
        <f t="shared" si="1"/>
        <v/>
      </c>
      <c r="K9" s="346" t="str">
        <f>IF(COUNTIFS('12燃料'!$X:$X,ROW())=0,"",SUMIFS('12燃料'!$W:$W,'12燃料'!$X:$X,ROW(),'12燃料'!$AH:$AH,3))</f>
        <v/>
      </c>
      <c r="M9" s="575" t="str">
        <f>IF(COUNTIFS('12燃料'!$X:$X,ROW())=0,"",SUMIFS('12燃料'!$U:$U,'12燃料'!$X:$X,ROW()))</f>
        <v/>
      </c>
    </row>
    <row r="10" spans="1:13" ht="30.15" customHeight="1">
      <c r="A10" s="1810"/>
      <c r="B10" s="1813"/>
      <c r="C10" s="1365" t="s">
        <v>14</v>
      </c>
      <c r="D10" s="1366"/>
      <c r="E10" s="1681"/>
      <c r="F10" s="343">
        <f>IF(COUNTIFS('12燃料'!$X:$X,ROW())=0,"",ROUND(SUMIFS('12燃料'!$U:$U,'12燃料'!$X:$X,ROW(),'12燃料'!$AH:$AH,3),0))</f>
        <v>0</v>
      </c>
      <c r="G10" s="347" t="s">
        <v>8</v>
      </c>
      <c r="H10" s="345">
        <f>IF(COUNTIFS('12燃料'!$X:$X,ROW())=0,"",SUMIFS('12燃料'!$V:$V,'12燃料'!$X:$X,ROW(),'12燃料'!$AH:$AH,3))</f>
        <v>0</v>
      </c>
      <c r="I10" s="345">
        <f t="shared" si="0"/>
        <v>0</v>
      </c>
      <c r="J10" s="345">
        <f t="shared" si="1"/>
        <v>0</v>
      </c>
      <c r="K10" s="346">
        <f>IF(COUNTIFS('12燃料'!$X:$X,ROW())=0,"",SUMIFS('12燃料'!$W:$W,'12燃料'!$X:$X,ROW(),'12燃料'!$AH:$AH,3))</f>
        <v>0</v>
      </c>
      <c r="M10" s="575">
        <f>IF(COUNTIFS('12燃料'!$X:$X,ROW())=0,"",SUMIFS('12燃料'!$U:$U,'12燃料'!$X:$X,ROW()))</f>
        <v>0</v>
      </c>
    </row>
    <row r="11" spans="1:13" ht="30.15" customHeight="1">
      <c r="A11" s="1810"/>
      <c r="B11" s="1813"/>
      <c r="C11" s="1795" t="s">
        <v>15</v>
      </c>
      <c r="D11" s="1804"/>
      <c r="E11" s="1796"/>
      <c r="F11" s="343">
        <f>IF(COUNTIFS('12燃料'!$X:$X,ROW())=0,"",ROUND(SUMIFS('12燃料'!$U:$U,'12燃料'!$X:$X,ROW(),'12燃料'!$AH:$AH,3),0))</f>
        <v>0</v>
      </c>
      <c r="G11" s="347" t="s">
        <v>8</v>
      </c>
      <c r="H11" s="345">
        <f>IF(COUNTIFS('12燃料'!$X:$X,ROW())=0,"",SUMIFS('12燃料'!$V:$V,'12燃料'!$X:$X,ROW(),'12燃料'!$AH:$AH,3))</f>
        <v>0</v>
      </c>
      <c r="I11" s="345">
        <f t="shared" si="0"/>
        <v>0</v>
      </c>
      <c r="J11" s="345">
        <f t="shared" si="1"/>
        <v>0</v>
      </c>
      <c r="K11" s="346">
        <f>IF(COUNTIFS('12燃料'!$X:$X,ROW())=0,"",SUMIFS('12燃料'!$W:$W,'12燃料'!$X:$X,ROW(),'12燃料'!$AH:$AH,3))</f>
        <v>0</v>
      </c>
      <c r="M11" s="575">
        <f>IF(COUNTIFS('12燃料'!$X:$X,ROW())=0,"",SUMIFS('12燃料'!$U:$U,'12燃料'!$X:$X,ROW()))</f>
        <v>0</v>
      </c>
    </row>
    <row r="12" spans="1:13" ht="30.15" customHeight="1">
      <c r="A12" s="1810"/>
      <c r="B12" s="1813"/>
      <c r="C12" s="1365" t="s">
        <v>16</v>
      </c>
      <c r="D12" s="1366"/>
      <c r="E12" s="1681"/>
      <c r="F12" s="343">
        <f>IF(COUNTIFS('12燃料'!$X:$X,ROW())=0,"",ROUND(SUMIFS('12燃料'!$U:$U,'12燃料'!$X:$X,ROW(),'12燃料'!$AH:$AH,3),0))</f>
        <v>0</v>
      </c>
      <c r="G12" s="347" t="s">
        <v>8</v>
      </c>
      <c r="H12" s="345">
        <f>IF(COUNTIFS('12燃料'!$X:$X,ROW())=0,"",SUMIFS('12燃料'!$V:$V,'12燃料'!$X:$X,ROW(),'12燃料'!$AH:$AH,3))</f>
        <v>0</v>
      </c>
      <c r="I12" s="345">
        <f t="shared" si="0"/>
        <v>0</v>
      </c>
      <c r="J12" s="345">
        <f t="shared" si="1"/>
        <v>0</v>
      </c>
      <c r="K12" s="346">
        <f>IF(COUNTIFS('12燃料'!$X:$X,ROW())=0,"",SUMIFS('12燃料'!$W:$W,'12燃料'!$X:$X,ROW(),'12燃料'!$AH:$AH,3))</f>
        <v>0</v>
      </c>
      <c r="M12" s="575">
        <f>IF(COUNTIFS('12燃料'!$X:$X,ROW())=0,"",SUMIFS('12燃料'!$U:$U,'12燃料'!$X:$X,ROW()))</f>
        <v>0</v>
      </c>
    </row>
    <row r="13" spans="1:13" ht="30.15" customHeight="1">
      <c r="A13" s="1810"/>
      <c r="B13" s="1813"/>
      <c r="C13" s="1365" t="s">
        <v>17</v>
      </c>
      <c r="D13" s="1366"/>
      <c r="E13" s="1681"/>
      <c r="F13" s="343" t="str">
        <f>IF(COUNTIFS('12燃料'!$X:$X,ROW())=0,"",ROUND(SUMIFS('12燃料'!$U:$U,'12燃料'!$X:$X,ROW(),'12燃料'!$AH:$AH,3),0))</f>
        <v/>
      </c>
      <c r="G13" s="347" t="s">
        <v>8</v>
      </c>
      <c r="H13" s="345" t="str">
        <f>IF(COUNTIFS('12燃料'!$X:$X,ROW())=0,"",SUMIFS('12燃料'!$V:$V,'12燃料'!$X:$X,ROW(),'12燃料'!$AH:$AH,3))</f>
        <v/>
      </c>
      <c r="I13" s="345" t="str">
        <f t="shared" si="0"/>
        <v/>
      </c>
      <c r="J13" s="345" t="str">
        <f t="shared" si="1"/>
        <v/>
      </c>
      <c r="K13" s="346" t="str">
        <f>IF(COUNTIFS('12燃料'!$X:$X,ROW())=0,"",SUMIFS('12燃料'!$W:$W,'12燃料'!$X:$X,ROW(),'12燃料'!$AH:$AH,3))</f>
        <v/>
      </c>
      <c r="M13" s="575" t="str">
        <f>IF(COUNTIFS('12燃料'!$X:$X,ROW())=0,"",SUMIFS('12燃料'!$U:$U,'12燃料'!$X:$X,ROW()))</f>
        <v/>
      </c>
    </row>
    <row r="14" spans="1:13" ht="30.15" customHeight="1">
      <c r="A14" s="1810"/>
      <c r="B14" s="1813"/>
      <c r="C14" s="1365" t="s">
        <v>18</v>
      </c>
      <c r="D14" s="1366"/>
      <c r="E14" s="1681"/>
      <c r="F14" s="343" t="str">
        <f>IF(COUNTIFS('12燃料'!$X:$X,ROW())=0,"",ROUND(SUMIFS('12燃料'!$U:$U,'12燃料'!$X:$X,ROW(),'12燃料'!$AH:$AH,3),0))</f>
        <v/>
      </c>
      <c r="G14" s="347" t="s">
        <v>19</v>
      </c>
      <c r="H14" s="345" t="str">
        <f>IF(COUNTIFS('12燃料'!$X:$X,ROW())=0,"",SUMIFS('12燃料'!$V:$V,'12燃料'!$X:$X,ROW(),'12燃料'!$AH:$AH,3))</f>
        <v/>
      </c>
      <c r="I14" s="345" t="str">
        <f t="shared" si="0"/>
        <v/>
      </c>
      <c r="J14" s="345" t="str">
        <f t="shared" si="1"/>
        <v/>
      </c>
      <c r="K14" s="346" t="str">
        <f>IF(COUNTIFS('12燃料'!$X:$X,ROW())=0,"",SUMIFS('12燃料'!$W:$W,'12燃料'!$X:$X,ROW(),'12燃料'!$AH:$AH,3))</f>
        <v/>
      </c>
      <c r="M14" s="575" t="str">
        <f>IF(COUNTIFS('12燃料'!$X:$X,ROW())=0,"",SUMIFS('12燃料'!$U:$U,'12燃料'!$X:$X,ROW()))</f>
        <v/>
      </c>
    </row>
    <row r="15" spans="1:13" ht="30.15" customHeight="1">
      <c r="A15" s="1810"/>
      <c r="B15" s="1813"/>
      <c r="C15" s="1365" t="s">
        <v>20</v>
      </c>
      <c r="D15" s="1366"/>
      <c r="E15" s="1681"/>
      <c r="F15" s="343" t="str">
        <f>IF(COUNTIFS('12燃料'!$X:$X,ROW())=0,"",ROUND(SUMIFS('12燃料'!$U:$U,'12燃料'!$X:$X,ROW(),'12燃料'!$AH:$AH,3),0))</f>
        <v/>
      </c>
      <c r="G15" s="347" t="s">
        <v>19</v>
      </c>
      <c r="H15" s="345" t="str">
        <f>IF(COUNTIFS('12燃料'!$X:$X,ROW())=0,"",SUMIFS('12燃料'!$V:$V,'12燃料'!$X:$X,ROW(),'12燃料'!$AH:$AH,3))</f>
        <v/>
      </c>
      <c r="I15" s="345" t="str">
        <f t="shared" si="0"/>
        <v/>
      </c>
      <c r="J15" s="345" t="str">
        <f t="shared" si="1"/>
        <v/>
      </c>
      <c r="K15" s="346" t="str">
        <f>IF(COUNTIFS('12燃料'!$X:$X,ROW())=0,"",SUMIFS('12燃料'!$W:$W,'12燃料'!$X:$X,ROW(),'12燃料'!$AH:$AH,3))</f>
        <v/>
      </c>
      <c r="M15" s="575" t="str">
        <f>IF(COUNTIFS('12燃料'!$X:$X,ROW())=0,"",SUMIFS('12燃料'!$U:$U,'12燃料'!$X:$X,ROW()))</f>
        <v/>
      </c>
    </row>
    <row r="16" spans="1:13" ht="30.15" customHeight="1">
      <c r="A16" s="1810"/>
      <c r="B16" s="1813"/>
      <c r="C16" s="1818" t="s">
        <v>21</v>
      </c>
      <c r="D16" s="1365" t="s">
        <v>22</v>
      </c>
      <c r="E16" s="1681"/>
      <c r="F16" s="343">
        <f>IF(COUNTIFS('12燃料'!$X:$X,ROW())=0,"",ROUND(SUMIFS('12燃料'!$U:$U,'12燃料'!$X:$X,ROW(),'12燃料'!$AH:$AH,3),0))</f>
        <v>0</v>
      </c>
      <c r="G16" s="347" t="s">
        <v>19</v>
      </c>
      <c r="H16" s="345">
        <f>IF(COUNTIFS('12燃料'!$X:$X,ROW())=0,"",SUMIFS('12燃料'!$V:$V,'12燃料'!$X:$X,ROW(),'12燃料'!$AH:$AH,3))</f>
        <v>0</v>
      </c>
      <c r="I16" s="345">
        <f t="shared" si="0"/>
        <v>0</v>
      </c>
      <c r="J16" s="345">
        <f t="shared" si="1"/>
        <v>0</v>
      </c>
      <c r="K16" s="346">
        <f>IF(COUNTIFS('12燃料'!$X:$X,ROW())=0,"",SUMIFS('12燃料'!$W:$W,'12燃料'!$X:$X,ROW(),'12燃料'!$AH:$AH,3))</f>
        <v>0</v>
      </c>
      <c r="M16" s="575">
        <f>IF(COUNTIFS('12燃料'!$X:$X,ROW())=0,"",SUMIFS('12燃料'!$U:$U,'12燃料'!$X:$X,ROW()))</f>
        <v>0</v>
      </c>
    </row>
    <row r="17" spans="1:13" ht="30.15" customHeight="1">
      <c r="A17" s="1810"/>
      <c r="B17" s="1813"/>
      <c r="C17" s="1797"/>
      <c r="D17" s="1365" t="s">
        <v>23</v>
      </c>
      <c r="E17" s="1681"/>
      <c r="F17" s="343" t="str">
        <f>IF(COUNTIFS('12燃料'!$X:$X,ROW())=0,"",ROUND(SUMIFS('12燃料'!$U:$U,'12燃料'!$X:$X,ROW(),'12燃料'!$AH:$AH,3),0))</f>
        <v/>
      </c>
      <c r="G17" s="347" t="s">
        <v>283</v>
      </c>
      <c r="H17" s="345" t="str">
        <f>IF(COUNTIFS('12燃料'!$X:$X,ROW())=0,"",SUMIFS('12燃料'!$V:$V,'12燃料'!$X:$X,ROW(),'12燃料'!$AH:$AH,3))</f>
        <v/>
      </c>
      <c r="I17" s="345" t="str">
        <f t="shared" si="0"/>
        <v/>
      </c>
      <c r="J17" s="345" t="str">
        <f t="shared" si="1"/>
        <v/>
      </c>
      <c r="K17" s="346" t="str">
        <f>IF(COUNTIFS('12燃料'!$X:$X,ROW())=0,"",SUMIFS('12燃料'!$W:$W,'12燃料'!$X:$X,ROW(),'12燃料'!$AH:$AH,3))</f>
        <v/>
      </c>
      <c r="M17" s="575" t="str">
        <f>IF(COUNTIFS('12燃料'!$X:$X,ROW())=0,"",SUMIFS('12燃料'!$U:$U,'12燃料'!$X:$X,ROW()))</f>
        <v/>
      </c>
    </row>
    <row r="18" spans="1:13" ht="30.15" customHeight="1">
      <c r="A18" s="1810"/>
      <c r="B18" s="1813"/>
      <c r="C18" s="1676" t="s">
        <v>24</v>
      </c>
      <c r="D18" s="1365" t="s">
        <v>25</v>
      </c>
      <c r="E18" s="1681"/>
      <c r="F18" s="343" t="str">
        <f>IF(COUNTIFS('12燃料'!$X:$X,ROW())=0,"",ROUND(SUMIFS('12燃料'!$U:$U,'12燃料'!$X:$X,ROW(),'12燃料'!$AH:$AH,3),0))</f>
        <v/>
      </c>
      <c r="G18" s="347" t="s">
        <v>19</v>
      </c>
      <c r="H18" s="345" t="str">
        <f>IF(COUNTIFS('12燃料'!$X:$X,ROW())=0,"",SUMIFS('12燃料'!$V:$V,'12燃料'!$X:$X,ROW(),'12燃料'!$AH:$AH,3))</f>
        <v/>
      </c>
      <c r="I18" s="345" t="str">
        <f t="shared" si="0"/>
        <v/>
      </c>
      <c r="J18" s="345" t="str">
        <f t="shared" si="1"/>
        <v/>
      </c>
      <c r="K18" s="346" t="str">
        <f>IF(COUNTIFS('12燃料'!$X:$X,ROW())=0,"",SUMIFS('12燃料'!$W:$W,'12燃料'!$X:$X,ROW(),'12燃料'!$AH:$AH,3))</f>
        <v/>
      </c>
      <c r="M18" s="575" t="str">
        <f>IF(COUNTIFS('12燃料'!$X:$X,ROW())=0,"",SUMIFS('12燃料'!$U:$U,'12燃料'!$X:$X,ROW()))</f>
        <v/>
      </c>
    </row>
    <row r="19" spans="1:13" ht="30.15" customHeight="1">
      <c r="A19" s="1810"/>
      <c r="B19" s="1813"/>
      <c r="C19" s="1797"/>
      <c r="D19" s="1365" t="s">
        <v>26</v>
      </c>
      <c r="E19" s="1681"/>
      <c r="F19" s="343" t="str">
        <f>IF(COUNTIFS('12燃料'!$X:$X,ROW())=0,"",ROUND(SUMIFS('12燃料'!$U:$U,'12燃料'!$X:$X,ROW(),'12燃料'!$AH:$AH,3),0))</f>
        <v/>
      </c>
      <c r="G19" s="347" t="s">
        <v>283</v>
      </c>
      <c r="H19" s="345" t="str">
        <f>IF(COUNTIFS('12燃料'!$X:$X,ROW())=0,"",SUMIFS('12燃料'!$V:$V,'12燃料'!$X:$X,ROW(),'12燃料'!$AH:$AH,3))</f>
        <v/>
      </c>
      <c r="I19" s="345" t="str">
        <f t="shared" si="0"/>
        <v/>
      </c>
      <c r="J19" s="345" t="str">
        <f t="shared" si="1"/>
        <v/>
      </c>
      <c r="K19" s="346" t="str">
        <f>IF(COUNTIFS('12燃料'!$X:$X,ROW())=0,"",SUMIFS('12燃料'!$W:$W,'12燃料'!$X:$X,ROW(),'12燃料'!$AH:$AH,3))</f>
        <v/>
      </c>
      <c r="M19" s="575" t="str">
        <f>IF(COUNTIFS('12燃料'!$X:$X,ROW())=0,"",SUMIFS('12燃料'!$U:$U,'12燃料'!$X:$X,ROW()))</f>
        <v/>
      </c>
    </row>
    <row r="20" spans="1:13" ht="30.15" customHeight="1">
      <c r="A20" s="1810"/>
      <c r="B20" s="1813"/>
      <c r="C20" s="1816" t="s">
        <v>43</v>
      </c>
      <c r="D20" s="1365" t="s">
        <v>44</v>
      </c>
      <c r="E20" s="1681"/>
      <c r="F20" s="343" t="str">
        <f>IF(COUNTIFS('12燃料'!$X:$X,ROW())=0,"",ROUND(SUMIFS('12燃料'!$U:$U,'12燃料'!$X:$X,ROW(),'12燃料'!$AH:$AH,3),0))</f>
        <v/>
      </c>
      <c r="G20" s="347" t="s">
        <v>19</v>
      </c>
      <c r="H20" s="345" t="str">
        <f>IF(COUNTIFS('12燃料'!$X:$X,ROW())=0,"",SUMIFS('12燃料'!$V:$V,'12燃料'!$X:$X,ROW(),'12燃料'!$AH:$AH,3))</f>
        <v/>
      </c>
      <c r="I20" s="345" t="str">
        <f t="shared" si="0"/>
        <v/>
      </c>
      <c r="J20" s="345" t="str">
        <f t="shared" si="1"/>
        <v/>
      </c>
      <c r="K20" s="346" t="str">
        <f>IF(COUNTIFS('12燃料'!$X:$X,ROW())=0,"",SUMIFS('12燃料'!$W:$W,'12燃料'!$X:$X,ROW(),'12燃料'!$AH:$AH,3))</f>
        <v/>
      </c>
      <c r="M20" s="575" t="str">
        <f>IF(COUNTIFS('12燃料'!$X:$X,ROW())=0,"",SUMIFS('12燃料'!$U:$U,'12燃料'!$X:$X,ROW()))</f>
        <v/>
      </c>
    </row>
    <row r="21" spans="1:13" ht="30.15" customHeight="1">
      <c r="A21" s="1810"/>
      <c r="B21" s="1813"/>
      <c r="C21" s="1781"/>
      <c r="D21" s="1365" t="s">
        <v>45</v>
      </c>
      <c r="E21" s="1681"/>
      <c r="F21" s="343" t="str">
        <f>IF(COUNTIFS('12燃料'!$X:$X,ROW())=0,"",ROUND(SUMIFS('12燃料'!$U:$U,'12燃料'!$X:$X,ROW(),'12燃料'!$AH:$AH,3),0))</f>
        <v/>
      </c>
      <c r="G21" s="347" t="s">
        <v>19</v>
      </c>
      <c r="H21" s="345" t="str">
        <f>IF(COUNTIFS('12燃料'!$X:$X,ROW())=0,"",SUMIFS('12燃料'!$V:$V,'12燃料'!$X:$X,ROW(),'12燃料'!$AH:$AH,3))</f>
        <v/>
      </c>
      <c r="I21" s="345" t="str">
        <f t="shared" si="0"/>
        <v/>
      </c>
      <c r="J21" s="345" t="str">
        <f t="shared" si="1"/>
        <v/>
      </c>
      <c r="K21" s="346" t="str">
        <f>IF(COUNTIFS('12燃料'!$X:$X,ROW())=0,"",SUMIFS('12燃料'!$W:$W,'12燃料'!$X:$X,ROW(),'12燃料'!$AH:$AH,3))</f>
        <v/>
      </c>
      <c r="M21" s="575" t="str">
        <f>IF(COUNTIFS('12燃料'!$X:$X,ROW())=0,"",SUMIFS('12燃料'!$U:$U,'12燃料'!$X:$X,ROW()))</f>
        <v/>
      </c>
    </row>
    <row r="22" spans="1:13" ht="30.15" customHeight="1">
      <c r="A22" s="1810"/>
      <c r="B22" s="1813"/>
      <c r="C22" s="1782"/>
      <c r="D22" s="1365" t="s">
        <v>54</v>
      </c>
      <c r="E22" s="1681"/>
      <c r="F22" s="343" t="str">
        <f>IF(COUNTIFS('12燃料'!$X:$X,ROW())=0,"",ROUND(SUMIFS('12燃料'!$U:$U,'12燃料'!$X:$X,ROW(),'12燃料'!$AH:$AH,3),0))</f>
        <v/>
      </c>
      <c r="G22" s="347" t="s">
        <v>19</v>
      </c>
      <c r="H22" s="345" t="str">
        <f>IF(COUNTIFS('12燃料'!$X:$X,ROW())=0,"",SUMIFS('12燃料'!$V:$V,'12燃料'!$X:$X,ROW(),'12燃料'!$AH:$AH,3))</f>
        <v/>
      </c>
      <c r="I22" s="345" t="str">
        <f t="shared" si="0"/>
        <v/>
      </c>
      <c r="J22" s="345" t="str">
        <f t="shared" si="1"/>
        <v/>
      </c>
      <c r="K22" s="346" t="str">
        <f>IF(COUNTIFS('12燃料'!$X:$X,ROW())=0,"",SUMIFS('12燃料'!$W:$W,'12燃料'!$X:$X,ROW(),'12燃料'!$AH:$AH,3))</f>
        <v/>
      </c>
      <c r="M22" s="575" t="str">
        <f>IF(COUNTIFS('12燃料'!$X:$X,ROW())=0,"",SUMIFS('12燃料'!$U:$U,'12燃料'!$X:$X,ROW()))</f>
        <v/>
      </c>
    </row>
    <row r="23" spans="1:13" ht="30.15" customHeight="1">
      <c r="A23" s="1810"/>
      <c r="B23" s="1813"/>
      <c r="C23" s="1817" t="s">
        <v>46</v>
      </c>
      <c r="D23" s="1365" t="s">
        <v>47</v>
      </c>
      <c r="E23" s="1681"/>
      <c r="F23" s="343" t="str">
        <f>IF(COUNTIFS('12燃料'!$X:$X,ROW())=0,"",ROUND(SUMIFS('12燃料'!$U:$U,'12燃料'!$X:$X,ROW(),'12燃料'!$AH:$AH,3),0))</f>
        <v/>
      </c>
      <c r="G23" s="347" t="s">
        <v>19</v>
      </c>
      <c r="H23" s="345" t="str">
        <f>IF(COUNTIFS('12燃料'!$X:$X,ROW())=0,"",SUMIFS('12燃料'!$V:$V,'12燃料'!$X:$X,ROW(),'12燃料'!$AH:$AH,3))</f>
        <v/>
      </c>
      <c r="I23" s="345" t="str">
        <f t="shared" si="0"/>
        <v/>
      </c>
      <c r="J23" s="345" t="str">
        <f t="shared" si="1"/>
        <v/>
      </c>
      <c r="K23" s="346" t="str">
        <f>IF(COUNTIFS('12燃料'!$X:$X,ROW())=0,"",SUMIFS('12燃料'!$W:$W,'12燃料'!$X:$X,ROW(),'12燃料'!$AH:$AH,3))</f>
        <v/>
      </c>
      <c r="M23" s="575" t="str">
        <f>IF(COUNTIFS('12燃料'!$X:$X,ROW())=0,"",SUMIFS('12燃料'!$U:$U,'12燃料'!$X:$X,ROW()))</f>
        <v/>
      </c>
    </row>
    <row r="24" spans="1:13" ht="30.15" customHeight="1">
      <c r="A24" s="1810"/>
      <c r="B24" s="1813"/>
      <c r="C24" s="1817"/>
      <c r="D24" s="1365" t="s">
        <v>48</v>
      </c>
      <c r="E24" s="1681"/>
      <c r="F24" s="343" t="str">
        <f>IF(COUNTIFS('12燃料'!$X:$X,ROW())=0,"",ROUND(SUMIFS('12燃料'!$U:$U,'12燃料'!$X:$X,ROW(),'12燃料'!$AH:$AH,3),0))</f>
        <v/>
      </c>
      <c r="G24" s="347" t="s">
        <v>19</v>
      </c>
      <c r="H24" s="345" t="str">
        <f>IF(COUNTIFS('12燃料'!$X:$X,ROW())=0,"",SUMIFS('12燃料'!$V:$V,'12燃料'!$X:$X,ROW(),'12燃料'!$AH:$AH,3))</f>
        <v/>
      </c>
      <c r="I24" s="345" t="str">
        <f t="shared" si="0"/>
        <v/>
      </c>
      <c r="J24" s="345" t="str">
        <f t="shared" si="1"/>
        <v/>
      </c>
      <c r="K24" s="346" t="str">
        <f>IF(COUNTIFS('12燃料'!$X:$X,ROW())=0,"",SUMIFS('12燃料'!$W:$W,'12燃料'!$X:$X,ROW(),'12燃料'!$AH:$AH,3))</f>
        <v/>
      </c>
      <c r="M24" s="575" t="str">
        <f>IF(COUNTIFS('12燃料'!$X:$X,ROW())=0,"",SUMIFS('12燃料'!$U:$U,'12燃料'!$X:$X,ROW()))</f>
        <v/>
      </c>
    </row>
    <row r="25" spans="1:13" ht="30.15" customHeight="1">
      <c r="A25" s="1810"/>
      <c r="B25" s="1813"/>
      <c r="C25" s="1365" t="s">
        <v>53</v>
      </c>
      <c r="D25" s="1366"/>
      <c r="E25" s="1681"/>
      <c r="F25" s="343" t="str">
        <f>IF(COUNTIFS('12燃料'!$X:$X,ROW())=0,"",ROUND(SUMIFS('12燃料'!$U:$U,'12燃料'!$X:$X,ROW(),'12燃料'!$AH:$AH,3),0))</f>
        <v/>
      </c>
      <c r="G25" s="347" t="s">
        <v>19</v>
      </c>
      <c r="H25" s="345" t="str">
        <f>IF(COUNTIFS('12燃料'!$X:$X,ROW())=0,"",SUMIFS('12燃料'!$V:$V,'12燃料'!$X:$X,ROW(),'12燃料'!$AH:$AH,3))</f>
        <v/>
      </c>
      <c r="I25" s="345" t="str">
        <f t="shared" si="0"/>
        <v/>
      </c>
      <c r="J25" s="345" t="str">
        <f t="shared" si="1"/>
        <v/>
      </c>
      <c r="K25" s="346" t="str">
        <f>IF(COUNTIFS('12燃料'!$X:$X,ROW())=0,"",SUMIFS('12燃料'!$W:$W,'12燃料'!$X:$X,ROW(),'12燃料'!$AH:$AH,3))</f>
        <v/>
      </c>
      <c r="M25" s="575" t="str">
        <f>IF(COUNTIFS('12燃料'!$X:$X,ROW())=0,"",SUMIFS('12燃料'!$U:$U,'12燃料'!$X:$X,ROW()))</f>
        <v/>
      </c>
    </row>
    <row r="26" spans="1:13" ht="30.15" customHeight="1">
      <c r="A26" s="1810"/>
      <c r="B26" s="1813"/>
      <c r="C26" s="1365" t="s">
        <v>27</v>
      </c>
      <c r="D26" s="1366"/>
      <c r="E26" s="1681"/>
      <c r="F26" s="343" t="str">
        <f>IF(COUNTIFS('12燃料'!$X:$X,ROW())=0,"",ROUND(SUMIFS('12燃料'!$U:$U,'12燃料'!$X:$X,ROW(),'12燃料'!$AH:$AH,3),0))</f>
        <v/>
      </c>
      <c r="G26" s="348" t="s">
        <v>19</v>
      </c>
      <c r="H26" s="345" t="str">
        <f>IF(COUNTIFS('12燃料'!$X:$X,ROW())=0,"",SUMIFS('12燃料'!$V:$V,'12燃料'!$X:$X,ROW(),'12燃料'!$AH:$AH,3))</f>
        <v/>
      </c>
      <c r="I26" s="345" t="str">
        <f t="shared" si="0"/>
        <v/>
      </c>
      <c r="J26" s="345" t="str">
        <f t="shared" si="1"/>
        <v/>
      </c>
      <c r="K26" s="346" t="str">
        <f>IF(COUNTIFS('12燃料'!$X:$X,ROW())=0,"",SUMIFS('12燃料'!$W:$W,'12燃料'!$X:$X,ROW(),'12燃料'!$AH:$AH,3))</f>
        <v/>
      </c>
      <c r="M26" s="575" t="str">
        <f>IF(COUNTIFS('12燃料'!$X:$X,ROW())=0,"",SUMIFS('12燃料'!$U:$U,'12燃料'!$X:$X,ROW()))</f>
        <v/>
      </c>
    </row>
    <row r="27" spans="1:13" ht="30.15" customHeight="1">
      <c r="A27" s="1810"/>
      <c r="B27" s="1813"/>
      <c r="C27" s="1365" t="s">
        <v>28</v>
      </c>
      <c r="D27" s="1366"/>
      <c r="E27" s="1681"/>
      <c r="F27" s="343" t="str">
        <f>IF(COUNTIFS('12燃料'!$X:$X,ROW())=0,"",ROUND(SUMIFS('12燃料'!$U:$U,'12燃料'!$X:$X,ROW(),'12燃料'!$AH:$AH,3),0))</f>
        <v/>
      </c>
      <c r="G27" s="348" t="s">
        <v>19</v>
      </c>
      <c r="H27" s="345" t="str">
        <f>IF(COUNTIFS('12燃料'!$X:$X,ROW())=0,"",SUMIFS('12燃料'!$V:$V,'12燃料'!$X:$X,ROW(),'12燃料'!$AH:$AH,3))</f>
        <v/>
      </c>
      <c r="I27" s="345" t="str">
        <f t="shared" si="0"/>
        <v/>
      </c>
      <c r="J27" s="345" t="str">
        <f t="shared" si="1"/>
        <v/>
      </c>
      <c r="K27" s="346" t="str">
        <f>IF(COUNTIFS('12燃料'!$X:$X,ROW())=0,"",SUMIFS('12燃料'!$W:$W,'12燃料'!$X:$X,ROW(),'12燃料'!$AH:$AH,3))</f>
        <v/>
      </c>
      <c r="M27" s="575" t="str">
        <f>IF(COUNTIFS('12燃料'!$X:$X,ROW())=0,"",SUMIFS('12燃料'!$U:$U,'12燃料'!$X:$X,ROW()))</f>
        <v/>
      </c>
    </row>
    <row r="28" spans="1:13" ht="30.15" customHeight="1">
      <c r="A28" s="1810"/>
      <c r="B28" s="1813"/>
      <c r="C28" s="1365" t="s">
        <v>71</v>
      </c>
      <c r="D28" s="1366"/>
      <c r="E28" s="1681"/>
      <c r="F28" s="343" t="str">
        <f>IF(COUNTIFS('12燃料'!$X:$X,ROW())=0,"",ROUND(SUMIFS('12燃料'!$U:$U,'12燃料'!$X:$X,ROW(),'12燃料'!$AH:$AH,3),0))</f>
        <v/>
      </c>
      <c r="G28" s="347" t="s">
        <v>283</v>
      </c>
      <c r="H28" s="345" t="str">
        <f>IF(COUNTIFS('12燃料'!$X:$X,ROW())=0,"",SUMIFS('12燃料'!$V:$V,'12燃料'!$X:$X,ROW(),'12燃料'!$AH:$AH,3))</f>
        <v/>
      </c>
      <c r="I28" s="345" t="str">
        <f t="shared" si="0"/>
        <v/>
      </c>
      <c r="J28" s="345" t="str">
        <f t="shared" si="1"/>
        <v/>
      </c>
      <c r="K28" s="346" t="str">
        <f>IF(COUNTIFS('12燃料'!$X:$X,ROW())=0,"",SUMIFS('12燃料'!$W:$W,'12燃料'!$X:$X,ROW(),'12燃料'!$AH:$AH,3))</f>
        <v/>
      </c>
      <c r="M28" s="575" t="str">
        <f>IF(COUNTIFS('12燃料'!$X:$X,ROW())=0,"",SUMIFS('12燃料'!$U:$U,'12燃料'!$X:$X,ROW()))</f>
        <v/>
      </c>
    </row>
    <row r="29" spans="1:13" ht="30.15" customHeight="1">
      <c r="A29" s="1810"/>
      <c r="B29" s="1813"/>
      <c r="C29" s="1365" t="s">
        <v>63</v>
      </c>
      <c r="D29" s="1366"/>
      <c r="E29" s="1681"/>
      <c r="F29" s="343" t="str">
        <f>IF(COUNTIFS('12燃料'!$X:$X,ROW())=0,"",ROUND(SUMIFS('12燃料'!$U:$U,'12燃料'!$X:$X,ROW(),'12燃料'!$AH:$AH,3),0))</f>
        <v/>
      </c>
      <c r="G29" s="347" t="s">
        <v>283</v>
      </c>
      <c r="H29" s="345" t="str">
        <f>IF(COUNTIFS('12燃料'!$X:$X,ROW())=0,"",SUMIFS('12燃料'!$V:$V,'12燃料'!$X:$X,ROW(),'12燃料'!$AH:$AH,3))</f>
        <v/>
      </c>
      <c r="I29" s="345" t="str">
        <f t="shared" si="0"/>
        <v/>
      </c>
      <c r="J29" s="345" t="str">
        <f t="shared" si="1"/>
        <v/>
      </c>
      <c r="K29" s="346" t="str">
        <f>IF(COUNTIFS('12燃料'!$X:$X,ROW())=0,"",SUMIFS('12燃料'!$W:$W,'12燃料'!$X:$X,ROW(),'12燃料'!$AH:$AH,3))</f>
        <v/>
      </c>
      <c r="M29" s="575" t="str">
        <f>IF(COUNTIFS('12燃料'!$X:$X,ROW())=0,"",SUMIFS('12燃料'!$U:$U,'12燃料'!$X:$X,ROW()))</f>
        <v/>
      </c>
    </row>
    <row r="30" spans="1:13" ht="30.15" customHeight="1">
      <c r="A30" s="1810"/>
      <c r="B30" s="1813"/>
      <c r="C30" s="1365" t="s">
        <v>49</v>
      </c>
      <c r="D30" s="1366"/>
      <c r="E30" s="1681"/>
      <c r="F30" s="343" t="str">
        <f>IF(COUNTIFS('12燃料'!$X:$X,ROW())=0,"",ROUND(SUMIFS('12燃料'!$U:$U,'12燃料'!$X:$X,ROW(),'12燃料'!$AH:$AH,3),0))</f>
        <v/>
      </c>
      <c r="G30" s="347" t="s">
        <v>283</v>
      </c>
      <c r="H30" s="345" t="str">
        <f>IF(COUNTIFS('12燃料'!$X:$X,ROW())=0,"",SUMIFS('12燃料'!$V:$V,'12燃料'!$X:$X,ROW(),'12燃料'!$AH:$AH,3))</f>
        <v/>
      </c>
      <c r="I30" s="345" t="str">
        <f t="shared" si="0"/>
        <v/>
      </c>
      <c r="J30" s="345" t="str">
        <f t="shared" si="1"/>
        <v/>
      </c>
      <c r="K30" s="346" t="str">
        <f>IF(COUNTIFS('12燃料'!$X:$X,ROW())=0,"",SUMIFS('12燃料'!$W:$W,'12燃料'!$X:$X,ROW(),'12燃料'!$AH:$AH,3))</f>
        <v/>
      </c>
      <c r="M30" s="575" t="str">
        <f>IF(COUNTIFS('12燃料'!$X:$X,ROW())=0,"",SUMIFS('12燃料'!$U:$U,'12燃料'!$X:$X,ROW()))</f>
        <v/>
      </c>
    </row>
    <row r="31" spans="1:13" ht="30.15" customHeight="1">
      <c r="A31" s="1810"/>
      <c r="B31" s="1813"/>
      <c r="C31" s="1365" t="s">
        <v>30</v>
      </c>
      <c r="D31" s="1366"/>
      <c r="E31" s="1681"/>
      <c r="F31" s="343" t="str">
        <f>IF(COUNTIFS('12燃料'!$X:$X,ROW())=0,"",ROUND(SUMIFS('12燃料'!$U:$U,'12燃料'!$X:$X,ROW(),'12燃料'!$AH:$AH,3),0))</f>
        <v/>
      </c>
      <c r="G31" s="347" t="s">
        <v>283</v>
      </c>
      <c r="H31" s="345" t="str">
        <f>IF(COUNTIFS('12燃料'!$X:$X,ROW())=0,"",SUMIFS('12燃料'!$V:$V,'12燃料'!$X:$X,ROW(),'12燃料'!$AH:$AH,3))</f>
        <v/>
      </c>
      <c r="I31" s="345" t="str">
        <f t="shared" si="0"/>
        <v/>
      </c>
      <c r="J31" s="345" t="str">
        <f t="shared" si="1"/>
        <v/>
      </c>
      <c r="K31" s="346" t="str">
        <f>IF(COUNTIFS('12燃料'!$X:$X,ROW())=0,"",SUMIFS('12燃料'!$W:$W,'12燃料'!$X:$X,ROW(),'12燃料'!$AH:$AH,3))</f>
        <v/>
      </c>
      <c r="M31" s="575" t="str">
        <f>IF(COUNTIFS('12燃料'!$X:$X,ROW())=0,"",SUMIFS('12燃料'!$U:$U,'12燃料'!$X:$X,ROW()))</f>
        <v/>
      </c>
    </row>
    <row r="32" spans="1:13" ht="30.15" customHeight="1">
      <c r="A32" s="1810"/>
      <c r="B32" s="1813"/>
      <c r="C32" s="1365" t="s">
        <v>50</v>
      </c>
      <c r="D32" s="1366"/>
      <c r="E32" s="1681"/>
      <c r="F32" s="1188" t="str">
        <f>IF(COUNTIFS('12燃料'!$X:$X,ROW())=0,"",ROUND(SUMIFS('12燃料'!$U:$U,'12燃料'!$X:$X,ROW(),'12燃料'!$AH:$AH,3),0))</f>
        <v/>
      </c>
      <c r="G32" s="347" t="s">
        <v>8</v>
      </c>
      <c r="H32" s="345" t="str">
        <f>IF(COUNTIFS('12燃料'!$X:$X,ROW())=0,"",SUMIFS('12燃料'!$V:$V,'12燃料'!$X:$X,ROW(),'12燃料'!$AH:$AH,3))</f>
        <v/>
      </c>
      <c r="I32" s="345" t="str">
        <f t="shared" si="0"/>
        <v/>
      </c>
      <c r="J32" s="345" t="str">
        <f t="shared" si="1"/>
        <v/>
      </c>
      <c r="K32" s="346" t="str">
        <f>IF(COUNTIFS('12燃料'!$X:$X,ROW())=0,"",SUMIFS('12燃料'!$W:$W,'12燃料'!$X:$X,ROW(),'12燃料'!$AH:$AH,3))</f>
        <v/>
      </c>
      <c r="M32" s="575" t="str">
        <f>IF(COUNTIFS('12燃料'!$X:$X,ROW())=0,"",SUMIFS('12燃料'!$U:$U,'12燃料'!$X:$X,ROW()))</f>
        <v/>
      </c>
    </row>
    <row r="33" spans="1:13" ht="30.15" customHeight="1">
      <c r="A33" s="1810"/>
      <c r="B33" s="1813"/>
      <c r="C33" s="1821" t="s">
        <v>32</v>
      </c>
      <c r="D33" s="1822"/>
      <c r="E33" s="1823"/>
      <c r="F33" s="349">
        <f>IF(COUNTIFS('13電気・熱_都市ガス'!$AP:$AP,ROW())=0,"",ROUND(SUMIFS('13電気・熱_都市ガス'!$AM:$AM,'13電気・熱_都市ガス'!$AP:$AP,ROW(),'13電気・熱_都市ガス'!$BI:$BI,3),0))</f>
        <v>0</v>
      </c>
      <c r="G33" s="347" t="s">
        <v>283</v>
      </c>
      <c r="H33" s="345">
        <f>IF(COUNTIFS('13電気・熱_都市ガス'!$AP:$AP,ROW())=0,"",SUMIFS('13電気・熱_都市ガス'!$AN:$AN,'13電気・熱_都市ガス'!$AP:$AP,ROW(),'13電気・熱_都市ガス'!$BI:$BI,3))</f>
        <v>0</v>
      </c>
      <c r="I33" s="345">
        <f t="shared" si="0"/>
        <v>0</v>
      </c>
      <c r="J33" s="345">
        <f t="shared" ref="J33:J35" si="2">IF(H33="","",H33*0.0258)</f>
        <v>0</v>
      </c>
      <c r="K33" s="346">
        <f>IF(COUNTIFS('13電気・熱_都市ガス'!$AP:$AP,ROW())=0,"",SUMIFS('13電気・熱_都市ガス'!$AO:$AO,'13電気・熱_都市ガス'!$AP:$AP,ROW(),'13電気・熱_都市ガス'!$BI:$BI,3))</f>
        <v>0</v>
      </c>
      <c r="M33" s="575">
        <f>IF(COUNTIFS('13電気・熱_都市ガス'!$AP:$AP,ROW())=0,"",SUMIFS('13電気・熱_都市ガス'!$AM:$AM,'13電気・熱_都市ガス'!$AP:$AP,ROW()))</f>
        <v>0</v>
      </c>
    </row>
    <row r="34" spans="1:13" ht="30.15" customHeight="1">
      <c r="A34" s="1810"/>
      <c r="B34" s="1813"/>
      <c r="C34" s="1801" t="s">
        <v>31</v>
      </c>
      <c r="D34" s="1802" t="str">
        <f>IF('0.事業所概要'!J25="","その他燃料①",'0.事業所概要'!J25)</f>
        <v>その他燃料①</v>
      </c>
      <c r="E34" s="1803"/>
      <c r="F34" s="343" t="str">
        <f>IF(COUNTIFS('12燃料'!$X:$X,ROW())=0,"",ROUND(SUMIFS('12燃料'!$U:$U,'12燃料'!$X:$X,ROW(),'12燃料'!$AH:$AH,3),0))</f>
        <v/>
      </c>
      <c r="G34" s="350" t="str">
        <f>IF('0.事業所概要'!L25="","",'0.事業所概要'!L25)</f>
        <v/>
      </c>
      <c r="H34" s="345" t="str">
        <f>IF(COUNTIFS('12燃料'!$X:$X,ROW())=0,"",SUMIFS('12燃料'!$V:$V,'12燃料'!$X:$X,ROW(),'12燃料'!$AH:$AH,3))</f>
        <v/>
      </c>
      <c r="I34" s="345" t="str">
        <f t="shared" si="0"/>
        <v/>
      </c>
      <c r="J34" s="345" t="str">
        <f t="shared" si="2"/>
        <v/>
      </c>
      <c r="K34" s="346" t="str">
        <f>IF(COUNTIFS('12燃料'!$X:$X,ROW())=0,"",SUMIFS('12燃料'!$W:$W,'12燃料'!$X:$X,ROW(),'12燃料'!$AH:$AH,3))</f>
        <v/>
      </c>
      <c r="M34" s="575" t="str">
        <f>IF(COUNTIFS('12燃料'!$X:$X,ROW())=0,"",SUMIFS('12燃料'!$U:$U,'12燃料'!$X:$X,ROW()))</f>
        <v/>
      </c>
    </row>
    <row r="35" spans="1:13" ht="30.15" customHeight="1">
      <c r="A35" s="1810"/>
      <c r="B35" s="1813"/>
      <c r="C35" s="1801"/>
      <c r="D35" s="1802" t="str">
        <f>IF('0.事業所概要'!J26="","その他燃料②",'0.事業所概要'!J26)</f>
        <v>その他燃料②</v>
      </c>
      <c r="E35" s="1803"/>
      <c r="F35" s="343" t="str">
        <f>IF(COUNTIFS('12燃料'!$X:$X,ROW())=0,"",ROUND(SUMIFS('12燃料'!$U:$U,'12燃料'!$X:$X,ROW(),'12燃料'!$AH:$AH,3),0))</f>
        <v/>
      </c>
      <c r="G35" s="350" t="str">
        <f>IF('0.事業所概要'!L26="","",'0.事業所概要'!L26)</f>
        <v/>
      </c>
      <c r="H35" s="345" t="str">
        <f>IF(COUNTIFS('12燃料'!$X:$X,ROW())=0,"",SUMIFS('12燃料'!$V:$V,'12燃料'!$X:$X,ROW(),'12燃料'!$AH:$AH,3))</f>
        <v/>
      </c>
      <c r="I35" s="345" t="str">
        <f t="shared" si="0"/>
        <v/>
      </c>
      <c r="J35" s="345" t="str">
        <f t="shared" si="2"/>
        <v/>
      </c>
      <c r="K35" s="346" t="str">
        <f>IF(COUNTIFS('12燃料'!$X:$X,ROW())=0,"",SUMIFS('12燃料'!$W:$W,'12燃料'!$X:$X,ROW(),'12燃料'!$AH:$AH,3))</f>
        <v/>
      </c>
      <c r="M35" s="575" t="str">
        <f>IF(COUNTIFS('12燃料'!$X:$X,ROW())=0,"",SUMIFS('12燃料'!$U:$U,'12燃料'!$X:$X,ROW()))</f>
        <v/>
      </c>
    </row>
    <row r="36" spans="1:13" ht="30.15" customHeight="1" thickBot="1">
      <c r="A36" s="1810"/>
      <c r="B36" s="171"/>
      <c r="C36" s="1696" t="s">
        <v>37</v>
      </c>
      <c r="D36" s="1776"/>
      <c r="E36" s="1697"/>
      <c r="F36" s="1774"/>
      <c r="G36" s="1775"/>
      <c r="H36" s="351">
        <f>IF(COUNT(H6:H35)=0,"",SUM(H6:H35))</f>
        <v>0</v>
      </c>
      <c r="I36" s="352">
        <f t="shared" ref="I36:K36" si="3">IF(COUNT(I6:I35)=0,"",SUM(I6:I35))</f>
        <v>0</v>
      </c>
      <c r="J36" s="352">
        <f t="shared" si="3"/>
        <v>0</v>
      </c>
      <c r="K36" s="353">
        <f t="shared" si="3"/>
        <v>0</v>
      </c>
    </row>
    <row r="37" spans="1:13" ht="30.15" customHeight="1" thickTop="1">
      <c r="A37" s="1810"/>
      <c r="B37" s="1777" t="s">
        <v>273</v>
      </c>
      <c r="C37" s="1780" t="s">
        <v>188</v>
      </c>
      <c r="D37" s="1783" t="s">
        <v>33</v>
      </c>
      <c r="E37" s="1784"/>
      <c r="F37" s="354" t="str">
        <f>IF(COUNTIFS('13電気・熱_都市ガス'!$AP:$AP,ROW())=0,"",ROUND(SUMIFS('13電気・熱_都市ガス'!$AM:$AM,'13電気・熱_都市ガス'!$AP:$AP,ROW(),'13電気・熱_都市ガス'!$BI:$BI,3),0))</f>
        <v/>
      </c>
      <c r="G37" s="355" t="s">
        <v>7</v>
      </c>
      <c r="H37" s="460" t="str">
        <f>IF(COUNTIFS('13電気・熱_都市ガス'!$AP:$AP,ROW())=0,"",SUMIFS('13電気・熱_都市ガス'!$AN:$AN,'13電気・熱_都市ガス'!$AP:$AP,ROW(),'13電気・熱_都市ガス'!$BI:$BI,3))</f>
        <v/>
      </c>
      <c r="I37" s="356" t="str">
        <f t="shared" si="0"/>
        <v/>
      </c>
      <c r="J37" s="356" t="str">
        <f t="shared" ref="J37:J42" si="4">IF(H37="","",H37*0.0258)</f>
        <v/>
      </c>
      <c r="K37" s="357" t="str">
        <f>IF(COUNTIFS('13電気・熱_都市ガス'!$AP:$AP,ROW())=0,"",SUMIFS('13電気・熱_都市ガス'!$AO:$AO,'13電気・熱_都市ガス'!$AP:$AP,ROW(),'13電気・熱_都市ガス'!$BI:$BI,3))</f>
        <v/>
      </c>
      <c r="M37" s="575" t="str">
        <f>IF(COUNTIFS('13電気・熱_都市ガス'!$AP:$AP,ROW())=0,"",SUMIFS('13電気・熱_都市ガス'!$AM:$AM,'13電気・熱_都市ガス'!$AP:$AP,ROW()))</f>
        <v/>
      </c>
    </row>
    <row r="38" spans="1:13" ht="30.15" customHeight="1">
      <c r="A38" s="1810"/>
      <c r="B38" s="1778"/>
      <c r="C38" s="1781"/>
      <c r="D38" s="1785" t="s">
        <v>34</v>
      </c>
      <c r="E38" s="1786"/>
      <c r="F38" s="343" t="str">
        <f>IF(COUNTIFS('13電気・熱_都市ガス'!$AP:$AP,ROW())=0,"",ROUND(SUMIFS('13電気・熱_都市ガス'!$AM:$AM,'13電気・熱_都市ガス'!$AP:$AP,ROW(),'13電気・熱_都市ガス'!$BI:$BI,3),0))</f>
        <v/>
      </c>
      <c r="G38" s="347" t="s">
        <v>7</v>
      </c>
      <c r="H38" s="461" t="str">
        <f>IF(COUNTIFS('13電気・熱_都市ガス'!$AP:$AP,ROW())=0,"",SUMIFS('13電気・熱_都市ガス'!$AN:$AN,'13電気・熱_都市ガス'!$AP:$AP,ROW(),'13電気・熱_都市ガス'!$BI:$BI,3))</f>
        <v/>
      </c>
      <c r="I38" s="345" t="str">
        <f t="shared" si="0"/>
        <v/>
      </c>
      <c r="J38" s="345" t="str">
        <f t="shared" si="4"/>
        <v/>
      </c>
      <c r="K38" s="346" t="str">
        <f>IF(COUNTIFS('13電気・熱_都市ガス'!$AP:$AP,ROW())=0,"",SUMIFS('13電気・熱_都市ガス'!$AO:$AO,'13電気・熱_都市ガス'!$AP:$AP,ROW(),'13電気・熱_都市ガス'!$BI:$BI,3))</f>
        <v/>
      </c>
      <c r="M38" s="575" t="str">
        <f>IF(COUNTIFS('13電気・熱_都市ガス'!$AP:$AP,ROW())=0,"",SUMIFS('13電気・熱_都市ガス'!$AM:$AM,'13電気・熱_都市ガス'!$AP:$AP,ROW()))</f>
        <v/>
      </c>
    </row>
    <row r="39" spans="1:13" ht="30.15" customHeight="1">
      <c r="A39" s="1810"/>
      <c r="B39" s="1778"/>
      <c r="C39" s="1781"/>
      <c r="D39" s="1365" t="s">
        <v>35</v>
      </c>
      <c r="E39" s="1681"/>
      <c r="F39" s="343" t="str">
        <f>IF(COUNTIFS('13電気・熱_都市ガス'!$AP:$AP,ROW())=0,"",ROUND(SUMIFS('13電気・熱_都市ガス'!$AM:$AM,'13電気・熱_都市ガス'!$AP:$AP,ROW(),'13電気・熱_都市ガス'!$BI:$BI,3),0))</f>
        <v/>
      </c>
      <c r="G39" s="347" t="s">
        <v>7</v>
      </c>
      <c r="H39" s="461" t="str">
        <f>IF(COUNTIFS('13電気・熱_都市ガス'!$AP:$AP,ROW())=0,"",SUMIFS('13電気・熱_都市ガス'!$AN:$AN,'13電気・熱_都市ガス'!$AP:$AP,ROW(),'13電気・熱_都市ガス'!$BI:$BI,3))</f>
        <v/>
      </c>
      <c r="I39" s="345" t="str">
        <f t="shared" si="0"/>
        <v/>
      </c>
      <c r="J39" s="345" t="str">
        <f t="shared" si="4"/>
        <v/>
      </c>
      <c r="K39" s="346" t="str">
        <f>IF(COUNTIFS('13電気・熱_都市ガス'!$AP:$AP,ROW())=0,"",SUMIFS('13電気・熱_都市ガス'!$AO:$AO,'13電気・熱_都市ガス'!$AP:$AP,ROW(),'13電気・熱_都市ガス'!$BI:$BI,3))</f>
        <v/>
      </c>
      <c r="M39" s="575" t="str">
        <f>IF(COUNTIFS('13電気・熱_都市ガス'!$AP:$AP,ROW())=0,"",SUMIFS('13電気・熱_都市ガス'!$AM:$AM,'13電気・熱_都市ガス'!$AP:$AP,ROW()))</f>
        <v/>
      </c>
    </row>
    <row r="40" spans="1:13" ht="30.15" customHeight="1">
      <c r="A40" s="1810"/>
      <c r="B40" s="1778"/>
      <c r="C40" s="1782"/>
      <c r="D40" s="1365" t="s">
        <v>36</v>
      </c>
      <c r="E40" s="1681"/>
      <c r="F40" s="343" t="str">
        <f>IF(COUNTIFS('13電気・熱_都市ガス'!$AP:$AP,ROW())=0,"",ROUND(SUMIFS('13電気・熱_都市ガス'!$AM:$AM,'13電気・熱_都市ガス'!$AP:$AP,ROW(),'13電気・熱_都市ガス'!$BI:$BI,3),0))</f>
        <v/>
      </c>
      <c r="G40" s="347" t="s">
        <v>7</v>
      </c>
      <c r="H40" s="461" t="str">
        <f>IF(COUNTIFS('13電気・熱_都市ガス'!$AP:$AP,ROW())=0,"",SUMIFS('13電気・熱_都市ガス'!$AN:$AN,'13電気・熱_都市ガス'!$AP:$AP,ROW(),'13電気・熱_都市ガス'!$BI:$BI,3))</f>
        <v/>
      </c>
      <c r="I40" s="345" t="str">
        <f t="shared" si="0"/>
        <v/>
      </c>
      <c r="J40" s="345" t="str">
        <f t="shared" si="4"/>
        <v/>
      </c>
      <c r="K40" s="346" t="str">
        <f>IF(COUNTIFS('13電気・熱_都市ガス'!$AP:$AP,ROW())=0,"",SUMIFS('13電気・熱_都市ガス'!$AO:$AO,'13電気・熱_都市ガス'!$AP:$AP,ROW(),'13電気・熱_都市ガス'!$BI:$BI,3))</f>
        <v/>
      </c>
      <c r="M40" s="575" t="str">
        <f>IF(COUNTIFS('13電気・熱_都市ガス'!$AP:$AP,ROW())=0,"",SUMIFS('13電気・熱_都市ガス'!$AM:$AM,'13電気・熱_都市ガス'!$AP:$AP,ROW()))</f>
        <v/>
      </c>
    </row>
    <row r="41" spans="1:13" ht="30.15" customHeight="1">
      <c r="A41" s="1810"/>
      <c r="B41" s="1778"/>
      <c r="C41" s="1787" t="s">
        <v>189</v>
      </c>
      <c r="D41" s="1769" t="s">
        <v>58</v>
      </c>
      <c r="E41" s="14" t="s">
        <v>56</v>
      </c>
      <c r="F41" s="358" t="str">
        <f>IF(COUNTIFS('14再エネ電気・熱'!$AS:$AS,ROW())=0,"",ROUND(SUMIFS('14再エネ電気・熱'!$AI:$AI,'14再エネ電気・熱'!$AS:$AS,ROW(),'14再エネ電気・熱'!$BE:$BE,3),0))</f>
        <v/>
      </c>
      <c r="G41" s="347" t="s">
        <v>7</v>
      </c>
      <c r="H41" s="345" t="str">
        <f>IF(COUNTIFS('14再エネ電気・熱'!$AS:$AS,ROW())=0,"",SUMIFS('14再エネ電気・熱'!$AJ:$AJ,'14再エネ電気・熱'!$AS:$AS,ROW(),'14再エネ電気・熱'!$BE:$BE,3))</f>
        <v/>
      </c>
      <c r="I41" s="345" t="str">
        <f t="shared" si="0"/>
        <v/>
      </c>
      <c r="J41" s="359"/>
      <c r="K41" s="346" t="str">
        <f>IF(COUNTIFS('14再エネ電気・熱'!$AS:$AS,ROW())=0,"",SUMIFS('14再エネ電気・熱'!$AL:$AL,'14再エネ電気・熱'!$AS:$AS,ROW(),'14再エネ電気・熱'!$BE:$BE,3))</f>
        <v/>
      </c>
      <c r="M41" s="575" t="str">
        <f>IF(COUNTIFS('14再エネ電気・熱'!$AS:$AS,ROW())=0,"",SUMIFS('14再エネ電気・熱'!$AI:$AI,'14再エネ電気・熱'!$AS:$AS,ROW()))</f>
        <v/>
      </c>
    </row>
    <row r="42" spans="1:13" ht="30.15" customHeight="1">
      <c r="A42" s="1810"/>
      <c r="B42" s="1778"/>
      <c r="C42" s="1788"/>
      <c r="D42" s="1770"/>
      <c r="E42" s="14" t="s">
        <v>57</v>
      </c>
      <c r="F42" s="358" t="str">
        <f>IF(COUNTIFS('14再エネ電気・熱'!$AS:$AS,ROW())=0,"",ROUND(SUMIFS('14再エネ電気・熱'!$AI:$AI,'14再エネ電気・熱'!$AS:$AS,ROW(),'14再エネ電気・熱'!$BE:$BE,3),0))</f>
        <v/>
      </c>
      <c r="G42" s="347" t="s">
        <v>7</v>
      </c>
      <c r="H42" s="345" t="str">
        <f>IF(COUNTIFS('14再エネ電気・熱'!$AS:$AS,ROW())=0,"",SUMIFS('14再エネ電気・熱'!$AJ:$AJ,'14再エネ電気・熱'!$AS:$AS,ROW(),'14再エネ電気・熱'!$BE:$BE,3))</f>
        <v/>
      </c>
      <c r="I42" s="345" t="str">
        <f t="shared" si="0"/>
        <v/>
      </c>
      <c r="J42" s="345" t="str">
        <f t="shared" si="4"/>
        <v/>
      </c>
      <c r="K42" s="346" t="str">
        <f>IF(COUNTIFS('14再エネ電気・熱'!$AS:$AS,ROW())=0,"",SUMIFS('14再エネ電気・熱'!$AL:$AL,'14再エネ電気・熱'!$AS:$AS,ROW(),'14再エネ電気・熱'!$BE:$BE,3))</f>
        <v/>
      </c>
      <c r="M42" s="575" t="str">
        <f>IF(COUNTIFS('14再エネ電気・熱'!$AS:$AS,ROW())=0,"",SUMIFS('14再エネ電気・熱'!$AI:$AI,'14再エネ電気・熱'!$AS:$AS,ROW()))</f>
        <v/>
      </c>
    </row>
    <row r="43" spans="1:13" ht="30.15" customHeight="1">
      <c r="A43" s="1810"/>
      <c r="B43" s="1778"/>
      <c r="C43" s="1788"/>
      <c r="D43" s="1769" t="s">
        <v>65</v>
      </c>
      <c r="E43" s="14" t="s">
        <v>56</v>
      </c>
      <c r="F43" s="358" t="str">
        <f>IF(COUNTIFS('14再エネ電気・熱'!$AS:$AS,ROW())=0,"",ROUND(SUMIFS('14再エネ電気・熱'!$AI:$AI,'14再エネ電気・熱'!$AS:$AS,ROW(),'14再エネ電気・熱'!$BE:$BE,3),0))</f>
        <v/>
      </c>
      <c r="G43" s="347" t="s">
        <v>7</v>
      </c>
      <c r="H43" s="345" t="str">
        <f>IF(COUNTIFS('14再エネ電気・熱'!$AS:$AS,ROW())=0,"",SUMIFS('14再エネ電気・熱'!$AJ:$AJ,'14再エネ電気・熱'!$AS:$AS,ROW(),'14再エネ電気・熱'!$BE:$BE,3))</f>
        <v/>
      </c>
      <c r="I43" s="345" t="str">
        <f t="shared" si="0"/>
        <v/>
      </c>
      <c r="J43" s="360"/>
      <c r="K43" s="346" t="str">
        <f>IF(COUNTIFS('14再エネ電気・熱'!$AS:$AS,ROW())=0,"",SUMIFS('14再エネ電気・熱'!$AL:$AL,'14再エネ電気・熱'!$AS:$AS,ROW(),'14再エネ電気・熱'!$BE:$BE,3))</f>
        <v/>
      </c>
      <c r="M43" s="575" t="str">
        <f>IF(COUNTIFS('14再エネ電気・熱'!$AS:$AS,ROW())=0,"",SUMIFS('14再エネ電気・熱'!$AI:$AI,'14再エネ電気・熱'!$AS:$AS,ROW()))</f>
        <v/>
      </c>
    </row>
    <row r="44" spans="1:13" ht="30.15" customHeight="1">
      <c r="A44" s="1810"/>
      <c r="B44" s="1778"/>
      <c r="C44" s="1788"/>
      <c r="D44" s="1770"/>
      <c r="E44" s="14" t="s">
        <v>57</v>
      </c>
      <c r="F44" s="358" t="str">
        <f>IF(COUNTIFS('14再エネ電気・熱'!$AS:$AS,ROW())=0,"",ROUND(SUMIFS('14再エネ電気・熱'!$AI:$AI,'14再エネ電気・熱'!$AS:$AS,ROW(),'14再エネ電気・熱'!$BE:$BE,3),0))</f>
        <v/>
      </c>
      <c r="G44" s="347" t="s">
        <v>7</v>
      </c>
      <c r="H44" s="345" t="str">
        <f>IF(COUNTIFS('14再エネ電気・熱'!$AS:$AS,ROW())=0,"",SUMIFS('14再エネ電気・熱'!$AJ:$AJ,'14再エネ電気・熱'!$AS:$AS,ROW(),'14再エネ電気・熱'!$BE:$BE,3))</f>
        <v/>
      </c>
      <c r="I44" s="345" t="str">
        <f t="shared" si="0"/>
        <v/>
      </c>
      <c r="J44" s="345" t="str">
        <f t="shared" ref="J44" si="5">IF(H44="","",H44*0.0258)</f>
        <v/>
      </c>
      <c r="K44" s="346" t="str">
        <f>IF(COUNTIFS('14再エネ電気・熱'!$AS:$AS,ROW())=0,"",SUMIFS('14再エネ電気・熱'!$AL:$AL,'14再エネ電気・熱'!$AS:$AS,ROW(),'14再エネ電気・熱'!$BE:$BE,3))</f>
        <v/>
      </c>
      <c r="M44" s="575" t="str">
        <f>IF(COUNTIFS('14再エネ電気・熱'!$AS:$AS,ROW())=0,"",SUMIFS('14再エネ電気・熱'!$AI:$AI,'14再エネ電気・熱'!$AS:$AS,ROW()))</f>
        <v/>
      </c>
    </row>
    <row r="45" spans="1:13" ht="45" customHeight="1">
      <c r="A45" s="1810"/>
      <c r="B45" s="1778"/>
      <c r="C45" s="1789"/>
      <c r="D45" s="1670" t="s">
        <v>186</v>
      </c>
      <c r="E45" s="1671"/>
      <c r="F45" s="358" t="str">
        <f>IF(COUNTIFS('14再エネ電気・熱'!$AS:$AS,ROW())=0,"",ROUND(SUMIFS('14再エネ電気・熱'!$AI:$AI,'14再エネ電気・熱'!$AS:$AS,ROW(),'14再エネ電気・熱'!$BE:$BE,3),0))</f>
        <v/>
      </c>
      <c r="G45" s="347" t="s">
        <v>7</v>
      </c>
      <c r="H45" s="345" t="str">
        <f>IF(COUNTIFS('14再エネ電気・熱'!$AS:$AS,ROW())=0,"",SUMIFS('14再エネ電気・熱'!$AJ:$AJ,'14再エネ電気・熱'!$AS:$AS,ROW(),'14再エネ電気・熱'!$BE:$BE,3))</f>
        <v/>
      </c>
      <c r="I45" s="345" t="str">
        <f t="shared" ref="I45" si="6">IF(H45="","",H45*0.0258)</f>
        <v/>
      </c>
      <c r="J45" s="345" t="str">
        <f t="shared" ref="J45" si="7">IF(H45="","",H45*0.0258)</f>
        <v/>
      </c>
      <c r="K45" s="346" t="str">
        <f>IF(COUNTIFS('14再エネ電気・熱'!$AS:$AS,ROW())=0,"",SUMIFS('14再エネ電気・熱'!$AL:$AL,'14再エネ電気・熱'!$AS:$AS,ROW(),'14再エネ電気・熱'!$BE:$BE,3))</f>
        <v/>
      </c>
      <c r="M45" s="575" t="str">
        <f>IF(COUNTIFS('14再エネ電気・熱'!$AS:$AS,ROW())=0,"",SUMIFS('14再エネ電気・熱'!$AI:$AI,'14再エネ電気・熱'!$AS:$AS,ROW()))</f>
        <v/>
      </c>
    </row>
    <row r="46" spans="1:13" ht="35.15" customHeight="1" thickBot="1">
      <c r="A46" s="1810"/>
      <c r="B46" s="1779"/>
      <c r="C46" s="1790" t="s">
        <v>37</v>
      </c>
      <c r="D46" s="1791"/>
      <c r="E46" s="1792"/>
      <c r="F46" s="1793"/>
      <c r="G46" s="1794"/>
      <c r="H46" s="363" t="str">
        <f>IF(COUNT(H37:H45)=0,"",SUM(H37:H45))</f>
        <v/>
      </c>
      <c r="I46" s="364" t="str">
        <f t="shared" ref="I46:K46" si="8">IF(COUNT(I37:I45)=0,"",SUM(I37:I45))</f>
        <v/>
      </c>
      <c r="J46" s="364" t="str">
        <f>IF(COUNT(J37:J45)=0,"",SUM(J37:J45))</f>
        <v/>
      </c>
      <c r="K46" s="353" t="str">
        <f t="shared" si="8"/>
        <v/>
      </c>
    </row>
    <row r="47" spans="1:13" ht="35.25" customHeight="1" thickTop="1">
      <c r="A47" s="1810"/>
      <c r="B47" s="1762" t="s">
        <v>274</v>
      </c>
      <c r="C47" s="172" t="s">
        <v>192</v>
      </c>
      <c r="D47" s="1764" t="s">
        <v>190</v>
      </c>
      <c r="E47" s="1765"/>
      <c r="F47" s="343">
        <f>IF(COUNTIFS('13電気・熱_都市ガス'!$AP:$AP,ROW())=0,"",ROUND(SUMIFS('13電気・熱_都市ガス'!$AM:$AM,'13電気・熱_都市ガス'!$AP:$AP,ROW(),'13電気・熱_都市ガス'!$BI:$BI,3),0))</f>
        <v>0</v>
      </c>
      <c r="G47" s="347" t="s">
        <v>38</v>
      </c>
      <c r="H47" s="345">
        <f>IF(COUNTIFS('13電気・熱_都市ガス'!$AP:$AP,ROW())=0,"",SUMIFS('13電気・熱_都市ガス'!$AN:$AN,'13電気・熱_都市ガス'!$AP:$AP,ROW(),'13電気・熱_都市ガス'!$BI:$BI,3))</f>
        <v>0</v>
      </c>
      <c r="I47" s="345">
        <f t="shared" ref="I47:I51" si="9">IF(H47="","",H47*0.0258)</f>
        <v>0</v>
      </c>
      <c r="J47" s="345">
        <f t="shared" ref="J47" si="10">IF(H47="","",H47*0.0258)</f>
        <v>0</v>
      </c>
      <c r="K47" s="365">
        <f>IF(COUNTIFS('13電気・熱_都市ガス'!$AP:$AP,ROW())=0,"",SUMIFS('13電気・熱_都市ガス'!$AO:$AO,'13電気・熱_都市ガス'!$AP:$AP,ROW(),'13電気・熱_都市ガス'!$BI:$BI,3))</f>
        <v>0</v>
      </c>
      <c r="M47" s="575">
        <f>IF(COUNTIFS('13電気・熱_都市ガス'!$AP:$AP,ROW())=0,"",SUMIFS('13電気・熱_都市ガス'!$AM:$AM,'13電気・熱_都市ガス'!$AP:$AP,ROW()))</f>
        <v>0</v>
      </c>
    </row>
    <row r="48" spans="1:13" ht="30" customHeight="1">
      <c r="A48" s="1810"/>
      <c r="B48" s="1762"/>
      <c r="C48" s="1787" t="s">
        <v>189</v>
      </c>
      <c r="D48" s="1769" t="s">
        <v>66</v>
      </c>
      <c r="E48" s="14" t="s">
        <v>56</v>
      </c>
      <c r="F48" s="349">
        <f>IF(COUNTIFS('14再エネ電気・熱'!$AS:$AS,ROW())=0,"",ROUND(SUMIFS('14再エネ電気・熱'!$AI:$AI,'14再エネ電気・熱'!$AS:$AS,ROW(),'14再エネ電気・熱'!$BE:$BE,3),0))</f>
        <v>0</v>
      </c>
      <c r="G48" s="347" t="s">
        <v>38</v>
      </c>
      <c r="H48" s="345">
        <f>IF(COUNTIFS('14再エネ電気・熱'!$AS:$AS,ROW())=0,"",SUMIFS('14再エネ電気・熱'!$AJ:$AJ,'14再エネ電気・熱'!$AS:$AS,ROW(),'14再エネ電気・熱'!$BE:$BE,3))</f>
        <v>0</v>
      </c>
      <c r="I48" s="345">
        <f t="shared" si="9"/>
        <v>0</v>
      </c>
      <c r="J48" s="366"/>
      <c r="K48" s="346">
        <f>IF(COUNTIFS('14再エネ電気・熱'!$AS:$AS,ROW())=0,"",SUMIFS('14再エネ電気・熱'!$AL:$AL,'14再エネ電気・熱'!$AS:$AS,ROW(),'14再エネ電気・熱'!$BE:$BE,3))</f>
        <v>0</v>
      </c>
      <c r="M48" s="575">
        <f>IF(COUNTIFS('14再エネ電気・熱'!$AS:$AS,ROW())=0,"",SUMIFS('14再エネ電気・熱'!$AI:$AI,'14再エネ電気・熱'!$AS:$AS,ROW()))</f>
        <v>0</v>
      </c>
    </row>
    <row r="49" spans="1:13" ht="30.15" customHeight="1">
      <c r="A49" s="1810"/>
      <c r="B49" s="1762"/>
      <c r="C49" s="1788"/>
      <c r="D49" s="1770"/>
      <c r="E49" s="14" t="s">
        <v>57</v>
      </c>
      <c r="F49" s="343">
        <f>IF(COUNTIFS('14再エネ電気・熱'!$AS:$AS,ROW())=0,"",ROUND(SUMIFS('14再エネ電気・熱'!$AI:$AI,'14再エネ電気・熱'!$AS:$AS,ROW(),'14再エネ電気・熱'!$BE:$BE,3),0))</f>
        <v>0</v>
      </c>
      <c r="G49" s="347" t="s">
        <v>38</v>
      </c>
      <c r="H49" s="345">
        <f>IF(COUNTIFS('14再エネ電気・熱'!$AS:$AS,ROW())=0,"",SUMIFS('14再エネ電気・熱'!$AJ:$AJ,'14再エネ電気・熱'!$AS:$AS,ROW(),'14再エネ電気・熱'!$BE:$BE,3))</f>
        <v>0</v>
      </c>
      <c r="I49" s="345">
        <f t="shared" si="9"/>
        <v>0</v>
      </c>
      <c r="J49" s="345">
        <f t="shared" ref="J49" si="11">IF(H49="","",H49*0.0258)</f>
        <v>0</v>
      </c>
      <c r="K49" s="346">
        <f>IF(COUNTIFS('14再エネ電気・熱'!$AS:$AS,ROW())=0,"",SUMIFS('14再エネ電気・熱'!$AL:$AL,'14再エネ電気・熱'!$AS:$AS,ROW(),'14再エネ電気・熱'!$BE:$BE,3))</f>
        <v>0</v>
      </c>
      <c r="M49" s="575">
        <f>IF(COUNTIFS('14再エネ電気・熱'!$AS:$AS,ROW())=0,"",SUMIFS('14再エネ電気・熱'!$AI:$AI,'14再エネ電気・熱'!$AS:$AS,ROW()))</f>
        <v>0</v>
      </c>
    </row>
    <row r="50" spans="1:13" ht="30.15" customHeight="1">
      <c r="A50" s="1810"/>
      <c r="B50" s="1762"/>
      <c r="C50" s="1788"/>
      <c r="D50" s="1769" t="s">
        <v>67</v>
      </c>
      <c r="E50" s="14" t="s">
        <v>56</v>
      </c>
      <c r="F50" s="343" t="str">
        <f>IF(COUNTIFS('14再エネ電気・熱'!$AS:$AS,ROW())=0,"",ROUND(SUMIFS('14再エネ電気・熱'!$AI:$AI,'14再エネ電気・熱'!$AS:$AS,ROW(),'14再エネ電気・熱'!$BE:$BE,3),0))</f>
        <v/>
      </c>
      <c r="G50" s="347" t="s">
        <v>38</v>
      </c>
      <c r="H50" s="345" t="str">
        <f>IF(COUNTIFS('14再エネ電気・熱'!$AS:$AS,ROW())=0,"",SUMIFS('14再エネ電気・熱'!$AJ:$AJ,'14再エネ電気・熱'!$AS:$AS,ROW(),'14再エネ電気・熱'!$BE:$BE,3))</f>
        <v/>
      </c>
      <c r="I50" s="345" t="str">
        <f t="shared" si="9"/>
        <v/>
      </c>
      <c r="J50" s="367"/>
      <c r="K50" s="346" t="str">
        <f>IF(COUNTIFS('14再エネ電気・熱'!$AS:$AS,ROW())=0,"",SUMIFS('14再エネ電気・熱'!$AL:$AL,'14再エネ電気・熱'!$AS:$AS,ROW(),'14再エネ電気・熱'!$BE:$BE,3))</f>
        <v/>
      </c>
      <c r="M50" s="575" t="str">
        <f>IF(COUNTIFS('14再エネ電気・熱'!$AS:$AS,ROW())=0,"",SUMIFS('14再エネ電気・熱'!$AI:$AI,'14再エネ電気・熱'!$AS:$AS,ROW()))</f>
        <v/>
      </c>
    </row>
    <row r="51" spans="1:13" ht="30.15" customHeight="1">
      <c r="A51" s="1810"/>
      <c r="B51" s="1762"/>
      <c r="C51" s="1788"/>
      <c r="D51" s="1770"/>
      <c r="E51" s="14" t="s">
        <v>57</v>
      </c>
      <c r="F51" s="343" t="str">
        <f>IF(COUNTIFS('14再エネ電気・熱'!$AS:$AS,ROW())=0,"",ROUND(SUMIFS('14再エネ電気・熱'!$AI:$AI,'14再エネ電気・熱'!$AS:$AS,ROW(),'14再エネ電気・熱'!$BE:$BE,3),0))</f>
        <v/>
      </c>
      <c r="G51" s="347" t="s">
        <v>38</v>
      </c>
      <c r="H51" s="345" t="str">
        <f>IF(COUNTIFS('14再エネ電気・熱'!$AS:$AS,ROW())=0,"",SUMIFS('14再エネ電気・熱'!$AJ:$AJ,'14再エネ電気・熱'!$AS:$AS,ROW(),'14再エネ電気・熱'!$BE:$BE,3))</f>
        <v/>
      </c>
      <c r="I51" s="345" t="str">
        <f t="shared" si="9"/>
        <v/>
      </c>
      <c r="J51" s="345" t="str">
        <f t="shared" ref="J51" si="12">IF(H51="","",H51*0.0258)</f>
        <v/>
      </c>
      <c r="K51" s="346" t="str">
        <f>IF(COUNTIFS('14再エネ電気・熱'!$AS:$AS,ROW())=0,"",SUMIFS('14再エネ電気・熱'!$AL:$AL,'14再エネ電気・熱'!$AS:$AS,ROW(),'14再エネ電気・熱'!$BE:$BE,3))</f>
        <v/>
      </c>
      <c r="M51" s="575" t="str">
        <f>IF(COUNTIFS('14再エネ電気・熱'!$AS:$AS,ROW())=0,"",SUMIFS('14再エネ電気・熱'!$AI:$AI,'14再エネ電気・熱'!$AS:$AS,ROW()))</f>
        <v/>
      </c>
    </row>
    <row r="52" spans="1:13" ht="45" customHeight="1">
      <c r="A52" s="1810"/>
      <c r="B52" s="1762"/>
      <c r="C52" s="1788"/>
      <c r="D52" s="1670" t="s">
        <v>186</v>
      </c>
      <c r="E52" s="1671"/>
      <c r="F52" s="343" t="str">
        <f>IF(COUNTIFS('14再エネ電気・熱'!$AS:$AS,ROW())=0,"",ROUND(SUMIFS('14再エネ電気・熱'!$AI:$AI,'14再エネ電気・熱'!$AS:$AS,ROW(),'14再エネ電気・熱'!$BE:$BE,3),0))</f>
        <v/>
      </c>
      <c r="G52" s="348" t="s">
        <v>38</v>
      </c>
      <c r="H52" s="345" t="str">
        <f>IF(COUNTIFS('14再エネ電気・熱'!$AS:$AS,ROW())=0,"",SUMIFS('14再エネ電気・熱'!$AJ:$AJ,'14再エネ電気・熱'!$AS:$AS,ROW(),'14再エネ電気・熱'!$BE:$BE,3))</f>
        <v/>
      </c>
      <c r="I52" s="345" t="str">
        <f t="shared" ref="I52" si="13">IF(H52="","",H52*0.0258)</f>
        <v/>
      </c>
      <c r="J52" s="345" t="str">
        <f t="shared" ref="J52" si="14">IF(H52="","",H52*0.0258)</f>
        <v/>
      </c>
      <c r="K52" s="346" t="str">
        <f>IF(COUNTIFS('14再エネ電気・熱'!$AS:$AS,ROW())=0,"",SUMIFS('14再エネ電気・熱'!$AL:$AL,'14再エネ電気・熱'!$AS:$AS,ROW(),'14再エネ電気・熱'!$BE:$BE,3))</f>
        <v/>
      </c>
      <c r="M52" s="575" t="str">
        <f>IF(COUNTIFS('14再エネ電気・熱'!$AS:$AS,ROW())=0,"",SUMIFS('14再エネ電気・熱'!$AI:$AI,'14再エネ電気・熱'!$AS:$AS,ROW()))</f>
        <v/>
      </c>
    </row>
    <row r="53" spans="1:13" ht="45" customHeight="1">
      <c r="A53" s="1810"/>
      <c r="B53" s="1762"/>
      <c r="C53" s="1789"/>
      <c r="D53" s="1670" t="s">
        <v>187</v>
      </c>
      <c r="E53" s="1671"/>
      <c r="F53" s="343" t="str">
        <f>IF(COUNTIFS('14再エネ電気・熱'!$AS:$AS,ROW())=0,"",ROUND(SUMIFS('14再エネ電気・熱'!$AI:$AI,'14再エネ電気・熱'!$AS:$AS,ROW(),'14再エネ電気・熱'!$BE:$BE,3),0))</f>
        <v/>
      </c>
      <c r="G53" s="347" t="s">
        <v>38</v>
      </c>
      <c r="H53" s="368"/>
      <c r="I53" s="367"/>
      <c r="J53" s="367"/>
      <c r="K53" s="346" t="str">
        <f>IF(COUNTIFS('14再エネ電気・熱'!$AS:$AS,ROW())=0,"",SUMIFS('14再エネ電気・熱'!$AL:$AL,'14再エネ電気・熱'!$AS:$AS,ROW(),'14再エネ電気・熱'!$BE:$BE,3))</f>
        <v/>
      </c>
      <c r="M53" s="575" t="str">
        <f>IF(COUNTIFS('14再エネ電気・熱'!$AS:$AS,ROW())=0,"",SUMIFS('14再エネ電気・熱'!$AI:$AI,'14再エネ電気・熱'!$AS:$AS,ROW()))</f>
        <v/>
      </c>
    </row>
    <row r="54" spans="1:13" ht="35.15" customHeight="1" thickBot="1">
      <c r="A54" s="1811"/>
      <c r="B54" s="1763"/>
      <c r="C54" s="1771" t="s">
        <v>37</v>
      </c>
      <c r="D54" s="1772"/>
      <c r="E54" s="1773"/>
      <c r="F54" s="1774"/>
      <c r="G54" s="1775"/>
      <c r="H54" s="369">
        <f>IF(COUNT(H47:H53)=0,"",SUM(H47:H53))</f>
        <v>0</v>
      </c>
      <c r="I54" s="370">
        <f t="shared" ref="I54:K54" si="15">IF(COUNT(I47:I53)=0,"",SUM(I47:I53))</f>
        <v>0</v>
      </c>
      <c r="J54" s="371">
        <f t="shared" si="15"/>
        <v>0</v>
      </c>
      <c r="K54" s="372">
        <f t="shared" si="15"/>
        <v>0</v>
      </c>
    </row>
    <row r="55" spans="1:13" ht="35.15" customHeight="1" thickTop="1">
      <c r="A55" s="15"/>
      <c r="B55" s="16"/>
      <c r="C55" s="17"/>
      <c r="D55" s="17"/>
      <c r="E55" s="17"/>
      <c r="F55" s="18"/>
      <c r="G55" s="18"/>
      <c r="H55" s="110"/>
      <c r="I55" s="20"/>
      <c r="J55" s="19"/>
      <c r="K55" s="110" t="s">
        <v>268</v>
      </c>
    </row>
    <row r="56" spans="1:13" ht="35.15" customHeight="1" thickBot="1">
      <c r="A56" s="4" t="s">
        <v>266</v>
      </c>
      <c r="B56" s="21"/>
      <c r="C56" s="22"/>
      <c r="D56" s="22"/>
      <c r="E56" s="22"/>
      <c r="F56" s="23"/>
      <c r="G56" s="23"/>
      <c r="H56" s="24"/>
      <c r="I56" s="26"/>
      <c r="J56" s="25"/>
      <c r="K56" s="24"/>
    </row>
    <row r="57" spans="1:13" ht="51.75" customHeight="1">
      <c r="A57" s="1737" t="s">
        <v>265</v>
      </c>
      <c r="B57" s="1711" t="s">
        <v>1</v>
      </c>
      <c r="C57" s="1740"/>
      <c r="D57" s="1740"/>
      <c r="E57" s="1717"/>
      <c r="F57" s="1742" t="s">
        <v>1900</v>
      </c>
      <c r="G57" s="1743"/>
      <c r="H57" s="8" t="s">
        <v>2</v>
      </c>
      <c r="I57" s="170" t="s">
        <v>51</v>
      </c>
      <c r="J57" s="170" t="s">
        <v>52</v>
      </c>
      <c r="K57" s="116" t="s">
        <v>3</v>
      </c>
    </row>
    <row r="58" spans="1:13" ht="20" thickBot="1">
      <c r="A58" s="1738"/>
      <c r="B58" s="1713"/>
      <c r="C58" s="1741"/>
      <c r="D58" s="1741"/>
      <c r="E58" s="1718"/>
      <c r="F58" s="27"/>
      <c r="G58" s="28"/>
      <c r="H58" s="29" t="s">
        <v>7</v>
      </c>
      <c r="I58" s="30" t="s">
        <v>8</v>
      </c>
      <c r="J58" s="30" t="s">
        <v>8</v>
      </c>
      <c r="K58" s="31" t="s">
        <v>177</v>
      </c>
    </row>
    <row r="59" spans="1:13" ht="30.15" customHeight="1" thickTop="1">
      <c r="A59" s="1738"/>
      <c r="B59" s="1744" t="s">
        <v>39</v>
      </c>
      <c r="C59" s="1746" t="s">
        <v>40</v>
      </c>
      <c r="D59" s="1747"/>
      <c r="E59" s="1748"/>
      <c r="F59" s="373" t="str">
        <f>IF(COUNTIFS('13電気・熱_都市ガス'!$AP:$AP,ROW())=0,"",ROUND(SUMIFS('13電気・熱_都市ガス'!$AM:$AM,'13電気・熱_都市ガス'!$AP:$AP,ROW(),'13電気・熱_都市ガス'!$BI:$BI,3),0))</f>
        <v/>
      </c>
      <c r="G59" s="355" t="s">
        <v>7</v>
      </c>
      <c r="H59" s="513" t="str">
        <f>IF(COUNTIFS('13電気・熱_都市ガス'!$AP:$AP,ROW())=0,"",SUMIFS('13電気・熱_都市ガス'!$AN:$AN,'13電気・熱_都市ガス'!$AP:$AP,ROW(),'13電気・熱_都市ガス'!$BI:$BI,3))</f>
        <v/>
      </c>
      <c r="I59" s="514" t="str">
        <f>IF(H59="","",H59*0.0258)</f>
        <v/>
      </c>
      <c r="J59" s="513" t="str">
        <f>IF(H59="","",H59*0.0258)</f>
        <v/>
      </c>
      <c r="K59" s="374" t="str">
        <f>IF(COUNTIFS('13電気・熱_都市ガス'!$AP:$AP,ROW())=0,"",SUMIFS('13電気・熱_都市ガス'!$AO:$AO,'13電気・熱_都市ガス'!$AP:$AP,ROW(),'13電気・熱_都市ガス'!$BI:$BI,3))</f>
        <v/>
      </c>
      <c r="M59" s="575" t="str">
        <f>IF(COUNTIFS('13電気・熱_都市ガス'!$AP:$AP,ROW())=0,"",-1*SUMIFS('13電気・熱_都市ガス'!$AM:$AM,'13電気・熱_都市ガス'!$AP:$AP,ROW()))</f>
        <v/>
      </c>
    </row>
    <row r="60" spans="1:13" ht="30.15" customHeight="1">
      <c r="A60" s="1738"/>
      <c r="B60" s="1745"/>
      <c r="C60" s="1749" t="s">
        <v>41</v>
      </c>
      <c r="D60" s="1726"/>
      <c r="E60" s="1727"/>
      <c r="F60" s="375" t="str">
        <f>IF(COUNTIFS('13電気・熱_都市ガス'!$AP:$AP,ROW())=0,"",ROUND(SUMIFS('13電気・熱_都市ガス'!$AM:$AM,'13電気・熱_都市ガス'!$AP:$AP,ROW(),'13電気・熱_都市ガス'!$BI:$BI,3),0))</f>
        <v/>
      </c>
      <c r="G60" s="347" t="s">
        <v>38</v>
      </c>
      <c r="H60" s="515" t="str">
        <f>IF(COUNTIFS('13電気・熱_都市ガス'!$AP:$AP,ROW())=0,"",SUMIFS('13電気・熱_都市ガス'!$AN:$AN,'13電気・熱_都市ガス'!$AP:$AP,ROW(),'13電気・熱_都市ガス'!$BI:$BI,3))</f>
        <v/>
      </c>
      <c r="I60" s="516" t="str">
        <f>IF(H60="","",H60*0.0258)</f>
        <v/>
      </c>
      <c r="J60" s="515" t="str">
        <f>IF(H60="","",H60*0.0258)</f>
        <v/>
      </c>
      <c r="K60" s="376" t="str">
        <f>IF(COUNTIFS('13電気・熱_都市ガス'!$AP:$AP,ROW())=0,"",SUMIFS('13電気・熱_都市ガス'!$AO:$AO,'13電気・熱_都市ガス'!$AP:$AP,ROW(),'13電気・熱_都市ガス'!$BI:$BI,3))</f>
        <v/>
      </c>
      <c r="M60" s="575" t="str">
        <f>IF(COUNTIFS('13電気・熱_都市ガス'!$AP:$AP,ROW())=0,"",-1*SUMIFS('13電気・熱_都市ガス'!$AM:$AM,'13電気・熱_都市ガス'!$AP:$AP,ROW()))</f>
        <v/>
      </c>
    </row>
    <row r="61" spans="1:13" ht="31.5" customHeight="1" thickBot="1">
      <c r="A61" s="1738"/>
      <c r="B61" s="1745"/>
      <c r="C61" s="1750" t="s">
        <v>37</v>
      </c>
      <c r="D61" s="1731"/>
      <c r="E61" s="1732"/>
      <c r="F61" s="1751"/>
      <c r="G61" s="1752"/>
      <c r="H61" s="517" t="str">
        <f>IF(COUNT(H59:H60)=0,"",SUM(H59:H60))</f>
        <v/>
      </c>
      <c r="I61" s="517" t="str">
        <f t="shared" ref="I61:J61" si="16">IF(COUNT(I59:I60)=0,"",SUM(I59:I60))</f>
        <v/>
      </c>
      <c r="J61" s="517" t="str">
        <f t="shared" si="16"/>
        <v/>
      </c>
      <c r="K61" s="372" t="str">
        <f>IF(COUNT(K59:K60)=0,"",SUM(K59:K60))</f>
        <v/>
      </c>
    </row>
    <row r="62" spans="1:13" ht="30" customHeight="1" thickTop="1">
      <c r="A62" s="1738"/>
      <c r="B62" s="1753" t="s">
        <v>1996</v>
      </c>
      <c r="C62" s="1747" t="s">
        <v>59</v>
      </c>
      <c r="D62" s="1747"/>
      <c r="E62" s="1748"/>
      <c r="F62" s="1755"/>
      <c r="G62" s="1756"/>
      <c r="H62" s="377"/>
      <c r="I62" s="378"/>
      <c r="J62" s="379"/>
      <c r="K62" s="462" t="str">
        <f>IF(COUNTIFS('18証書_森林吸収量'!$N$6:$N$58,ROW())=0,"",-1*SUMIFS('18証書_森林吸収量'!$F$6:$F$58,'18証書_森林吸収量'!$N$6:$N$58,ROW(),'18証書_森林吸収量'!$S$6:$S$58,3))</f>
        <v/>
      </c>
      <c r="M62" s="575" t="str">
        <f>IF(COUNTIFS('18証書_森林吸収量'!$N$6:$N$58,ROW())=0,"",-1*SUMIFS('18証書_森林吸収量'!$F$6:$F$58,'18証書_森林吸収量'!$N$6:$N$58,ROW()))</f>
        <v/>
      </c>
    </row>
    <row r="63" spans="1:13" ht="30" customHeight="1">
      <c r="A63" s="1738"/>
      <c r="B63" s="1754"/>
      <c r="C63" s="1726" t="s">
        <v>64</v>
      </c>
      <c r="D63" s="1726"/>
      <c r="E63" s="1727"/>
      <c r="F63" s="1728"/>
      <c r="G63" s="1729"/>
      <c r="H63" s="381"/>
      <c r="I63" s="382"/>
      <c r="J63" s="383"/>
      <c r="K63" s="362" t="str">
        <f>IF(COUNTIFS('18証書_森林吸収量'!$N$6:$N$58,ROW())=0,"",-1*SUMIFS('18証書_森林吸収量'!$F$6:$F$58,'18証書_森林吸収量'!$N$6:$N$58,ROW(),'18証書_森林吸収量'!$S$6:$S$58,3))</f>
        <v/>
      </c>
      <c r="M63" s="575" t="str">
        <f>IF(COUNTIFS('18証書_森林吸収量'!$N$6:$N$58,ROW())=0,"",-1*SUMIFS('18証書_森林吸収量'!$F$6:$F$58,'18証書_森林吸収量'!$N$6:$N$58,ROW()))</f>
        <v/>
      </c>
    </row>
    <row r="64" spans="1:13" ht="30" customHeight="1">
      <c r="A64" s="1738"/>
      <c r="B64" s="1754"/>
      <c r="C64" s="1726" t="s">
        <v>60</v>
      </c>
      <c r="D64" s="1726"/>
      <c r="E64" s="1727"/>
      <c r="F64" s="1728"/>
      <c r="G64" s="1729"/>
      <c r="H64" s="381"/>
      <c r="I64" s="382"/>
      <c r="J64" s="383"/>
      <c r="K64" s="362" t="str">
        <f>IF(COUNTIFS('18証書_森林吸収量'!$N$6:$N$58,ROW())=0,"",-1*SUMIFS('18証書_森林吸収量'!$F$6:$F$58,'18証書_森林吸収量'!$N$6:$N$58,ROW(),'18証書_森林吸収量'!$S$6:$S$58,3))</f>
        <v/>
      </c>
      <c r="M64" s="575" t="str">
        <f>IF(COUNTIFS('18証書_森林吸収量'!$N$6:$N$58,ROW())=0,"",-1*SUMIFS('18証書_森林吸収量'!$F$6:$F$58,'18証書_森林吸収量'!$N$6:$N$58,ROW()))</f>
        <v/>
      </c>
    </row>
    <row r="65" spans="1:13" ht="30" customHeight="1">
      <c r="A65" s="1738"/>
      <c r="B65" s="1754"/>
      <c r="C65" s="1749" t="s">
        <v>61</v>
      </c>
      <c r="D65" s="1726"/>
      <c r="E65" s="1727"/>
      <c r="F65" s="1728"/>
      <c r="G65" s="1729"/>
      <c r="H65" s="381"/>
      <c r="I65" s="382"/>
      <c r="J65" s="383"/>
      <c r="K65" s="362" t="str">
        <f>IF(COUNTIFS('18証書_森林吸収量'!$N$6:$N$58,ROW())=0,"",-1*SUMIFS('18証書_森林吸収量'!$F$6:$F$58,'18証書_森林吸収量'!$N$6:$N$58,ROW(),'18証書_森林吸収量'!$S$6:$S$58,3))</f>
        <v/>
      </c>
      <c r="M65" s="575" t="str">
        <f>IF(COUNTIFS('18証書_森林吸収量'!$N$6:$N$58,ROW())=0,"",-1*SUMIFS('18証書_森林吸収量'!$F$6:$F$58,'18証書_森林吸収量'!$N$6:$N$58,ROW()))</f>
        <v/>
      </c>
    </row>
    <row r="66" spans="1:13" ht="46.5" customHeight="1">
      <c r="A66" s="1738"/>
      <c r="B66" s="1754"/>
      <c r="C66" s="1670" t="s">
        <v>282</v>
      </c>
      <c r="D66" s="1726"/>
      <c r="E66" s="1727"/>
      <c r="F66" s="1728"/>
      <c r="G66" s="1729"/>
      <c r="H66" s="381"/>
      <c r="I66" s="382"/>
      <c r="J66" s="383"/>
      <c r="K66" s="362" t="str">
        <f>IF(COUNTIFS('18証書_森林吸収量'!$N$6:$N$58,ROW())=0,"",-1*SUMIFS('18証書_森林吸収量'!$F$6:$F$58,'18証書_森林吸収量'!$N$6:$N$58,ROW(),'18証書_森林吸収量'!$S$6:$S$58,3))</f>
        <v/>
      </c>
      <c r="M66" s="575" t="str">
        <f>IF(COUNTIFS('18証書_森林吸収量'!$N$6:$N$58,ROW())=0,"",-1*SUMIFS('18証書_森林吸収量'!$F$6:$F$58,'18証書_森林吸収量'!$N$6:$N$58,ROW()))</f>
        <v/>
      </c>
    </row>
    <row r="67" spans="1:13" ht="54.75" customHeight="1">
      <c r="A67" s="1738"/>
      <c r="B67" s="1754"/>
      <c r="C67" s="1730" t="s">
        <v>62</v>
      </c>
      <c r="D67" s="1731"/>
      <c r="E67" s="1732"/>
      <c r="F67" s="1733"/>
      <c r="G67" s="1734"/>
      <c r="H67" s="384"/>
      <c r="I67" s="385"/>
      <c r="J67" s="386"/>
      <c r="K67" s="362" t="str">
        <f>IF(COUNTIFS('18証書_森林吸収量'!$N$6:$N$58,ROW())=0,"",-1*SUMIFS('18証書_森林吸収量'!$F$6:$F$58,'18証書_森林吸収量'!$N$6:$N$58,ROW(),'18証書_森林吸収量'!$S$6:$S$58,3))</f>
        <v/>
      </c>
      <c r="M67" s="575" t="str">
        <f>IF(COUNTIFS('18証書_森林吸収量'!$N$6:$N$58,ROW())=0,"",-1*SUMIFS('18証書_森林吸収量'!$F$6:$F$58,'18証書_森林吸収量'!$N$6:$N$58,ROW()))</f>
        <v/>
      </c>
    </row>
    <row r="68" spans="1:13" ht="33.75" customHeight="1">
      <c r="A68" s="1738"/>
      <c r="B68" s="1754"/>
      <c r="C68" s="1704" t="s">
        <v>37</v>
      </c>
      <c r="D68" s="1704"/>
      <c r="E68" s="1670"/>
      <c r="F68" s="1735"/>
      <c r="G68" s="1736"/>
      <c r="H68" s="383"/>
      <c r="I68" s="396"/>
      <c r="J68" s="397"/>
      <c r="K68" s="472" t="str">
        <f>IF(COUNT(K62:K67)=0,"",SUM(K62:K67))</f>
        <v/>
      </c>
    </row>
    <row r="69" spans="1:13" ht="39.9" customHeight="1" thickBot="1">
      <c r="A69" s="1739"/>
      <c r="B69" s="1757" t="s">
        <v>42</v>
      </c>
      <c r="C69" s="1758"/>
      <c r="D69" s="1758"/>
      <c r="E69" s="1759"/>
      <c r="F69" s="1760"/>
      <c r="G69" s="1761"/>
      <c r="H69" s="394">
        <f>IF(COUNT(H36,H46,H54,H61)=0,"",SUM(H36,H46,H54,H61))</f>
        <v>0</v>
      </c>
      <c r="I69" s="394">
        <f t="shared" ref="I69:J69" si="17">IF(COUNT(I36,I46,I54,I61)=0,"",SUM(I36,I46,I54,I61))</f>
        <v>0</v>
      </c>
      <c r="J69" s="394">
        <f t="shared" si="17"/>
        <v>0</v>
      </c>
      <c r="K69" s="395">
        <f>IF(COUNT(K36,K46,K54,K61,K68)=0,"",IF(SUM(K36,K46,K54,K61,K68)&lt;0,0,SUM(K36,K46,K54,K61,K68)))</f>
        <v>0</v>
      </c>
    </row>
    <row r="70" spans="1:13" ht="18" thickBot="1">
      <c r="A70" s="4"/>
      <c r="B70" s="4"/>
      <c r="C70" s="4"/>
      <c r="D70" s="4"/>
      <c r="E70" s="4"/>
      <c r="F70" s="4"/>
      <c r="G70" s="4"/>
      <c r="H70" s="4"/>
      <c r="I70" s="4"/>
      <c r="J70" s="4"/>
      <c r="K70" s="4"/>
    </row>
    <row r="71" spans="1:13" ht="63" customHeight="1">
      <c r="A71" s="1708"/>
      <c r="B71" s="1711" t="s">
        <v>156</v>
      </c>
      <c r="C71" s="1712"/>
      <c r="D71" s="1711" t="s">
        <v>73</v>
      </c>
      <c r="E71" s="1717"/>
      <c r="F71" s="1720" t="s">
        <v>1900</v>
      </c>
      <c r="G71" s="1721"/>
      <c r="H71" s="118" t="s">
        <v>2</v>
      </c>
      <c r="I71" s="111" t="s">
        <v>51</v>
      </c>
      <c r="J71" s="117"/>
      <c r="K71" s="117"/>
    </row>
    <row r="72" spans="1:13" ht="33" customHeight="1">
      <c r="A72" s="1709"/>
      <c r="B72" s="1713"/>
      <c r="C72" s="1714"/>
      <c r="D72" s="1713"/>
      <c r="E72" s="1718"/>
      <c r="F72" s="1722"/>
      <c r="G72" s="1723"/>
      <c r="H72" s="9" t="s">
        <v>6</v>
      </c>
      <c r="I72" s="32" t="s">
        <v>55</v>
      </c>
      <c r="J72" s="117"/>
      <c r="K72" s="117"/>
    </row>
    <row r="73" spans="1:13" ht="19.5" customHeight="1" thickBot="1">
      <c r="A73" s="1710"/>
      <c r="B73" s="1715"/>
      <c r="C73" s="1716"/>
      <c r="D73" s="1715"/>
      <c r="E73" s="1719"/>
      <c r="F73" s="1724"/>
      <c r="G73" s="1725"/>
      <c r="H73" s="34" t="s">
        <v>181</v>
      </c>
      <c r="I73" s="35" t="s">
        <v>182</v>
      </c>
      <c r="J73" s="117"/>
      <c r="K73" s="117"/>
    </row>
    <row r="74" spans="1:13" ht="30.15" customHeight="1">
      <c r="A74" s="1684" t="s">
        <v>157</v>
      </c>
      <c r="B74" s="1687" t="s">
        <v>279</v>
      </c>
      <c r="C74" s="1688"/>
      <c r="D74" s="1693" t="s">
        <v>87</v>
      </c>
      <c r="E74" s="1694"/>
      <c r="F74" s="274" t="str">
        <f>IF('17非化石燃料_自動車'!G8="","",ROUND('17非化石燃料_自動車'!G8,0))</f>
        <v/>
      </c>
      <c r="G74" s="270" t="str">
        <f>'17非化石燃料_自動車'!H8</f>
        <v>ｔ</v>
      </c>
      <c r="H74" s="463" t="str">
        <f>IF('17非化石燃料_自動車'!P8="","",'17非化石燃料_自動車'!P8)</f>
        <v/>
      </c>
      <c r="I74" s="278" t="str">
        <f>IF(H74="","",H74*0.0258)</f>
        <v/>
      </c>
      <c r="J74" s="4"/>
      <c r="K74" s="4"/>
    </row>
    <row r="75" spans="1:13" ht="30.15" customHeight="1">
      <c r="A75" s="1685"/>
      <c r="B75" s="1689"/>
      <c r="C75" s="1690"/>
      <c r="D75" s="1679" t="s">
        <v>88</v>
      </c>
      <c r="E75" s="1680"/>
      <c r="F75" s="275" t="str">
        <f>IF('17非化石燃料_自動車'!G9="","",ROUND('17非化石燃料_自動車'!G9,0))</f>
        <v/>
      </c>
      <c r="G75" s="271" t="str">
        <f>'17非化石燃料_自動車'!H9</f>
        <v>ｔ</v>
      </c>
      <c r="H75" s="279" t="str">
        <f>IF('17非化石燃料_自動車'!P9="","",'17非化石燃料_自動車'!P9)</f>
        <v/>
      </c>
      <c r="I75" s="280" t="str">
        <f t="shared" ref="I75:I97" si="18">IF(H75="","",H75*0.0258)</f>
        <v/>
      </c>
      <c r="J75" s="4"/>
      <c r="K75" s="4"/>
    </row>
    <row r="76" spans="1:13" ht="30.15" customHeight="1">
      <c r="A76" s="1685"/>
      <c r="B76" s="1689"/>
      <c r="C76" s="1690"/>
      <c r="D76" s="1679" t="s">
        <v>89</v>
      </c>
      <c r="E76" s="1680"/>
      <c r="F76" s="275" t="str">
        <f>IF('17非化石燃料_自動車'!G10="","",ROUND('17非化石燃料_自動車'!G10,0))</f>
        <v/>
      </c>
      <c r="G76" s="271" t="str">
        <f>'17非化石燃料_自動車'!H10</f>
        <v>ｔ</v>
      </c>
      <c r="H76" s="279" t="str">
        <f>IF('17非化石燃料_自動車'!P10="","",'17非化石燃料_自動車'!P10)</f>
        <v/>
      </c>
      <c r="I76" s="280" t="str">
        <f t="shared" si="18"/>
        <v/>
      </c>
      <c r="J76" s="4"/>
      <c r="K76" s="4"/>
    </row>
    <row r="77" spans="1:13" ht="30.15" customHeight="1">
      <c r="A77" s="1685"/>
      <c r="B77" s="1689"/>
      <c r="C77" s="1690"/>
      <c r="D77" s="1679" t="s">
        <v>90</v>
      </c>
      <c r="E77" s="1680"/>
      <c r="F77" s="275" t="str">
        <f>IF('17非化石燃料_自動車'!G11="","",ROUND('17非化石燃料_自動車'!G11,0))</f>
        <v/>
      </c>
      <c r="G77" s="271" t="str">
        <f>'17非化石燃料_自動車'!H11</f>
        <v>ｔ</v>
      </c>
      <c r="H77" s="279" t="str">
        <f>IF('17非化石燃料_自動車'!P11="","",'17非化石燃料_自動車'!P11)</f>
        <v/>
      </c>
      <c r="I77" s="280" t="str">
        <f t="shared" si="18"/>
        <v/>
      </c>
      <c r="J77" s="4"/>
      <c r="K77" s="4"/>
    </row>
    <row r="78" spans="1:13" ht="30.15" customHeight="1">
      <c r="A78" s="1685"/>
      <c r="B78" s="1689"/>
      <c r="C78" s="1690"/>
      <c r="D78" s="1679" t="s">
        <v>91</v>
      </c>
      <c r="E78" s="1680"/>
      <c r="F78" s="275" t="str">
        <f>IF('17非化石燃料_自動車'!G12="","",ROUND('17非化石燃料_自動車'!G12,0))</f>
        <v/>
      </c>
      <c r="G78" s="271" t="str">
        <f>'17非化石燃料_自動車'!H12</f>
        <v>ｔ</v>
      </c>
      <c r="H78" s="279" t="str">
        <f>IF('17非化石燃料_自動車'!P12="","",'17非化石燃料_自動車'!P12)</f>
        <v/>
      </c>
      <c r="I78" s="280" t="str">
        <f t="shared" si="18"/>
        <v/>
      </c>
      <c r="J78" s="4"/>
      <c r="K78" s="4"/>
    </row>
    <row r="79" spans="1:13" ht="73.5" customHeight="1">
      <c r="A79" s="1685"/>
      <c r="B79" s="1689"/>
      <c r="C79" s="1690"/>
      <c r="D79" s="1679" t="s">
        <v>92</v>
      </c>
      <c r="E79" s="1680"/>
      <c r="F79" s="275" t="str">
        <f>IF('17非化石燃料_自動車'!G13="","",ROUND('17非化石燃料_自動車'!G13,0))</f>
        <v/>
      </c>
      <c r="G79" s="271" t="str">
        <f>'17非化石燃料_自動車'!H13</f>
        <v>kL</v>
      </c>
      <c r="H79" s="279" t="str">
        <f>IF('17非化石燃料_自動車'!P13="","",'17非化石燃料_自動車'!P13)</f>
        <v/>
      </c>
      <c r="I79" s="280" t="str">
        <f t="shared" si="18"/>
        <v/>
      </c>
      <c r="J79" s="4"/>
      <c r="K79" s="4"/>
    </row>
    <row r="80" spans="1:13" ht="45" customHeight="1">
      <c r="A80" s="1685"/>
      <c r="B80" s="1689"/>
      <c r="C80" s="1690"/>
      <c r="D80" s="1695" t="s">
        <v>178</v>
      </c>
      <c r="E80" s="1680"/>
      <c r="F80" s="275" t="str">
        <f>IF('17非化石燃料_自動車'!G14="","",ROUND('17非化石燃料_自動車'!G14,0))</f>
        <v/>
      </c>
      <c r="G80" s="271" t="str">
        <f>'17非化石燃料_自動車'!H14</f>
        <v>kL</v>
      </c>
      <c r="H80" s="279" t="str">
        <f>IF('17非化石燃料_自動車'!P14="","",'17非化石燃料_自動車'!P14)</f>
        <v/>
      </c>
      <c r="I80" s="280" t="str">
        <f t="shared" si="18"/>
        <v/>
      </c>
      <c r="J80" s="4"/>
      <c r="K80" s="4"/>
    </row>
    <row r="81" spans="1:11" ht="30.15" customHeight="1">
      <c r="A81" s="1685"/>
      <c r="B81" s="1689"/>
      <c r="C81" s="1690"/>
      <c r="D81" s="1679" t="s">
        <v>94</v>
      </c>
      <c r="E81" s="1680"/>
      <c r="F81" s="275" t="str">
        <f>IF('17非化石燃料_自動車'!G15="","",ROUND('17非化石燃料_自動車'!G15,0))</f>
        <v/>
      </c>
      <c r="G81" s="271" t="str">
        <f>'17非化石燃料_自動車'!H15</f>
        <v>千m3</v>
      </c>
      <c r="H81" s="279" t="str">
        <f>IF('17非化石燃料_自動車'!P15="","",'17非化石燃料_自動車'!P15)</f>
        <v/>
      </c>
      <c r="I81" s="280" t="str">
        <f t="shared" si="18"/>
        <v/>
      </c>
      <c r="J81" s="4"/>
      <c r="K81" s="4"/>
    </row>
    <row r="82" spans="1:11" ht="30.15" customHeight="1">
      <c r="A82" s="1685"/>
      <c r="B82" s="1689"/>
      <c r="C82" s="1690"/>
      <c r="D82" s="1679" t="s">
        <v>159</v>
      </c>
      <c r="E82" s="1680"/>
      <c r="F82" s="275" t="str">
        <f>IF('17非化石燃料_自動車'!G16="","",ROUND('17非化石燃料_自動車'!G16,0))</f>
        <v/>
      </c>
      <c r="G82" s="271" t="str">
        <f>'17非化石燃料_自動車'!H16</f>
        <v>t</v>
      </c>
      <c r="H82" s="279" t="str">
        <f>IF('17非化石燃料_自動車'!P16="","",'17非化石燃料_自動車'!P16)</f>
        <v/>
      </c>
      <c r="I82" s="280" t="str">
        <f t="shared" si="18"/>
        <v/>
      </c>
      <c r="J82" s="4"/>
      <c r="K82" s="4"/>
    </row>
    <row r="83" spans="1:11" ht="30.15" customHeight="1">
      <c r="A83" s="1685"/>
      <c r="B83" s="1689"/>
      <c r="C83" s="1690"/>
      <c r="D83" s="1365" t="str">
        <f>IF('15非化石燃料_建物'!C17="","廃棄物原燃料　自由記入1",'15非化石燃料_建物'!C17)</f>
        <v>廃棄物ガス</v>
      </c>
      <c r="E83" s="1681"/>
      <c r="F83" s="275" t="str">
        <f>IF('17非化石燃料_自動車'!G17="","",ROUND('17非化石燃料_自動車'!G17,0))</f>
        <v/>
      </c>
      <c r="G83" s="271" t="str">
        <f>'17非化石燃料_自動車'!H17</f>
        <v>kg</v>
      </c>
      <c r="H83" s="279" t="str">
        <f>IF('17非化石燃料_自動車'!P17="","",'17非化石燃料_自動車'!P17)</f>
        <v/>
      </c>
      <c r="I83" s="280" t="str">
        <f t="shared" si="18"/>
        <v/>
      </c>
      <c r="J83" s="4"/>
      <c r="K83" s="4"/>
    </row>
    <row r="84" spans="1:11" ht="30.15" customHeight="1" thickBot="1">
      <c r="A84" s="1685"/>
      <c r="B84" s="1691"/>
      <c r="C84" s="1692"/>
      <c r="D84" s="1696" t="str">
        <f>IF('15非化石燃料_建物'!C18="","廃棄物原燃料　自由記入2",'15非化石燃料_建物'!C18)</f>
        <v>廃棄物原燃料　自由記入2</v>
      </c>
      <c r="E84" s="1697"/>
      <c r="F84" s="276" t="str">
        <f>IF('17非化石燃料_自動車'!G18="","",ROUND('17非化石燃料_自動車'!G18,0))</f>
        <v/>
      </c>
      <c r="G84" s="272" t="str">
        <f>'17非化石燃料_自動車'!H18</f>
        <v>kg</v>
      </c>
      <c r="H84" s="279" t="str">
        <f>IF('17非化石燃料_自動車'!P18="","",'17非化石燃料_自動車'!P18)</f>
        <v/>
      </c>
      <c r="I84" s="281" t="str">
        <f t="shared" si="18"/>
        <v/>
      </c>
      <c r="J84" s="4"/>
      <c r="K84" s="4"/>
    </row>
    <row r="85" spans="1:11" ht="30.15" customHeight="1" thickTop="1">
      <c r="A85" s="1685"/>
      <c r="B85" s="1698" t="s">
        <v>160</v>
      </c>
      <c r="C85" s="1698"/>
      <c r="D85" s="1702" t="s">
        <v>161</v>
      </c>
      <c r="E85" s="1703"/>
      <c r="F85" s="277" t="str">
        <f>IF('17非化石燃料_自動車'!G19="","",ROUND('17非化石燃料_自動車'!G19,0))</f>
        <v/>
      </c>
      <c r="G85" s="273" t="str">
        <f>'17非化石燃料_自動車'!H19</f>
        <v>t</v>
      </c>
      <c r="H85" s="464" t="str">
        <f>IF('17非化石燃料_自動車'!P19="","",'17非化石燃料_自動車'!P19)</f>
        <v/>
      </c>
      <c r="I85" s="282" t="str">
        <f t="shared" si="18"/>
        <v/>
      </c>
      <c r="J85" s="4"/>
      <c r="K85" s="4"/>
    </row>
    <row r="86" spans="1:11" ht="30.15" customHeight="1">
      <c r="A86" s="1685"/>
      <c r="B86" s="1699"/>
      <c r="C86" s="1699"/>
      <c r="D86" s="1704" t="s">
        <v>162</v>
      </c>
      <c r="E86" s="1705"/>
      <c r="F86" s="275" t="str">
        <f>IF('17非化石燃料_自動車'!G20="","",ROUND('17非化石燃料_自動車'!G20,0))</f>
        <v/>
      </c>
      <c r="G86" s="271" t="str">
        <f>'17非化石燃料_自動車'!H20</f>
        <v>t</v>
      </c>
      <c r="H86" s="279" t="str">
        <f>IF('17非化石燃料_自動車'!P20="","",'17非化石燃料_自動車'!P20)</f>
        <v/>
      </c>
      <c r="I86" s="280" t="str">
        <f t="shared" si="18"/>
        <v/>
      </c>
      <c r="J86" s="4"/>
      <c r="K86" s="4"/>
    </row>
    <row r="87" spans="1:11" ht="30.15" customHeight="1">
      <c r="A87" s="1685"/>
      <c r="B87" s="1699"/>
      <c r="C87" s="1699"/>
      <c r="D87" s="1704" t="s">
        <v>163</v>
      </c>
      <c r="E87" s="1705"/>
      <c r="F87" s="275" t="str">
        <f>IF('17非化石燃料_自動車'!G21="","",ROUND('17非化石燃料_自動車'!G21,0))</f>
        <v/>
      </c>
      <c r="G87" s="271" t="str">
        <f>'17非化石燃料_自動車'!H21</f>
        <v>t</v>
      </c>
      <c r="H87" s="279" t="str">
        <f>IF('17非化石燃料_自動車'!P21="","",'17非化石燃料_自動車'!P21)</f>
        <v/>
      </c>
      <c r="I87" s="280" t="str">
        <f t="shared" si="18"/>
        <v/>
      </c>
      <c r="J87" s="4"/>
      <c r="K87" s="4"/>
    </row>
    <row r="88" spans="1:11" ht="30.15" customHeight="1">
      <c r="A88" s="1685"/>
      <c r="B88" s="1699"/>
      <c r="C88" s="1699"/>
      <c r="D88" s="1704" t="s">
        <v>164</v>
      </c>
      <c r="E88" s="1705"/>
      <c r="F88" s="275" t="str">
        <f>IF('17非化石燃料_自動車'!G22="","",ROUND('17非化石燃料_自動車'!G22,0))</f>
        <v/>
      </c>
      <c r="G88" s="271" t="str">
        <f>'17非化石燃料_自動車'!H22</f>
        <v>kL</v>
      </c>
      <c r="H88" s="279" t="str">
        <f>IF('17非化石燃料_自動車'!P22="","",'17非化石燃料_自動車'!P22)</f>
        <v/>
      </c>
      <c r="I88" s="280" t="str">
        <f t="shared" si="18"/>
        <v/>
      </c>
      <c r="J88" s="4"/>
      <c r="K88" s="4"/>
    </row>
    <row r="89" spans="1:11" ht="30.15" customHeight="1">
      <c r="A89" s="1685"/>
      <c r="B89" s="1699"/>
      <c r="C89" s="1699"/>
      <c r="D89" s="1704" t="s">
        <v>165</v>
      </c>
      <c r="E89" s="1705"/>
      <c r="F89" s="275" t="str">
        <f>IF('17非化石燃料_自動車'!G23="","",ROUND('17非化石燃料_自動車'!G23,0))</f>
        <v/>
      </c>
      <c r="G89" s="271" t="str">
        <f>'17非化石燃料_自動車'!H23</f>
        <v>kL</v>
      </c>
      <c r="H89" s="279" t="str">
        <f>IF('17非化石燃料_自動車'!P23="","",'17非化石燃料_自動車'!P23)</f>
        <v/>
      </c>
      <c r="I89" s="280" t="str">
        <f t="shared" si="18"/>
        <v/>
      </c>
      <c r="J89" s="4"/>
      <c r="K89" s="4"/>
    </row>
    <row r="90" spans="1:11" ht="30.15" customHeight="1">
      <c r="A90" s="1685"/>
      <c r="B90" s="1699"/>
      <c r="C90" s="1699"/>
      <c r="D90" s="1704" t="s">
        <v>166</v>
      </c>
      <c r="E90" s="1705"/>
      <c r="F90" s="275" t="str">
        <f>IF('17非化石燃料_自動車'!G24="","",ROUND('17非化石燃料_自動車'!G24,0))</f>
        <v/>
      </c>
      <c r="G90" s="271" t="str">
        <f>'17非化石燃料_自動車'!H24</f>
        <v>千m3</v>
      </c>
      <c r="H90" s="279" t="str">
        <f>IF('17非化石燃料_自動車'!P24="","",'17非化石燃料_自動車'!P24)</f>
        <v/>
      </c>
      <c r="I90" s="280" t="str">
        <f t="shared" si="18"/>
        <v/>
      </c>
      <c r="J90" s="4"/>
      <c r="K90" s="4"/>
    </row>
    <row r="91" spans="1:11" ht="30.15" customHeight="1">
      <c r="A91" s="1685"/>
      <c r="B91" s="1700"/>
      <c r="C91" s="1700"/>
      <c r="D91" s="1670" t="s">
        <v>167</v>
      </c>
      <c r="E91" s="1671"/>
      <c r="F91" s="275" t="str">
        <f>IF('17非化石燃料_自動車'!G25="","",ROUND('17非化石燃料_自動車'!G25,0))</f>
        <v/>
      </c>
      <c r="G91" s="271" t="str">
        <f>'17非化石燃料_自動車'!H25</f>
        <v>t</v>
      </c>
      <c r="H91" s="279" t="str">
        <f>IF('17非化石燃料_自動車'!P25="","",'17非化石燃料_自動車'!P25)</f>
        <v/>
      </c>
      <c r="I91" s="283" t="str">
        <f t="shared" si="18"/>
        <v/>
      </c>
      <c r="J91" s="4"/>
      <c r="K91" s="4"/>
    </row>
    <row r="92" spans="1:11" ht="30.15" customHeight="1">
      <c r="A92" s="1685"/>
      <c r="B92" s="1700"/>
      <c r="C92" s="1700"/>
      <c r="D92" s="1670" t="str">
        <f>IF('15非化石燃料_建物'!C26="","非化石燃料　自由記入1",'15非化石燃料_建物'!C26)</f>
        <v>非化石燃料　自由記入1</v>
      </c>
      <c r="E92" s="1671"/>
      <c r="F92" s="275" t="str">
        <f>IF('17非化石燃料_自動車'!G26="","",ROUND('17非化石燃料_自動車'!G26,0))</f>
        <v/>
      </c>
      <c r="G92" s="271" t="str">
        <f>'17非化石燃料_自動車'!H26</f>
        <v>L</v>
      </c>
      <c r="H92" s="279" t="str">
        <f>IF('17非化石燃料_自動車'!P26="","",'17非化石燃料_自動車'!P26)</f>
        <v/>
      </c>
      <c r="I92" s="283" t="str">
        <f t="shared" si="18"/>
        <v/>
      </c>
      <c r="J92" s="4"/>
      <c r="K92" s="4"/>
    </row>
    <row r="93" spans="1:11" ht="30.15" customHeight="1" thickBot="1">
      <c r="A93" s="1685"/>
      <c r="B93" s="1701"/>
      <c r="C93" s="1701"/>
      <c r="D93" s="1672" t="str">
        <f>IF('15非化石燃料_建物'!C27="","非化石燃料　自由記入2",'15非化石燃料_建物'!C27)</f>
        <v>非化石燃料　自由記入2</v>
      </c>
      <c r="E93" s="1673"/>
      <c r="F93" s="276" t="str">
        <f>IF('17非化石燃料_自動車'!G27="","",ROUND('17非化石燃料_自動車'!G27,0))</f>
        <v/>
      </c>
      <c r="G93" s="272" t="str">
        <f>'17非化石燃料_自動車'!H27</f>
        <v>kg</v>
      </c>
      <c r="H93" s="279" t="str">
        <f>IF('17非化石燃料_自動車'!P27="","",'17非化石燃料_自動車'!P27)</f>
        <v/>
      </c>
      <c r="I93" s="281" t="str">
        <f t="shared" si="18"/>
        <v/>
      </c>
      <c r="J93" s="4"/>
      <c r="K93" s="4"/>
    </row>
    <row r="94" spans="1:11" ht="30.15" customHeight="1" thickTop="1">
      <c r="A94" s="1685"/>
      <c r="B94" s="1674" t="s">
        <v>168</v>
      </c>
      <c r="C94" s="1674"/>
      <c r="D94" s="1677" t="s">
        <v>169</v>
      </c>
      <c r="E94" s="1678"/>
      <c r="F94" s="277" t="str">
        <f>IF('17非化石燃料_自動車'!G28="","",ROUND('17非化石燃料_自動車'!G28,0))</f>
        <v/>
      </c>
      <c r="G94" s="273" t="str">
        <f>'17非化石燃料_自動車'!H28</f>
        <v>t</v>
      </c>
      <c r="H94" s="464" t="str">
        <f>IF('17非化石燃料_自動車'!P28="","",'17非化石燃料_自動車'!P28)</f>
        <v/>
      </c>
      <c r="I94" s="282" t="str">
        <f t="shared" si="18"/>
        <v/>
      </c>
      <c r="J94" s="4"/>
      <c r="K94" s="4"/>
    </row>
    <row r="95" spans="1:11" ht="30.15" customHeight="1">
      <c r="A95" s="1685"/>
      <c r="B95" s="1675"/>
      <c r="C95" s="1675"/>
      <c r="D95" s="1679" t="s">
        <v>170</v>
      </c>
      <c r="E95" s="1680"/>
      <c r="F95" s="275" t="str">
        <f>IF('17非化石燃料_自動車'!G29="","",ROUND('17非化石燃料_自動車'!G29,0))</f>
        <v/>
      </c>
      <c r="G95" s="271" t="str">
        <f>'17非化石燃料_自動車'!H29</f>
        <v>t</v>
      </c>
      <c r="H95" s="279" t="str">
        <f>IF('17非化石燃料_自動車'!P29="","",'17非化石燃料_自動車'!P29)</f>
        <v/>
      </c>
      <c r="I95" s="280" t="str">
        <f t="shared" si="18"/>
        <v/>
      </c>
      <c r="J95" s="4"/>
      <c r="K95" s="4"/>
    </row>
    <row r="96" spans="1:11" ht="30.15" customHeight="1">
      <c r="A96" s="1685"/>
      <c r="B96" s="1675"/>
      <c r="C96" s="1675"/>
      <c r="D96" s="1365" t="str">
        <f>IF('15非化石燃料_建物'!C30="","その他の非化石燃料　自由記入1",'15非化石燃料_建物'!C30)</f>
        <v>その他の非化石燃料　自由記入1</v>
      </c>
      <c r="E96" s="1681"/>
      <c r="F96" s="275" t="str">
        <f>IF('17非化石燃料_自動車'!G30="","",ROUND('17非化石燃料_自動車'!G30,0))</f>
        <v/>
      </c>
      <c r="G96" s="271" t="str">
        <f>'17非化石燃料_自動車'!H30</f>
        <v>kg</v>
      </c>
      <c r="H96" s="279" t="str">
        <f>IF('17非化石燃料_自動車'!P30="","",'17非化石燃料_自動車'!P30)</f>
        <v/>
      </c>
      <c r="I96" s="280" t="str">
        <f t="shared" si="18"/>
        <v/>
      </c>
      <c r="J96" s="4"/>
      <c r="K96" s="4"/>
    </row>
    <row r="97" spans="1:11" ht="30.15" customHeight="1" thickBot="1">
      <c r="A97" s="1685"/>
      <c r="B97" s="1676"/>
      <c r="C97" s="1676"/>
      <c r="D97" s="1682" t="str">
        <f>IF('15非化石燃料_建物'!C31="","その他の非化石燃料　自由記入2",'15非化石燃料_建物'!C31)</f>
        <v>その他の非化石燃料　自由記入2</v>
      </c>
      <c r="E97" s="1683"/>
      <c r="F97" s="276" t="str">
        <f>IF('17非化石燃料_自動車'!G31="","",ROUND('17非化石燃料_自動車'!G31,0))</f>
        <v/>
      </c>
      <c r="G97" s="272" t="str">
        <f>'17非化石燃料_自動車'!H31</f>
        <v>kg</v>
      </c>
      <c r="H97" s="279" t="str">
        <f>IF('17非化石燃料_自動車'!P31="","",'17非化石燃料_自動車'!P31)</f>
        <v/>
      </c>
      <c r="I97" s="281" t="str">
        <f t="shared" si="18"/>
        <v/>
      </c>
      <c r="J97" s="4"/>
      <c r="K97" s="4"/>
    </row>
    <row r="98" spans="1:11" ht="30.15" customHeight="1" thickTop="1" thickBot="1">
      <c r="A98" s="1686"/>
      <c r="B98" s="1706" t="s">
        <v>171</v>
      </c>
      <c r="C98" s="1706"/>
      <c r="D98" s="1706"/>
      <c r="E98" s="1707"/>
      <c r="F98" s="1660"/>
      <c r="G98" s="1661"/>
      <c r="H98" s="284" t="str">
        <f>IF(COUNT(H74:H97)=0,"",SUM(H74:H97))</f>
        <v/>
      </c>
      <c r="I98" s="285" t="str">
        <f>IF(COUNT(I74:I97)=0,"",SUM(I74:I97))</f>
        <v/>
      </c>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ht="18" thickBot="1">
      <c r="A101" s="4"/>
      <c r="B101" s="4"/>
      <c r="C101" s="4"/>
      <c r="D101" s="4"/>
      <c r="E101" s="4"/>
      <c r="F101" s="4"/>
      <c r="G101" s="4"/>
      <c r="H101" s="4"/>
      <c r="I101" s="4"/>
      <c r="J101" s="4"/>
      <c r="K101" s="4"/>
    </row>
    <row r="102" spans="1:11" ht="30.15" customHeight="1">
      <c r="A102" s="4"/>
      <c r="B102" s="4"/>
      <c r="C102" s="4"/>
      <c r="D102" s="1662" t="s">
        <v>184</v>
      </c>
      <c r="E102" s="1663"/>
      <c r="F102" s="1663"/>
      <c r="G102" s="1663"/>
      <c r="H102" s="474">
        <f>IF(COUNT(I69,I98)=0,"",ROUND(SUM(I69,I98),0))</f>
        <v>0</v>
      </c>
      <c r="I102" s="286" t="s">
        <v>182</v>
      </c>
      <c r="J102" s="4"/>
      <c r="K102" s="4"/>
    </row>
    <row r="103" spans="1:11" ht="30.15" customHeight="1">
      <c r="A103" s="4"/>
      <c r="B103" s="4"/>
      <c r="C103" s="4"/>
      <c r="D103" s="1664" t="s">
        <v>183</v>
      </c>
      <c r="E103" s="1665"/>
      <c r="F103" s="1665"/>
      <c r="G103" s="1665"/>
      <c r="H103" s="475">
        <f>IF(COUNT(J69)=0,"",ROUND(J69,0))</f>
        <v>0</v>
      </c>
      <c r="I103" s="287" t="s">
        <v>267</v>
      </c>
      <c r="J103" s="4"/>
      <c r="K103" s="4"/>
    </row>
    <row r="104" spans="1:11" ht="30.15" customHeight="1">
      <c r="A104" s="4"/>
      <c r="B104" s="4"/>
      <c r="C104" s="4"/>
      <c r="D104" s="1824" t="s">
        <v>281</v>
      </c>
      <c r="E104" s="1825"/>
      <c r="F104" s="1825"/>
      <c r="G104" s="1825"/>
      <c r="H104" s="757">
        <f>IF(COUNT(K69)=0,"",ROUND(K69,0))</f>
        <v>0</v>
      </c>
      <c r="I104" s="758" t="s">
        <v>1904</v>
      </c>
      <c r="J104" s="4"/>
      <c r="K104" s="4"/>
    </row>
    <row r="105" spans="1:11" ht="30.15" customHeight="1" thickBot="1">
      <c r="A105" s="4"/>
      <c r="B105" s="4"/>
      <c r="C105" s="4"/>
      <c r="D105" s="1668" t="s">
        <v>285</v>
      </c>
      <c r="E105" s="1669"/>
      <c r="F105" s="1669"/>
      <c r="G105" s="1669"/>
      <c r="H105" s="473">
        <f>IF(AND(参考3!$I$58&lt;&gt;"",$H$104&lt;&gt;""),ROUND(参考3!$I$58-IF(SUM(K36,K46,K54,K61)&lt;0,0,ROUND(SUM(K36,K46,K54,K61),0))+IF($K$68="",0,$K$68)*-1,0),"")</f>
        <v>0</v>
      </c>
      <c r="I105" s="288" t="s">
        <v>1904</v>
      </c>
      <c r="J105" s="4"/>
      <c r="K105" s="4"/>
    </row>
    <row r="106" spans="1:11">
      <c r="A106" s="4"/>
      <c r="B106" s="4"/>
      <c r="C106" s="4"/>
      <c r="D106" s="4"/>
      <c r="E106" s="4"/>
      <c r="F106" s="4"/>
      <c r="G106" s="4"/>
      <c r="H106" s="4"/>
      <c r="I106" s="4"/>
      <c r="J106" s="4"/>
      <c r="K106" s="4"/>
    </row>
    <row r="107" spans="1:11" ht="22.5">
      <c r="A107" s="4"/>
      <c r="B107" s="4"/>
      <c r="C107" s="4"/>
      <c r="D107" s="4"/>
      <c r="E107" s="4"/>
      <c r="F107" s="4"/>
      <c r="G107" s="4"/>
      <c r="H107" s="4"/>
      <c r="I107" s="4"/>
      <c r="J107" s="4"/>
      <c r="K107" s="112" t="s">
        <v>268</v>
      </c>
    </row>
    <row r="109" spans="1:11" ht="22.5">
      <c r="K109" s="499"/>
    </row>
  </sheetData>
  <sheetProtection algorithmName="SHA-512" hashValue="+uagOP+f2H1VJGjVCEN7Xqm9+QMj80HskpSAFPM2RUS/M/NmcEcuhTRqTFh8yrbaL/nbIKvT7Nh/9rc34LdfPw==" saltValue="VG7yBQIopyPefTj3wfsJSQ==" spinCount="100000" sheet="1" objects="1" scenarios="1"/>
  <mergeCells count="129">
    <mergeCell ref="F61:G61"/>
    <mergeCell ref="B57:E58"/>
    <mergeCell ref="F57:G57"/>
    <mergeCell ref="B59:B61"/>
    <mergeCell ref="D52:E52"/>
    <mergeCell ref="D53:E53"/>
    <mergeCell ref="B74:C84"/>
    <mergeCell ref="D83:E83"/>
    <mergeCell ref="D84:E84"/>
    <mergeCell ref="F54:G54"/>
    <mergeCell ref="C48:C53"/>
    <mergeCell ref="C68:E68"/>
    <mergeCell ref="F68:G68"/>
    <mergeCell ref="B62:B68"/>
    <mergeCell ref="D104:G104"/>
    <mergeCell ref="D105:G105"/>
    <mergeCell ref="B98:E98"/>
    <mergeCell ref="F98:G98"/>
    <mergeCell ref="D102:G102"/>
    <mergeCell ref="D90:E90"/>
    <mergeCell ref="D93:E93"/>
    <mergeCell ref="B94:C97"/>
    <mergeCell ref="D94:E94"/>
    <mergeCell ref="D97:E97"/>
    <mergeCell ref="B85:C93"/>
    <mergeCell ref="D85:E85"/>
    <mergeCell ref="D86:E86"/>
    <mergeCell ref="D87:E87"/>
    <mergeCell ref="D88:E88"/>
    <mergeCell ref="D103:G103"/>
    <mergeCell ref="D96:E96"/>
    <mergeCell ref="D91:E91"/>
    <mergeCell ref="D92:E92"/>
    <mergeCell ref="A74:A98"/>
    <mergeCell ref="D74:E74"/>
    <mergeCell ref="D75:E75"/>
    <mergeCell ref="D76:E76"/>
    <mergeCell ref="D89:E89"/>
    <mergeCell ref="D80:E80"/>
    <mergeCell ref="D81:E81"/>
    <mergeCell ref="D82:E82"/>
    <mergeCell ref="D77:E77"/>
    <mergeCell ref="D78:E78"/>
    <mergeCell ref="D79:E79"/>
    <mergeCell ref="D95:E95"/>
    <mergeCell ref="A71:A73"/>
    <mergeCell ref="B71:C73"/>
    <mergeCell ref="D71:E73"/>
    <mergeCell ref="F71:G71"/>
    <mergeCell ref="F72:G72"/>
    <mergeCell ref="F73:G73"/>
    <mergeCell ref="C62:E62"/>
    <mergeCell ref="F62:G62"/>
    <mergeCell ref="C63:E63"/>
    <mergeCell ref="F63:G63"/>
    <mergeCell ref="C64:E64"/>
    <mergeCell ref="F64:G64"/>
    <mergeCell ref="C65:E65"/>
    <mergeCell ref="F65:G65"/>
    <mergeCell ref="A57:A69"/>
    <mergeCell ref="B69:E69"/>
    <mergeCell ref="F69:G69"/>
    <mergeCell ref="C66:E66"/>
    <mergeCell ref="F66:G66"/>
    <mergeCell ref="C61:E61"/>
    <mergeCell ref="C59:E59"/>
    <mergeCell ref="C60:E60"/>
    <mergeCell ref="C67:E67"/>
    <mergeCell ref="F67:G67"/>
    <mergeCell ref="C29:E29"/>
    <mergeCell ref="C30:E30"/>
    <mergeCell ref="C31:E31"/>
    <mergeCell ref="C36:E36"/>
    <mergeCell ref="F36:G36"/>
    <mergeCell ref="F46:G46"/>
    <mergeCell ref="D37:E37"/>
    <mergeCell ref="D38:E38"/>
    <mergeCell ref="D40:E40"/>
    <mergeCell ref="C41:C45"/>
    <mergeCell ref="D41:D42"/>
    <mergeCell ref="D43:D44"/>
    <mergeCell ref="C15:E15"/>
    <mergeCell ref="C16:C17"/>
    <mergeCell ref="A2:E2"/>
    <mergeCell ref="C54:E54"/>
    <mergeCell ref="C27:E27"/>
    <mergeCell ref="C32:E32"/>
    <mergeCell ref="C33:E33"/>
    <mergeCell ref="D16:E16"/>
    <mergeCell ref="D17:E17"/>
    <mergeCell ref="C18:C19"/>
    <mergeCell ref="D18:E18"/>
    <mergeCell ref="D19:E19"/>
    <mergeCell ref="C20:C22"/>
    <mergeCell ref="D20:E20"/>
    <mergeCell ref="D21:E21"/>
    <mergeCell ref="D22:E22"/>
    <mergeCell ref="D39:E39"/>
    <mergeCell ref="D48:D49"/>
    <mergeCell ref="D50:D51"/>
    <mergeCell ref="C46:E46"/>
    <mergeCell ref="C34:C35"/>
    <mergeCell ref="D34:E34"/>
    <mergeCell ref="D35:E35"/>
    <mergeCell ref="C28:E28"/>
    <mergeCell ref="H3:J3"/>
    <mergeCell ref="B4:E5"/>
    <mergeCell ref="F4:G4"/>
    <mergeCell ref="C13:E13"/>
    <mergeCell ref="C14:E14"/>
    <mergeCell ref="A6:A54"/>
    <mergeCell ref="B6:B35"/>
    <mergeCell ref="C6:E6"/>
    <mergeCell ref="C7:E7"/>
    <mergeCell ref="C8:E8"/>
    <mergeCell ref="C9:E9"/>
    <mergeCell ref="C10:E10"/>
    <mergeCell ref="C11:E11"/>
    <mergeCell ref="C12:E12"/>
    <mergeCell ref="C23:C24"/>
    <mergeCell ref="D23:E23"/>
    <mergeCell ref="D24:E24"/>
    <mergeCell ref="C25:E25"/>
    <mergeCell ref="C26:E26"/>
    <mergeCell ref="B47:B54"/>
    <mergeCell ref="D47:E47"/>
    <mergeCell ref="D45:E45"/>
    <mergeCell ref="B37:B46"/>
    <mergeCell ref="C37:C40"/>
  </mergeCells>
  <phoneticPr fontId="5"/>
  <conditionalFormatting sqref="K6:K54">
    <cfRule type="cellIs" dxfId="32" priority="1" operator="notEqual">
      <formula>""</formula>
    </cfRule>
  </conditionalFormatting>
  <conditionalFormatting sqref="K59:K69">
    <cfRule type="cellIs" dxfId="31" priority="2" operator="notEqual">
      <formula>""</formula>
    </cfRule>
  </conditionalFormatting>
  <pageMargins left="0.78740157480314965" right="0.59055118110236227" top="0.78740157480314965" bottom="0.59055118110236227" header="0.31496062992125984" footer="0.31496062992125984"/>
  <pageSetup paperSize="9" scale="39" fitToHeight="0" orientation="portrait" r:id="rId1"/>
  <headerFooter>
    <oddHeader>&amp;R&amp;8ver.4.01</oddHeader>
  </headerFooter>
  <rowBreaks count="1" manualBreakCount="1">
    <brk id="55" max="10" man="1"/>
  </rowBreaks>
  <ignoredErrors>
    <ignoredError sqref="I59"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pageSetUpPr fitToPage="1"/>
  </sheetPr>
  <dimension ref="A1:AH59"/>
  <sheetViews>
    <sheetView showGridLines="0" zoomScale="70" zoomScaleNormal="70" zoomScaleSheetLayoutView="70" workbookViewId="0">
      <pane ySplit="6" topLeftCell="A48" activePane="bottomLeft" state="frozen"/>
      <selection activeCell="L62" sqref="L62"/>
      <selection pane="bottomLeft" activeCell="H12" sqref="H12"/>
    </sheetView>
  </sheetViews>
  <sheetFormatPr defaultColWidth="9" defaultRowHeight="17.5" outlineLevelCol="1"/>
  <cols>
    <col min="1" max="1" width="12.58203125" style="84" customWidth="1"/>
    <col min="2" max="2" width="13.6640625" style="493" customWidth="1"/>
    <col min="3" max="3" width="31.6640625" style="493" customWidth="1"/>
    <col min="4" max="4" width="11.5" style="84" customWidth="1"/>
    <col min="5" max="5" width="10.58203125" style="84" customWidth="1"/>
    <col min="6" max="6" width="6.6640625" style="84" customWidth="1"/>
    <col min="7" max="7" width="9.9140625" style="84" customWidth="1"/>
    <col min="8" max="8" width="17" style="84" customWidth="1"/>
    <col min="9" max="9" width="12" style="84" customWidth="1"/>
    <col min="10" max="10" width="22.9140625" style="84" customWidth="1"/>
    <col min="11" max="11" width="9.58203125" style="84" hidden="1" customWidth="1" outlineLevel="1"/>
    <col min="12" max="12" width="8.1640625" style="84" hidden="1" customWidth="1" outlineLevel="1"/>
    <col min="13" max="13" width="13" style="84" customWidth="1" collapsed="1"/>
    <col min="14" max="14" width="11.6640625" style="84" customWidth="1"/>
    <col min="15" max="15" width="16" style="84" customWidth="1"/>
    <col min="16" max="16" width="12" style="84" customWidth="1"/>
    <col min="17" max="17" width="0" style="84" hidden="1" customWidth="1"/>
    <col min="18" max="18" width="11.1640625" style="84" hidden="1" customWidth="1" outlineLevel="1"/>
    <col min="19" max="19" width="9.4140625" style="84" hidden="1" customWidth="1" outlineLevel="1"/>
    <col min="20" max="20" width="9.5" style="84" hidden="1" customWidth="1" outlineLevel="1"/>
    <col min="21" max="23" width="14.6640625" style="84" hidden="1" customWidth="1" outlineLevel="1"/>
    <col min="24" max="25" width="13.6640625" style="84" hidden="1" customWidth="1" outlineLevel="1"/>
    <col min="26" max="26" width="20.4140625" style="84" hidden="1" customWidth="1" outlineLevel="1"/>
    <col min="27" max="27" width="18" style="84" hidden="1" customWidth="1" outlineLevel="1"/>
    <col min="28" max="31" width="17.08203125" style="84" hidden="1" customWidth="1" outlineLevel="1"/>
    <col min="32" max="32" width="15.08203125" style="84" hidden="1" customWidth="1" outlineLevel="1"/>
    <col min="33" max="33" width="15" style="84" hidden="1" customWidth="1" outlineLevel="1"/>
    <col min="34" max="34" width="9" style="84" hidden="1" customWidth="1" collapsed="1"/>
    <col min="35" max="16384" width="9" style="84"/>
  </cols>
  <sheetData>
    <row r="1" spans="1:34" ht="18.75" customHeight="1">
      <c r="A1" s="3" t="s">
        <v>2508</v>
      </c>
      <c r="B1" s="3"/>
      <c r="C1" s="163"/>
      <c r="D1" s="52"/>
      <c r="E1" s="52"/>
      <c r="F1" s="52"/>
      <c r="G1" s="52"/>
      <c r="H1" s="38"/>
      <c r="I1" s="38"/>
      <c r="J1" s="38"/>
      <c r="K1" s="65" t="s">
        <v>1896</v>
      </c>
      <c r="L1" s="65" t="s">
        <v>1896</v>
      </c>
      <c r="M1" s="38"/>
      <c r="N1" s="216" t="s">
        <v>2056</v>
      </c>
      <c r="O1" s="1851" t="str">
        <f>IF('0.事業所概要'!D11="","",'0.事業所概要'!D11)</f>
        <v>県庁産業㈱　　本社、浦和支店</v>
      </c>
      <c r="P1" s="1852" t="str">
        <f>IF('0.事業所概要'!I11="","",'0.事業所概要'!I11)</f>
        <v/>
      </c>
    </row>
    <row r="2" spans="1:34" ht="18.75" customHeight="1">
      <c r="A2" s="3" t="s">
        <v>2267</v>
      </c>
      <c r="B2" s="3"/>
      <c r="C2" s="3"/>
      <c r="D2" s="52"/>
      <c r="E2" s="52"/>
      <c r="F2" s="52"/>
      <c r="G2" s="52"/>
      <c r="H2" s="3"/>
      <c r="I2" s="3"/>
      <c r="J2" s="3"/>
      <c r="K2" s="64"/>
      <c r="L2" s="64"/>
      <c r="M2" s="3"/>
      <c r="N2" s="38"/>
      <c r="O2" s="38"/>
      <c r="P2" s="38" t="str">
        <f>CONCATENATE('0.事業所概要'!$B$3,'0.事業所概要'!$C$3,"年度")</f>
        <v>令和７年度</v>
      </c>
    </row>
    <row r="3" spans="1:34" ht="18" thickBot="1">
      <c r="A3" s="52"/>
      <c r="B3" s="41"/>
      <c r="C3" s="163"/>
      <c r="D3" s="52"/>
      <c r="E3" s="52"/>
      <c r="F3" s="52"/>
      <c r="G3" s="52"/>
      <c r="H3" s="52"/>
      <c r="I3" s="52"/>
      <c r="J3" s="52"/>
      <c r="M3" s="52"/>
      <c r="N3" s="52"/>
      <c r="O3" s="52"/>
      <c r="P3" s="52"/>
    </row>
    <row r="4" spans="1:34" ht="18" customHeight="1">
      <c r="A4" s="1827" t="s">
        <v>2059</v>
      </c>
      <c r="B4" s="1833" t="s">
        <v>70</v>
      </c>
      <c r="C4" s="1835" t="s">
        <v>205</v>
      </c>
      <c r="D4" s="1837" t="s">
        <v>207</v>
      </c>
      <c r="E4" s="1831" t="s">
        <v>204</v>
      </c>
      <c r="F4" s="1832"/>
      <c r="G4" s="1837" t="s">
        <v>1632</v>
      </c>
      <c r="H4" s="1841" t="s">
        <v>2025</v>
      </c>
      <c r="I4" s="1841" t="s">
        <v>2047</v>
      </c>
      <c r="J4" s="1841" t="s">
        <v>2026</v>
      </c>
      <c r="K4" s="1846" t="s">
        <v>1836</v>
      </c>
      <c r="L4" s="1847"/>
      <c r="M4" s="1844" t="s">
        <v>1837</v>
      </c>
      <c r="N4" s="1837" t="s">
        <v>219</v>
      </c>
      <c r="O4" s="1844" t="s">
        <v>1838</v>
      </c>
      <c r="P4" s="1839" t="s">
        <v>220</v>
      </c>
      <c r="Q4" s="488"/>
      <c r="R4" s="1829" t="s">
        <v>1629</v>
      </c>
      <c r="S4" s="1830" t="s">
        <v>1621</v>
      </c>
      <c r="T4" s="1830" t="s">
        <v>1624</v>
      </c>
      <c r="U4" s="1829" t="s">
        <v>1627</v>
      </c>
      <c r="V4" s="1853" t="s">
        <v>219</v>
      </c>
      <c r="W4" s="1853" t="s">
        <v>220</v>
      </c>
      <c r="X4" s="1829" t="s">
        <v>1638</v>
      </c>
      <c r="Y4" s="1830" t="s">
        <v>2033</v>
      </c>
      <c r="Z4" s="1829" t="s">
        <v>1644</v>
      </c>
      <c r="AA4" s="1829" t="s">
        <v>1642</v>
      </c>
      <c r="AB4" s="1829" t="s">
        <v>1643</v>
      </c>
      <c r="AC4" s="1829" t="s">
        <v>1641</v>
      </c>
      <c r="AD4" s="1829" t="s">
        <v>1640</v>
      </c>
      <c r="AE4" s="1829" t="s">
        <v>1645</v>
      </c>
      <c r="AF4" s="1829" t="s">
        <v>1639</v>
      </c>
      <c r="AG4" s="1829" t="s">
        <v>2024</v>
      </c>
      <c r="AH4" s="1826" t="s">
        <v>2055</v>
      </c>
    </row>
    <row r="5" spans="1:34" ht="44.25" customHeight="1" thickBot="1">
      <c r="A5" s="1828"/>
      <c r="B5" s="1834"/>
      <c r="C5" s="1836"/>
      <c r="D5" s="1838"/>
      <c r="E5" s="504" t="s">
        <v>205</v>
      </c>
      <c r="F5" s="504" t="s">
        <v>206</v>
      </c>
      <c r="G5" s="1838"/>
      <c r="H5" s="1842"/>
      <c r="I5" s="1850"/>
      <c r="J5" s="1842"/>
      <c r="K5" s="1848"/>
      <c r="L5" s="1849"/>
      <c r="M5" s="1845"/>
      <c r="N5" s="1843"/>
      <c r="O5" s="1845"/>
      <c r="P5" s="1840"/>
      <c r="Q5" s="488"/>
      <c r="R5" s="1830"/>
      <c r="S5" s="1830"/>
      <c r="T5" s="1830"/>
      <c r="U5" s="1830"/>
      <c r="V5" s="1854"/>
      <c r="W5" s="1854"/>
      <c r="X5" s="1830"/>
      <c r="Y5" s="1830"/>
      <c r="Z5" s="1830"/>
      <c r="AA5" s="1830"/>
      <c r="AB5" s="1830"/>
      <c r="AC5" s="1830"/>
      <c r="AD5" s="1830"/>
      <c r="AE5" s="1830"/>
      <c r="AF5" s="1830"/>
      <c r="AG5" s="1830"/>
      <c r="AH5" s="1826"/>
    </row>
    <row r="6" spans="1:34" ht="27" customHeight="1" thickTop="1" thickBot="1">
      <c r="A6" s="609"/>
      <c r="B6" s="1177" t="s">
        <v>209</v>
      </c>
      <c r="C6" s="325"/>
      <c r="D6" s="325"/>
      <c r="E6" s="325"/>
      <c r="F6" s="325"/>
      <c r="G6" s="325"/>
      <c r="H6" s="325"/>
      <c r="I6" s="325"/>
      <c r="J6" s="325"/>
      <c r="K6" s="325"/>
      <c r="L6" s="325"/>
      <c r="M6" s="325"/>
      <c r="N6" s="325"/>
      <c r="O6" s="325"/>
      <c r="P6" s="326"/>
      <c r="Q6" s="488"/>
      <c r="U6" s="489"/>
      <c r="V6" s="489"/>
      <c r="W6" s="489"/>
    </row>
    <row r="7" spans="1:34" ht="27.9" customHeight="1" thickTop="1">
      <c r="A7" s="709" t="s">
        <v>2052</v>
      </c>
      <c r="B7" s="525" t="s">
        <v>330</v>
      </c>
      <c r="C7" s="526" t="s">
        <v>14</v>
      </c>
      <c r="D7" s="526" t="s">
        <v>367</v>
      </c>
      <c r="E7" s="527"/>
      <c r="F7" s="528"/>
      <c r="G7" s="526" t="s">
        <v>372</v>
      </c>
      <c r="H7" s="529"/>
      <c r="I7" s="530"/>
      <c r="J7" s="541" t="str">
        <f t="shared" ref="J7:J43" si="0">IF(H7="","",IF(I7="",H7,H7*I7))</f>
        <v/>
      </c>
      <c r="K7" s="532" t="str">
        <f>IF(U7="","",U7)</f>
        <v/>
      </c>
      <c r="L7" s="533" t="str">
        <f>IF(C7="","",VLOOKUP(C7,非_単位!$N$3:$O$34,2,FALSE))</f>
        <v>kL</v>
      </c>
      <c r="M7" s="534">
        <f>IF(C7="","",VLOOKUP(C7,非_係数!$B$5:$F$36,2,FALSE))</f>
        <v>36.5</v>
      </c>
      <c r="N7" s="535" t="str">
        <f>V7</f>
        <v/>
      </c>
      <c r="O7" s="536">
        <f>IF(C7="","",VLOOKUP(C7,非_係数!$B$5:$F$36,4,FALSE))</f>
        <v>1.8700000000000001E-2</v>
      </c>
      <c r="P7" s="537" t="str">
        <f>W7</f>
        <v/>
      </c>
      <c r="Q7" s="488"/>
      <c r="R7" s="490" t="str">
        <f t="shared" ref="R7:R43" si="1">IF(B7="","","燃料種選択")</f>
        <v>燃料種選択</v>
      </c>
      <c r="S7" s="490">
        <f>IF(G7="","",VLOOKUP(G7,非_単位補正換算!$B$3:$C$16,2,FALSE))</f>
        <v>1000</v>
      </c>
      <c r="T7" s="490">
        <f>IF(G7="","",IF(SUMIFS(非_単位補正換算!$D$19:$D$48,非_単位補正換算!$B$19:$B$48,'12燃料'!C7,非_単位補正換算!$C$19:$C$48,'12燃料'!G7)=0,1,SUMIFS(非_単位補正換算!$D$19:$D$48,非_単位補正換算!$B$19:$B$48,'12燃料'!C7,非_単位補正換算!$C$19:$C$48,'12燃料'!G7)))</f>
        <v>1</v>
      </c>
      <c r="U7" s="491" t="str">
        <f t="shared" ref="U7:U43" si="2">IF(AND(J7&lt;&gt;"",S7&lt;&gt;"",T7&lt;&gt;""),J7/S7*T7,"")</f>
        <v/>
      </c>
      <c r="V7" s="491" t="str">
        <f>IF(AND(M7&lt;&gt;"",U7&lt;&gt;""),U7*M7,"")</f>
        <v/>
      </c>
      <c r="W7" s="491" t="str">
        <f>IF(AND(O7&lt;&gt;"",U7&lt;&gt;"",M7&lt;&gt;""),U7*M7*O7*44/12,"")</f>
        <v/>
      </c>
      <c r="X7" s="490">
        <f>IF(C7="","",VLOOKUP(C7,非_まとめ表行番号!$B$3:$C$34,2,FALSE))</f>
        <v>10</v>
      </c>
      <c r="Y7" s="490">
        <f>IF(X7="","",VLOOKUP(X7,非_まとめ表行番号!$U$3:$V$56,2,FALSE))</f>
        <v>5</v>
      </c>
      <c r="Z7" s="492">
        <f>IF(C7="","",VLOOKUP(C7,非_係数!$B$5:$K$36,6,FALSE))</f>
        <v>1</v>
      </c>
      <c r="AA7" s="491" t="str">
        <f>IF(U7="","",U7*Z7)</f>
        <v/>
      </c>
      <c r="AB7" s="490">
        <f>IF(C7="","",VLOOKUP(C7,非_係数!$B$5:$K$36,7,FALSE))</f>
        <v>36.700000000000003</v>
      </c>
      <c r="AC7" s="490" t="str">
        <f>IF(AA7="","",AA7*AB7)</f>
        <v/>
      </c>
      <c r="AD7" s="490">
        <f>IF(C7="","",VLOOKUP(C7,非_係数!$B$5:$K$36,9,FALSE))</f>
        <v>1.8499999999999999E-2</v>
      </c>
      <c r="AE7" s="490" t="str">
        <f>IF(AC7="","",AC7*AD7*44/12)</f>
        <v/>
      </c>
      <c r="AF7" s="490">
        <f>IF(C7="","",VLOOKUP(C7,非_まとめ表行番号!$B$3:$D$34,3,FALSE))</f>
        <v>10</v>
      </c>
      <c r="AG7" s="490" t="str">
        <f t="shared" ref="AG7:AG43" si="3">IF(F7="無","乗率_排出量","")</f>
        <v/>
      </c>
      <c r="AH7" s="84">
        <v>1</v>
      </c>
    </row>
    <row r="8" spans="1:34" ht="27.9" customHeight="1">
      <c r="A8" s="608"/>
      <c r="B8" s="538"/>
      <c r="C8" s="539"/>
      <c r="D8" s="539"/>
      <c r="E8" s="404"/>
      <c r="F8" s="406"/>
      <c r="G8" s="539"/>
      <c r="H8" s="540"/>
      <c r="I8" s="509"/>
      <c r="J8" s="541" t="str">
        <f t="shared" si="0"/>
        <v/>
      </c>
      <c r="K8" s="542" t="str">
        <f t="shared" ref="K8:K43" si="4">IF(U8="","",U8)</f>
        <v/>
      </c>
      <c r="L8" s="543" t="str">
        <f>IF(C8="","",VLOOKUP(C8,非_単位!$N$3:$O$34,2,FALSE))</f>
        <v/>
      </c>
      <c r="M8" s="544" t="str">
        <f>IF(C8="","",VLOOKUP(C8,非_係数!$B$5:$F$36,2,FALSE))</f>
        <v/>
      </c>
      <c r="N8" s="545" t="str">
        <f t="shared" ref="N8:N43" si="5">V8</f>
        <v/>
      </c>
      <c r="O8" s="546" t="str">
        <f>IF(C8="","",VLOOKUP(C8,非_係数!$B$5:$F$36,4,FALSE))</f>
        <v/>
      </c>
      <c r="P8" s="547" t="str">
        <f t="shared" ref="P8:P43" si="6">W8</f>
        <v/>
      </c>
      <c r="Q8" s="488"/>
      <c r="R8" s="490" t="str">
        <f t="shared" si="1"/>
        <v/>
      </c>
      <c r="S8" s="490" t="str">
        <f>IF(G8="","",VLOOKUP(G8,非_単位補正換算!$B$3:$C$16,2,FALSE))</f>
        <v/>
      </c>
      <c r="T8" s="490" t="str">
        <f>IF(G8="","",IF(SUMIFS(非_単位補正換算!$D$19:$D$48,非_単位補正換算!$B$19:$B$48,'12燃料'!C8,非_単位補正換算!$C$19:$C$48,'12燃料'!G8)=0,1,SUMIFS(非_単位補正換算!$D$19:$D$48,非_単位補正換算!$B$19:$B$48,'12燃料'!C8,非_単位補正換算!$C$19:$C$48,'12燃料'!G8)))</f>
        <v/>
      </c>
      <c r="U8" s="491" t="str">
        <f t="shared" si="2"/>
        <v/>
      </c>
      <c r="V8" s="491" t="str">
        <f t="shared" ref="V8:V59" si="7">IF(AND(M8&lt;&gt;"",U8&lt;&gt;""),U8*M8,"")</f>
        <v/>
      </c>
      <c r="W8" s="491" t="str">
        <f t="shared" ref="W8:W59" si="8">IF(AND(O8&lt;&gt;"",U8&lt;&gt;"",M8&lt;&gt;""),U8*M8*O8*44/12,"")</f>
        <v/>
      </c>
      <c r="X8" s="490" t="str">
        <f>IF(C8="","",VLOOKUP(C8,非_まとめ表行番号!$B$3:$C$34,2,FALSE))</f>
        <v/>
      </c>
      <c r="Y8" s="490" t="str">
        <f>IF(X8="","",VLOOKUP(X8,非_まとめ表行番号!$U$3:$V$56,2,FALSE))</f>
        <v/>
      </c>
      <c r="Z8" s="492" t="str">
        <f>IF(C8="","",VLOOKUP(C8,非_係数!$B$5:$K$36,6,FALSE))</f>
        <v/>
      </c>
      <c r="AA8" s="491" t="str">
        <f t="shared" ref="AA8:AA59" si="9">IF(U8="","",U8*Z8)</f>
        <v/>
      </c>
      <c r="AB8" s="490" t="str">
        <f>IF(C8="","",VLOOKUP(C8,非_係数!$B$5:$K$36,7,FALSE))</f>
        <v/>
      </c>
      <c r="AC8" s="490" t="str">
        <f t="shared" ref="AC8:AC43" si="10">IF(AA8="","",AA8*AB8)</f>
        <v/>
      </c>
      <c r="AD8" s="490" t="str">
        <f>IF(C8="","",VLOOKUP(C8,非_係数!$B$5:$K$36,9,FALSE))</f>
        <v/>
      </c>
      <c r="AE8" s="490" t="str">
        <f t="shared" ref="AE8:AE43" si="11">IF(AC8="","",AC8*AD8*44/12)</f>
        <v/>
      </c>
      <c r="AF8" s="490" t="str">
        <f>IF(C8="","",VLOOKUP(C8,非_まとめ表行番号!$B$3:$D$34,3,FALSE))</f>
        <v/>
      </c>
      <c r="AG8" s="490" t="str">
        <f t="shared" si="3"/>
        <v/>
      </c>
      <c r="AH8" s="84">
        <v>1</v>
      </c>
    </row>
    <row r="9" spans="1:34" ht="27.9" customHeight="1">
      <c r="A9" s="608"/>
      <c r="B9" s="538" t="s">
        <v>330</v>
      </c>
      <c r="C9" s="539" t="s">
        <v>337</v>
      </c>
      <c r="D9" s="539" t="s">
        <v>367</v>
      </c>
      <c r="E9" s="404"/>
      <c r="F9" s="406"/>
      <c r="G9" s="539" t="s">
        <v>375</v>
      </c>
      <c r="H9" s="540"/>
      <c r="I9" s="509"/>
      <c r="J9" s="541" t="str">
        <f t="shared" si="0"/>
        <v/>
      </c>
      <c r="K9" s="542" t="str">
        <f t="shared" si="4"/>
        <v/>
      </c>
      <c r="L9" s="543" t="str">
        <f>IF(C9="","",VLOOKUP(C9,非_単位!$N$3:$O$34,2,FALSE))</f>
        <v>t</v>
      </c>
      <c r="M9" s="544">
        <f>IF(C9="","",VLOOKUP(C9,非_係数!$B$5:$F$36,2,FALSE))</f>
        <v>50.1</v>
      </c>
      <c r="N9" s="545" t="str">
        <f t="shared" si="5"/>
        <v/>
      </c>
      <c r="O9" s="546">
        <f>IF(C9="","",VLOOKUP(C9,非_係数!$B$5:$F$36,4,FALSE))</f>
        <v>1.6299999999999999E-2</v>
      </c>
      <c r="P9" s="547" t="str">
        <f t="shared" si="6"/>
        <v/>
      </c>
      <c r="Q9" s="488"/>
      <c r="R9" s="490" t="str">
        <f t="shared" si="1"/>
        <v>燃料種選択</v>
      </c>
      <c r="S9" s="490">
        <f>IF(G9="","",VLOOKUP(G9,非_単位補正換算!$B$3:$C$16,2,FALSE))</f>
        <v>1000</v>
      </c>
      <c r="T9" s="490">
        <f>IF(G9="","",IF(SUMIFS(非_単位補正換算!$D$19:$D$48,非_単位補正換算!$B$19:$B$48,'12燃料'!C9,非_単位補正換算!$C$19:$C$48,'12燃料'!G9)=0,1,SUMIFS(非_単位補正換算!$D$19:$D$48,非_単位補正換算!$B$19:$B$48,'12燃料'!C9,非_単位補正換算!$C$19:$C$48,'12燃料'!G9)))</f>
        <v>1.9920318725099602</v>
      </c>
      <c r="U9" s="491" t="str">
        <f t="shared" si="2"/>
        <v/>
      </c>
      <c r="V9" s="491" t="str">
        <f t="shared" si="7"/>
        <v/>
      </c>
      <c r="W9" s="491" t="str">
        <f t="shared" si="8"/>
        <v/>
      </c>
      <c r="X9" s="490">
        <f>IF(C9="","",VLOOKUP(C9,非_まとめ表行番号!$B$3:$C$34,2,FALSE))</f>
        <v>16</v>
      </c>
      <c r="Y9" s="490">
        <f>IF(X9="","",VLOOKUP(X9,非_まとめ表行番号!$U$3:$V$56,2,FALSE))</f>
        <v>11</v>
      </c>
      <c r="Z9" s="492">
        <f>IF(C9="","",VLOOKUP(C9,非_係数!$B$5:$K$36,6,FALSE))</f>
        <v>1</v>
      </c>
      <c r="AA9" s="491" t="str">
        <f t="shared" si="9"/>
        <v/>
      </c>
      <c r="AB9" s="490">
        <f>IF(C9="","",VLOOKUP(C9,非_係数!$B$5:$K$36,7,FALSE))</f>
        <v>50.8</v>
      </c>
      <c r="AC9" s="490" t="str">
        <f t="shared" si="10"/>
        <v/>
      </c>
      <c r="AD9" s="490">
        <f>IF(C9="","",VLOOKUP(C9,非_係数!$B$5:$K$36,9,FALSE))</f>
        <v>1.61E-2</v>
      </c>
      <c r="AE9" s="490" t="str">
        <f t="shared" si="11"/>
        <v/>
      </c>
      <c r="AF9" s="490">
        <f>IF(C9="","",VLOOKUP(C9,非_まとめ表行番号!$B$3:$D$34,3,FALSE))</f>
        <v>16</v>
      </c>
      <c r="AG9" s="490" t="str">
        <f t="shared" si="3"/>
        <v/>
      </c>
      <c r="AH9" s="84">
        <v>1</v>
      </c>
    </row>
    <row r="10" spans="1:34" ht="27.9" customHeight="1">
      <c r="A10" s="608"/>
      <c r="B10" s="538"/>
      <c r="C10" s="539"/>
      <c r="D10" s="539"/>
      <c r="E10" s="404"/>
      <c r="F10" s="406"/>
      <c r="G10" s="539"/>
      <c r="H10" s="540"/>
      <c r="I10" s="509"/>
      <c r="J10" s="541" t="str">
        <f t="shared" si="0"/>
        <v/>
      </c>
      <c r="K10" s="542" t="str">
        <f t="shared" si="4"/>
        <v/>
      </c>
      <c r="L10" s="543" t="str">
        <f>IF(C10="","",VLOOKUP(C10,非_単位!$N$3:$O$34,2,FALSE))</f>
        <v/>
      </c>
      <c r="M10" s="544" t="str">
        <f>IF(C10="","",VLOOKUP(C10,非_係数!$B$5:$F$36,2,FALSE))</f>
        <v/>
      </c>
      <c r="N10" s="545" t="str">
        <f t="shared" si="5"/>
        <v/>
      </c>
      <c r="O10" s="546" t="str">
        <f>IF(C10="","",VLOOKUP(C10,非_係数!$B$5:$F$36,4,FALSE))</f>
        <v/>
      </c>
      <c r="P10" s="547" t="str">
        <f t="shared" si="6"/>
        <v/>
      </c>
      <c r="Q10" s="488"/>
      <c r="R10" s="490" t="str">
        <f t="shared" si="1"/>
        <v/>
      </c>
      <c r="S10" s="490" t="str">
        <f>IF(G10="","",VLOOKUP(G10,非_単位補正換算!$B$3:$C$16,2,FALSE))</f>
        <v/>
      </c>
      <c r="T10" s="490" t="str">
        <f>IF(G10="","",IF(SUMIFS(非_単位補正換算!$D$19:$D$48,非_単位補正換算!$B$19:$B$48,'12燃料'!C10,非_単位補正換算!$C$19:$C$48,'12燃料'!G10)=0,1,SUMIFS(非_単位補正換算!$D$19:$D$48,非_単位補正換算!$B$19:$B$48,'12燃料'!C10,非_単位補正換算!$C$19:$C$48,'12燃料'!G10)))</f>
        <v/>
      </c>
      <c r="U10" s="491" t="str">
        <f t="shared" si="2"/>
        <v/>
      </c>
      <c r="V10" s="491" t="str">
        <f t="shared" si="7"/>
        <v/>
      </c>
      <c r="W10" s="491" t="str">
        <f t="shared" si="8"/>
        <v/>
      </c>
      <c r="X10" s="490" t="str">
        <f>IF(C10="","",VLOOKUP(C10,非_まとめ表行番号!$B$3:$C$34,2,FALSE))</f>
        <v/>
      </c>
      <c r="Y10" s="490" t="str">
        <f>IF(X10="","",VLOOKUP(X10,非_まとめ表行番号!$U$3:$V$56,2,FALSE))</f>
        <v/>
      </c>
      <c r="Z10" s="492" t="str">
        <f>IF(C10="","",VLOOKUP(C10,非_係数!$B$5:$K$36,6,FALSE))</f>
        <v/>
      </c>
      <c r="AA10" s="491" t="str">
        <f t="shared" si="9"/>
        <v/>
      </c>
      <c r="AB10" s="490" t="str">
        <f>IF(C10="","",VLOOKUP(C10,非_係数!$B$5:$K$36,7,FALSE))</f>
        <v/>
      </c>
      <c r="AC10" s="490" t="str">
        <f t="shared" si="10"/>
        <v/>
      </c>
      <c r="AD10" s="490" t="str">
        <f>IF(C10="","",VLOOKUP(C10,非_係数!$B$5:$K$36,9,FALSE))</f>
        <v/>
      </c>
      <c r="AE10" s="490" t="str">
        <f t="shared" si="11"/>
        <v/>
      </c>
      <c r="AF10" s="490" t="str">
        <f>IF(C10="","",VLOOKUP(C10,非_まとめ表行番号!$B$3:$D$34,3,FALSE))</f>
        <v/>
      </c>
      <c r="AG10" s="490" t="str">
        <f t="shared" si="3"/>
        <v/>
      </c>
      <c r="AH10" s="84">
        <v>1</v>
      </c>
    </row>
    <row r="11" spans="1:34" ht="27.9" customHeight="1">
      <c r="A11" s="608"/>
      <c r="B11" s="538"/>
      <c r="C11" s="539"/>
      <c r="D11" s="539"/>
      <c r="E11" s="404"/>
      <c r="F11" s="406"/>
      <c r="G11" s="539"/>
      <c r="H11" s="540"/>
      <c r="I11" s="509"/>
      <c r="J11" s="541" t="str">
        <f t="shared" si="0"/>
        <v/>
      </c>
      <c r="K11" s="542" t="str">
        <f t="shared" si="4"/>
        <v/>
      </c>
      <c r="L11" s="543" t="str">
        <f>IF(C11="","",VLOOKUP(C11,非_単位!$N$3:$O$34,2,FALSE))</f>
        <v/>
      </c>
      <c r="M11" s="544" t="str">
        <f>IF(C11="","",VLOOKUP(C11,非_係数!$B$5:$F$36,2,FALSE))</f>
        <v/>
      </c>
      <c r="N11" s="545" t="str">
        <f t="shared" si="5"/>
        <v/>
      </c>
      <c r="O11" s="546" t="str">
        <f>IF(C11="","",VLOOKUP(C11,非_係数!$B$5:$F$36,4,FALSE))</f>
        <v/>
      </c>
      <c r="P11" s="547" t="str">
        <f t="shared" si="6"/>
        <v/>
      </c>
      <c r="Q11" s="488"/>
      <c r="R11" s="490" t="str">
        <f t="shared" si="1"/>
        <v/>
      </c>
      <c r="S11" s="490" t="str">
        <f>IF(G11="","",VLOOKUP(G11,非_単位補正換算!$B$3:$C$16,2,FALSE))</f>
        <v/>
      </c>
      <c r="T11" s="490" t="str">
        <f>IF(G11="","",IF(SUMIFS(非_単位補正換算!$D$19:$D$48,非_単位補正換算!$B$19:$B$48,'12燃料'!C11,非_単位補正換算!$C$19:$C$48,'12燃料'!G11)=0,1,SUMIFS(非_単位補正換算!$D$19:$D$48,非_単位補正換算!$B$19:$B$48,'12燃料'!C11,非_単位補正換算!$C$19:$C$48,'12燃料'!G11)))</f>
        <v/>
      </c>
      <c r="U11" s="491" t="str">
        <f t="shared" si="2"/>
        <v/>
      </c>
      <c r="V11" s="491" t="str">
        <f t="shared" si="7"/>
        <v/>
      </c>
      <c r="W11" s="491" t="str">
        <f t="shared" si="8"/>
        <v/>
      </c>
      <c r="X11" s="490" t="str">
        <f>IF(C11="","",VLOOKUP(C11,非_まとめ表行番号!$B$3:$C$34,2,FALSE))</f>
        <v/>
      </c>
      <c r="Y11" s="490" t="str">
        <f>IF(X11="","",VLOOKUP(X11,非_まとめ表行番号!$U$3:$V$56,2,FALSE))</f>
        <v/>
      </c>
      <c r="Z11" s="492" t="str">
        <f>IF(C11="","",VLOOKUP(C11,非_係数!$B$5:$K$36,6,FALSE))</f>
        <v/>
      </c>
      <c r="AA11" s="491" t="str">
        <f t="shared" si="9"/>
        <v/>
      </c>
      <c r="AB11" s="490" t="str">
        <f>IF(C11="","",VLOOKUP(C11,非_係数!$B$5:$K$36,7,FALSE))</f>
        <v/>
      </c>
      <c r="AC11" s="490" t="str">
        <f t="shared" si="10"/>
        <v/>
      </c>
      <c r="AD11" s="490" t="str">
        <f>IF(C11="","",VLOOKUP(C11,非_係数!$B$5:$K$36,9,FALSE))</f>
        <v/>
      </c>
      <c r="AE11" s="490" t="str">
        <f t="shared" si="11"/>
        <v/>
      </c>
      <c r="AF11" s="490" t="str">
        <f>IF(C11="","",VLOOKUP(C11,非_まとめ表行番号!$B$3:$D$34,3,FALSE))</f>
        <v/>
      </c>
      <c r="AG11" s="490" t="str">
        <f t="shared" si="3"/>
        <v/>
      </c>
      <c r="AH11" s="84">
        <v>1</v>
      </c>
    </row>
    <row r="12" spans="1:34" ht="27.9" customHeight="1">
      <c r="A12" s="608"/>
      <c r="B12" s="538"/>
      <c r="C12" s="539"/>
      <c r="D12" s="539"/>
      <c r="E12" s="404"/>
      <c r="F12" s="406"/>
      <c r="G12" s="539"/>
      <c r="H12" s="540"/>
      <c r="I12" s="509"/>
      <c r="J12" s="541" t="str">
        <f t="shared" si="0"/>
        <v/>
      </c>
      <c r="K12" s="542" t="str">
        <f t="shared" si="4"/>
        <v/>
      </c>
      <c r="L12" s="543" t="str">
        <f>IF(C12="","",VLOOKUP(C12,非_単位!$N$3:$O$34,2,FALSE))</f>
        <v/>
      </c>
      <c r="M12" s="544" t="str">
        <f>IF(C12="","",VLOOKUP(C12,非_係数!$B$5:$F$36,2,FALSE))</f>
        <v/>
      </c>
      <c r="N12" s="545" t="str">
        <f t="shared" si="5"/>
        <v/>
      </c>
      <c r="O12" s="546" t="str">
        <f>IF(C12="","",VLOOKUP(C12,非_係数!$B$5:$F$36,4,FALSE))</f>
        <v/>
      </c>
      <c r="P12" s="547" t="str">
        <f t="shared" si="6"/>
        <v/>
      </c>
      <c r="Q12" s="488"/>
      <c r="R12" s="490" t="str">
        <f t="shared" si="1"/>
        <v/>
      </c>
      <c r="S12" s="490" t="str">
        <f>IF(G12="","",VLOOKUP(G12,非_単位補正換算!$B$3:$C$16,2,FALSE))</f>
        <v/>
      </c>
      <c r="T12" s="490" t="str">
        <f>IF(G12="","",IF(SUMIFS(非_単位補正換算!$D$19:$D$48,非_単位補正換算!$B$19:$B$48,'12燃料'!C12,非_単位補正換算!$C$19:$C$48,'12燃料'!G12)=0,1,SUMIFS(非_単位補正換算!$D$19:$D$48,非_単位補正換算!$B$19:$B$48,'12燃料'!C12,非_単位補正換算!$C$19:$C$48,'12燃料'!G12)))</f>
        <v/>
      </c>
      <c r="U12" s="491" t="str">
        <f t="shared" si="2"/>
        <v/>
      </c>
      <c r="V12" s="491" t="str">
        <f t="shared" si="7"/>
        <v/>
      </c>
      <c r="W12" s="491" t="str">
        <f t="shared" si="8"/>
        <v/>
      </c>
      <c r="X12" s="490" t="str">
        <f>IF(C12="","",VLOOKUP(C12,非_まとめ表行番号!$B$3:$C$34,2,FALSE))</f>
        <v/>
      </c>
      <c r="Y12" s="490" t="str">
        <f>IF(X12="","",VLOOKUP(X12,非_まとめ表行番号!$U$3:$V$56,2,FALSE))</f>
        <v/>
      </c>
      <c r="Z12" s="492" t="str">
        <f>IF(C12="","",VLOOKUP(C12,非_係数!$B$5:$K$36,6,FALSE))</f>
        <v/>
      </c>
      <c r="AA12" s="491" t="str">
        <f t="shared" si="9"/>
        <v/>
      </c>
      <c r="AB12" s="490" t="str">
        <f>IF(C12="","",VLOOKUP(C12,非_係数!$B$5:$K$36,7,FALSE))</f>
        <v/>
      </c>
      <c r="AC12" s="490" t="str">
        <f t="shared" si="10"/>
        <v/>
      </c>
      <c r="AD12" s="490" t="str">
        <f>IF(C12="","",VLOOKUP(C12,非_係数!$B$5:$K$36,9,FALSE))</f>
        <v/>
      </c>
      <c r="AE12" s="490" t="str">
        <f t="shared" si="11"/>
        <v/>
      </c>
      <c r="AF12" s="490" t="str">
        <f>IF(C12="","",VLOOKUP(C12,非_まとめ表行番号!$B$3:$D$34,3,FALSE))</f>
        <v/>
      </c>
      <c r="AG12" s="490" t="str">
        <f t="shared" si="3"/>
        <v/>
      </c>
      <c r="AH12" s="84">
        <v>1</v>
      </c>
    </row>
    <row r="13" spans="1:34" ht="27.9" hidden="1" customHeight="1">
      <c r="A13" s="608"/>
      <c r="B13" s="538"/>
      <c r="C13" s="539"/>
      <c r="D13" s="539"/>
      <c r="E13" s="404"/>
      <c r="F13" s="406"/>
      <c r="G13" s="539"/>
      <c r="H13" s="540"/>
      <c r="I13" s="509"/>
      <c r="J13" s="541" t="str">
        <f t="shared" si="0"/>
        <v/>
      </c>
      <c r="K13" s="542" t="str">
        <f t="shared" si="4"/>
        <v/>
      </c>
      <c r="L13" s="543" t="str">
        <f>IF(C13="","",VLOOKUP(C13,非_単位!$N$3:$O$34,2,FALSE))</f>
        <v/>
      </c>
      <c r="M13" s="544" t="str">
        <f>IF(C13="","",VLOOKUP(C13,非_係数!$B$5:$F$36,2,FALSE))</f>
        <v/>
      </c>
      <c r="N13" s="545" t="str">
        <f t="shared" si="5"/>
        <v/>
      </c>
      <c r="O13" s="546" t="str">
        <f>IF(C13="","",VLOOKUP(C13,非_係数!$B$5:$F$36,4,FALSE))</f>
        <v/>
      </c>
      <c r="P13" s="547" t="str">
        <f t="shared" si="6"/>
        <v/>
      </c>
      <c r="Q13" s="488"/>
      <c r="R13" s="490" t="str">
        <f t="shared" si="1"/>
        <v/>
      </c>
      <c r="S13" s="490" t="str">
        <f>IF(G13="","",VLOOKUP(G13,非_単位補正換算!$B$3:$C$16,2,FALSE))</f>
        <v/>
      </c>
      <c r="T13" s="490" t="str">
        <f>IF(G13="","",IF(SUMIFS(非_単位補正換算!$D$19:$D$48,非_単位補正換算!$B$19:$B$48,'12燃料'!C13,非_単位補正換算!$C$19:$C$48,'12燃料'!G13)=0,1,SUMIFS(非_単位補正換算!$D$19:$D$48,非_単位補正換算!$B$19:$B$48,'12燃料'!C13,非_単位補正換算!$C$19:$C$48,'12燃料'!G13)))</f>
        <v/>
      </c>
      <c r="U13" s="491" t="str">
        <f t="shared" si="2"/>
        <v/>
      </c>
      <c r="V13" s="491" t="str">
        <f t="shared" si="7"/>
        <v/>
      </c>
      <c r="W13" s="491" t="str">
        <f t="shared" si="8"/>
        <v/>
      </c>
      <c r="X13" s="490" t="str">
        <f>IF(C13="","",VLOOKUP(C13,非_まとめ表行番号!$B$3:$C$34,2,FALSE))</f>
        <v/>
      </c>
      <c r="Y13" s="490" t="str">
        <f>IF(X13="","",VLOOKUP(X13,非_まとめ表行番号!$U$3:$V$56,2,FALSE))</f>
        <v/>
      </c>
      <c r="Z13" s="492" t="str">
        <f>IF(C13="","",VLOOKUP(C13,非_係数!$B$5:$K$36,6,FALSE))</f>
        <v/>
      </c>
      <c r="AA13" s="491" t="str">
        <f t="shared" si="9"/>
        <v/>
      </c>
      <c r="AB13" s="490" t="str">
        <f>IF(C13="","",VLOOKUP(C13,非_係数!$B$5:$K$36,7,FALSE))</f>
        <v/>
      </c>
      <c r="AC13" s="490" t="str">
        <f t="shared" si="10"/>
        <v/>
      </c>
      <c r="AD13" s="490" t="str">
        <f>IF(C13="","",VLOOKUP(C13,非_係数!$B$5:$K$36,9,FALSE))</f>
        <v/>
      </c>
      <c r="AE13" s="490" t="str">
        <f t="shared" si="11"/>
        <v/>
      </c>
      <c r="AF13" s="490" t="str">
        <f>IF(C13="","",VLOOKUP(C13,非_まとめ表行番号!$B$3:$D$34,3,FALSE))</f>
        <v/>
      </c>
      <c r="AG13" s="490" t="str">
        <f t="shared" si="3"/>
        <v/>
      </c>
      <c r="AH13" s="84">
        <v>1</v>
      </c>
    </row>
    <row r="14" spans="1:34" ht="27.9" hidden="1" customHeight="1">
      <c r="A14" s="608"/>
      <c r="B14" s="538"/>
      <c r="C14" s="539"/>
      <c r="D14" s="539"/>
      <c r="E14" s="404"/>
      <c r="F14" s="406"/>
      <c r="G14" s="539"/>
      <c r="H14" s="540"/>
      <c r="I14" s="509"/>
      <c r="J14" s="541" t="str">
        <f t="shared" si="0"/>
        <v/>
      </c>
      <c r="K14" s="542" t="str">
        <f t="shared" si="4"/>
        <v/>
      </c>
      <c r="L14" s="543" t="str">
        <f>IF(C14="","",VLOOKUP(C14,非_単位!$N$3:$O$34,2,FALSE))</f>
        <v/>
      </c>
      <c r="M14" s="544" t="str">
        <f>IF(C14="","",VLOOKUP(C14,非_係数!$B$5:$F$36,2,FALSE))</f>
        <v/>
      </c>
      <c r="N14" s="545" t="str">
        <f t="shared" si="5"/>
        <v/>
      </c>
      <c r="O14" s="546" t="str">
        <f>IF(C14="","",VLOOKUP(C14,非_係数!$B$5:$F$36,4,FALSE))</f>
        <v/>
      </c>
      <c r="P14" s="547" t="str">
        <f t="shared" si="6"/>
        <v/>
      </c>
      <c r="Q14" s="488"/>
      <c r="R14" s="490" t="str">
        <f t="shared" si="1"/>
        <v/>
      </c>
      <c r="S14" s="490" t="str">
        <f>IF(G14="","",VLOOKUP(G14,非_単位補正換算!$B$3:$C$16,2,FALSE))</f>
        <v/>
      </c>
      <c r="T14" s="490" t="str">
        <f>IF(G14="","",IF(SUMIFS(非_単位補正換算!$D$19:$D$48,非_単位補正換算!$B$19:$B$48,'12燃料'!C14,非_単位補正換算!$C$19:$C$48,'12燃料'!G14)=0,1,SUMIFS(非_単位補正換算!$D$19:$D$48,非_単位補正換算!$B$19:$B$48,'12燃料'!C14,非_単位補正換算!$C$19:$C$48,'12燃料'!G14)))</f>
        <v/>
      </c>
      <c r="U14" s="491" t="str">
        <f t="shared" si="2"/>
        <v/>
      </c>
      <c r="V14" s="491" t="str">
        <f t="shared" si="7"/>
        <v/>
      </c>
      <c r="W14" s="491" t="str">
        <f t="shared" si="8"/>
        <v/>
      </c>
      <c r="X14" s="490" t="str">
        <f>IF(C14="","",VLOOKUP(C14,非_まとめ表行番号!$B$3:$C$34,2,FALSE))</f>
        <v/>
      </c>
      <c r="Y14" s="490" t="str">
        <f>IF(X14="","",VLOOKUP(X14,非_まとめ表行番号!$U$3:$V$56,2,FALSE))</f>
        <v/>
      </c>
      <c r="Z14" s="492" t="str">
        <f>IF(C14="","",VLOOKUP(C14,非_係数!$B$5:$K$36,6,FALSE))</f>
        <v/>
      </c>
      <c r="AA14" s="491" t="str">
        <f t="shared" si="9"/>
        <v/>
      </c>
      <c r="AB14" s="490" t="str">
        <f>IF(C14="","",VLOOKUP(C14,非_係数!$B$5:$K$36,7,FALSE))</f>
        <v/>
      </c>
      <c r="AC14" s="490" t="str">
        <f t="shared" si="10"/>
        <v/>
      </c>
      <c r="AD14" s="490" t="str">
        <f>IF(C14="","",VLOOKUP(C14,非_係数!$B$5:$K$36,9,FALSE))</f>
        <v/>
      </c>
      <c r="AE14" s="490" t="str">
        <f t="shared" si="11"/>
        <v/>
      </c>
      <c r="AF14" s="490" t="str">
        <f>IF(C14="","",VLOOKUP(C14,非_まとめ表行番号!$B$3:$D$34,3,FALSE))</f>
        <v/>
      </c>
      <c r="AG14" s="490" t="str">
        <f t="shared" si="3"/>
        <v/>
      </c>
      <c r="AH14" s="84">
        <v>1</v>
      </c>
    </row>
    <row r="15" spans="1:34" ht="27.9" hidden="1" customHeight="1">
      <c r="A15" s="608"/>
      <c r="B15" s="538"/>
      <c r="C15" s="539"/>
      <c r="D15" s="539"/>
      <c r="E15" s="404"/>
      <c r="F15" s="406"/>
      <c r="G15" s="539"/>
      <c r="H15" s="540"/>
      <c r="I15" s="509"/>
      <c r="J15" s="541" t="str">
        <f t="shared" si="0"/>
        <v/>
      </c>
      <c r="K15" s="542" t="str">
        <f t="shared" si="4"/>
        <v/>
      </c>
      <c r="L15" s="543" t="str">
        <f>IF(C15="","",VLOOKUP(C15,非_単位!$N$3:$O$34,2,FALSE))</f>
        <v/>
      </c>
      <c r="M15" s="544" t="str">
        <f>IF(C15="","",VLOOKUP(C15,非_係数!$B$5:$F$36,2,FALSE))</f>
        <v/>
      </c>
      <c r="N15" s="545" t="str">
        <f t="shared" si="5"/>
        <v/>
      </c>
      <c r="O15" s="546" t="str">
        <f>IF(C15="","",VLOOKUP(C15,非_係数!$B$5:$F$36,4,FALSE))</f>
        <v/>
      </c>
      <c r="P15" s="547" t="str">
        <f t="shared" si="6"/>
        <v/>
      </c>
      <c r="Q15" s="488"/>
      <c r="R15" s="490" t="str">
        <f t="shared" si="1"/>
        <v/>
      </c>
      <c r="S15" s="490" t="str">
        <f>IF(G15="","",VLOOKUP(G15,非_単位補正換算!$B$3:$C$16,2,FALSE))</f>
        <v/>
      </c>
      <c r="T15" s="490" t="str">
        <f>IF(G15="","",IF(SUMIFS(非_単位補正換算!$D$19:$D$48,非_単位補正換算!$B$19:$B$48,'12燃料'!C15,非_単位補正換算!$C$19:$C$48,'12燃料'!G15)=0,1,SUMIFS(非_単位補正換算!$D$19:$D$48,非_単位補正換算!$B$19:$B$48,'12燃料'!C15,非_単位補正換算!$C$19:$C$48,'12燃料'!G15)))</f>
        <v/>
      </c>
      <c r="U15" s="491" t="str">
        <f t="shared" si="2"/>
        <v/>
      </c>
      <c r="V15" s="491" t="str">
        <f t="shared" si="7"/>
        <v/>
      </c>
      <c r="W15" s="491" t="str">
        <f t="shared" si="8"/>
        <v/>
      </c>
      <c r="X15" s="490" t="str">
        <f>IF(C15="","",VLOOKUP(C15,非_まとめ表行番号!$B$3:$C$34,2,FALSE))</f>
        <v/>
      </c>
      <c r="Y15" s="490" t="str">
        <f>IF(X15="","",VLOOKUP(X15,非_まとめ表行番号!$U$3:$V$56,2,FALSE))</f>
        <v/>
      </c>
      <c r="Z15" s="492" t="str">
        <f>IF(C15="","",VLOOKUP(C15,非_係数!$B$5:$K$36,6,FALSE))</f>
        <v/>
      </c>
      <c r="AA15" s="491" t="str">
        <f t="shared" si="9"/>
        <v/>
      </c>
      <c r="AB15" s="490" t="str">
        <f>IF(C15="","",VLOOKUP(C15,非_係数!$B$5:$K$36,7,FALSE))</f>
        <v/>
      </c>
      <c r="AC15" s="490" t="str">
        <f t="shared" si="10"/>
        <v/>
      </c>
      <c r="AD15" s="490" t="str">
        <f>IF(C15="","",VLOOKUP(C15,非_係数!$B$5:$K$36,9,FALSE))</f>
        <v/>
      </c>
      <c r="AE15" s="490" t="str">
        <f t="shared" si="11"/>
        <v/>
      </c>
      <c r="AF15" s="490" t="str">
        <f>IF(C15="","",VLOOKUP(C15,非_まとめ表行番号!$B$3:$D$34,3,FALSE))</f>
        <v/>
      </c>
      <c r="AG15" s="490" t="str">
        <f t="shared" si="3"/>
        <v/>
      </c>
      <c r="AH15" s="84">
        <v>1</v>
      </c>
    </row>
    <row r="16" spans="1:34" ht="27.9" hidden="1" customHeight="1">
      <c r="A16" s="608"/>
      <c r="B16" s="538"/>
      <c r="C16" s="539"/>
      <c r="D16" s="539"/>
      <c r="E16" s="404"/>
      <c r="F16" s="406"/>
      <c r="G16" s="539"/>
      <c r="H16" s="540"/>
      <c r="I16" s="509"/>
      <c r="J16" s="541" t="str">
        <f t="shared" si="0"/>
        <v/>
      </c>
      <c r="K16" s="542" t="str">
        <f t="shared" si="4"/>
        <v/>
      </c>
      <c r="L16" s="543" t="str">
        <f>IF(C16="","",VLOOKUP(C16,非_単位!$N$3:$O$34,2,FALSE))</f>
        <v/>
      </c>
      <c r="M16" s="544" t="str">
        <f>IF(C16="","",VLOOKUP(C16,非_係数!$B$5:$F$36,2,FALSE))</f>
        <v/>
      </c>
      <c r="N16" s="545" t="str">
        <f t="shared" si="5"/>
        <v/>
      </c>
      <c r="O16" s="546" t="str">
        <f>IF(C16="","",VLOOKUP(C16,非_係数!$B$5:$F$36,4,FALSE))</f>
        <v/>
      </c>
      <c r="P16" s="547" t="str">
        <f t="shared" si="6"/>
        <v/>
      </c>
      <c r="Q16" s="488"/>
      <c r="R16" s="490" t="str">
        <f t="shared" si="1"/>
        <v/>
      </c>
      <c r="S16" s="490" t="str">
        <f>IF(G16="","",VLOOKUP(G16,非_単位補正換算!$B$3:$C$16,2,FALSE))</f>
        <v/>
      </c>
      <c r="T16" s="490" t="str">
        <f>IF(G16="","",IF(SUMIFS(非_単位補正換算!$D$19:$D$48,非_単位補正換算!$B$19:$B$48,'12燃料'!C16,非_単位補正換算!$C$19:$C$48,'12燃料'!G16)=0,1,SUMIFS(非_単位補正換算!$D$19:$D$48,非_単位補正換算!$B$19:$B$48,'12燃料'!C16,非_単位補正換算!$C$19:$C$48,'12燃料'!G16)))</f>
        <v/>
      </c>
      <c r="U16" s="491" t="str">
        <f t="shared" si="2"/>
        <v/>
      </c>
      <c r="V16" s="491" t="str">
        <f t="shared" si="7"/>
        <v/>
      </c>
      <c r="W16" s="491" t="str">
        <f t="shared" si="8"/>
        <v/>
      </c>
      <c r="X16" s="490" t="str">
        <f>IF(C16="","",VLOOKUP(C16,非_まとめ表行番号!$B$3:$C$34,2,FALSE))</f>
        <v/>
      </c>
      <c r="Y16" s="490" t="str">
        <f>IF(X16="","",VLOOKUP(X16,非_まとめ表行番号!$U$3:$V$56,2,FALSE))</f>
        <v/>
      </c>
      <c r="Z16" s="492" t="str">
        <f>IF(C16="","",VLOOKUP(C16,非_係数!$B$5:$K$36,6,FALSE))</f>
        <v/>
      </c>
      <c r="AA16" s="491" t="str">
        <f t="shared" si="9"/>
        <v/>
      </c>
      <c r="AB16" s="490" t="str">
        <f>IF(C16="","",VLOOKUP(C16,非_係数!$B$5:$K$36,7,FALSE))</f>
        <v/>
      </c>
      <c r="AC16" s="490" t="str">
        <f t="shared" si="10"/>
        <v/>
      </c>
      <c r="AD16" s="490" t="str">
        <f>IF(C16="","",VLOOKUP(C16,非_係数!$B$5:$K$36,9,FALSE))</f>
        <v/>
      </c>
      <c r="AE16" s="490" t="str">
        <f t="shared" si="11"/>
        <v/>
      </c>
      <c r="AF16" s="490" t="str">
        <f>IF(C16="","",VLOOKUP(C16,非_まとめ表行番号!$B$3:$D$34,3,FALSE))</f>
        <v/>
      </c>
      <c r="AG16" s="490" t="str">
        <f t="shared" si="3"/>
        <v/>
      </c>
      <c r="AH16" s="84">
        <v>1</v>
      </c>
    </row>
    <row r="17" spans="1:34" ht="27.9" hidden="1" customHeight="1">
      <c r="A17" s="608"/>
      <c r="B17" s="538"/>
      <c r="C17" s="539"/>
      <c r="D17" s="539"/>
      <c r="E17" s="404"/>
      <c r="F17" s="406"/>
      <c r="G17" s="539"/>
      <c r="H17" s="540"/>
      <c r="I17" s="509"/>
      <c r="J17" s="541" t="str">
        <f t="shared" si="0"/>
        <v/>
      </c>
      <c r="K17" s="542" t="str">
        <f t="shared" si="4"/>
        <v/>
      </c>
      <c r="L17" s="543" t="str">
        <f>IF(C17="","",VLOOKUP(C17,非_単位!$N$3:$O$34,2,FALSE))</f>
        <v/>
      </c>
      <c r="M17" s="544" t="str">
        <f>IF(C17="","",VLOOKUP(C17,非_係数!$B$5:$F$36,2,FALSE))</f>
        <v/>
      </c>
      <c r="N17" s="545" t="str">
        <f t="shared" si="5"/>
        <v/>
      </c>
      <c r="O17" s="546" t="str">
        <f>IF(C17="","",VLOOKUP(C17,非_係数!$B$5:$F$36,4,FALSE))</f>
        <v/>
      </c>
      <c r="P17" s="547" t="str">
        <f t="shared" si="6"/>
        <v/>
      </c>
      <c r="Q17" s="488"/>
      <c r="R17" s="490" t="str">
        <f t="shared" si="1"/>
        <v/>
      </c>
      <c r="S17" s="490" t="str">
        <f>IF(G17="","",VLOOKUP(G17,非_単位補正換算!$B$3:$C$16,2,FALSE))</f>
        <v/>
      </c>
      <c r="T17" s="490" t="str">
        <f>IF(G17="","",IF(SUMIFS(非_単位補正換算!$D$19:$D$48,非_単位補正換算!$B$19:$B$48,'12燃料'!C17,非_単位補正換算!$C$19:$C$48,'12燃料'!G17)=0,1,SUMIFS(非_単位補正換算!$D$19:$D$48,非_単位補正換算!$B$19:$B$48,'12燃料'!C17,非_単位補正換算!$C$19:$C$48,'12燃料'!G17)))</f>
        <v/>
      </c>
      <c r="U17" s="491" t="str">
        <f t="shared" si="2"/>
        <v/>
      </c>
      <c r="V17" s="491" t="str">
        <f t="shared" si="7"/>
        <v/>
      </c>
      <c r="W17" s="491" t="str">
        <f t="shared" si="8"/>
        <v/>
      </c>
      <c r="X17" s="490" t="str">
        <f>IF(C17="","",VLOOKUP(C17,非_まとめ表行番号!$B$3:$C$34,2,FALSE))</f>
        <v/>
      </c>
      <c r="Y17" s="490" t="str">
        <f>IF(X17="","",VLOOKUP(X17,非_まとめ表行番号!$U$3:$V$56,2,FALSE))</f>
        <v/>
      </c>
      <c r="Z17" s="492" t="str">
        <f>IF(C17="","",VLOOKUP(C17,非_係数!$B$5:$K$36,6,FALSE))</f>
        <v/>
      </c>
      <c r="AA17" s="491" t="str">
        <f t="shared" si="9"/>
        <v/>
      </c>
      <c r="AB17" s="490" t="str">
        <f>IF(C17="","",VLOOKUP(C17,非_係数!$B$5:$K$36,7,FALSE))</f>
        <v/>
      </c>
      <c r="AC17" s="490" t="str">
        <f t="shared" si="10"/>
        <v/>
      </c>
      <c r="AD17" s="490" t="str">
        <f>IF(C17="","",VLOOKUP(C17,非_係数!$B$5:$K$36,9,FALSE))</f>
        <v/>
      </c>
      <c r="AE17" s="490" t="str">
        <f t="shared" si="11"/>
        <v/>
      </c>
      <c r="AF17" s="490" t="str">
        <f>IF(C17="","",VLOOKUP(C17,非_まとめ表行番号!$B$3:$D$34,3,FALSE))</f>
        <v/>
      </c>
      <c r="AG17" s="490" t="str">
        <f t="shared" si="3"/>
        <v/>
      </c>
      <c r="AH17" s="84">
        <v>1</v>
      </c>
    </row>
    <row r="18" spans="1:34" ht="27.9" hidden="1" customHeight="1">
      <c r="A18" s="608"/>
      <c r="B18" s="538"/>
      <c r="C18" s="539"/>
      <c r="D18" s="539"/>
      <c r="E18" s="404"/>
      <c r="F18" s="406"/>
      <c r="G18" s="539"/>
      <c r="H18" s="540"/>
      <c r="I18" s="509"/>
      <c r="J18" s="541" t="str">
        <f t="shared" si="0"/>
        <v/>
      </c>
      <c r="K18" s="542" t="str">
        <f t="shared" si="4"/>
        <v/>
      </c>
      <c r="L18" s="543" t="str">
        <f>IF(C18="","",VLOOKUP(C18,非_単位!$N$3:$O$34,2,FALSE))</f>
        <v/>
      </c>
      <c r="M18" s="544" t="str">
        <f>IF(C18="","",VLOOKUP(C18,非_係数!$B$5:$F$36,2,FALSE))</f>
        <v/>
      </c>
      <c r="N18" s="545" t="str">
        <f t="shared" si="5"/>
        <v/>
      </c>
      <c r="O18" s="546" t="str">
        <f>IF(C18="","",VLOOKUP(C18,非_係数!$B$5:$F$36,4,FALSE))</f>
        <v/>
      </c>
      <c r="P18" s="547" t="str">
        <f t="shared" si="6"/>
        <v/>
      </c>
      <c r="Q18" s="488"/>
      <c r="R18" s="490" t="str">
        <f t="shared" si="1"/>
        <v/>
      </c>
      <c r="S18" s="490" t="str">
        <f>IF(G18="","",VLOOKUP(G18,非_単位補正換算!$B$3:$C$16,2,FALSE))</f>
        <v/>
      </c>
      <c r="T18" s="490" t="str">
        <f>IF(G18="","",IF(SUMIFS(非_単位補正換算!$D$19:$D$48,非_単位補正換算!$B$19:$B$48,'12燃料'!C18,非_単位補正換算!$C$19:$C$48,'12燃料'!G18)=0,1,SUMIFS(非_単位補正換算!$D$19:$D$48,非_単位補正換算!$B$19:$B$48,'12燃料'!C18,非_単位補正換算!$C$19:$C$48,'12燃料'!G18)))</f>
        <v/>
      </c>
      <c r="U18" s="491" t="str">
        <f t="shared" si="2"/>
        <v/>
      </c>
      <c r="V18" s="491" t="str">
        <f t="shared" si="7"/>
        <v/>
      </c>
      <c r="W18" s="491" t="str">
        <f t="shared" si="8"/>
        <v/>
      </c>
      <c r="X18" s="490" t="str">
        <f>IF(C18="","",VLOOKUP(C18,非_まとめ表行番号!$B$3:$C$34,2,FALSE))</f>
        <v/>
      </c>
      <c r="Y18" s="490" t="str">
        <f>IF(X18="","",VLOOKUP(X18,非_まとめ表行番号!$U$3:$V$56,2,FALSE))</f>
        <v/>
      </c>
      <c r="Z18" s="492" t="str">
        <f>IF(C18="","",VLOOKUP(C18,非_係数!$B$5:$K$36,6,FALSE))</f>
        <v/>
      </c>
      <c r="AA18" s="491" t="str">
        <f t="shared" si="9"/>
        <v/>
      </c>
      <c r="AB18" s="490" t="str">
        <f>IF(C18="","",VLOOKUP(C18,非_係数!$B$5:$K$36,7,FALSE))</f>
        <v/>
      </c>
      <c r="AC18" s="490" t="str">
        <f t="shared" si="10"/>
        <v/>
      </c>
      <c r="AD18" s="490" t="str">
        <f>IF(C18="","",VLOOKUP(C18,非_係数!$B$5:$K$36,9,FALSE))</f>
        <v/>
      </c>
      <c r="AE18" s="490" t="str">
        <f t="shared" si="11"/>
        <v/>
      </c>
      <c r="AF18" s="490" t="str">
        <f>IF(C18="","",VLOOKUP(C18,非_まとめ表行番号!$B$3:$D$34,3,FALSE))</f>
        <v/>
      </c>
      <c r="AG18" s="490" t="str">
        <f t="shared" si="3"/>
        <v/>
      </c>
      <c r="AH18" s="84">
        <v>1</v>
      </c>
    </row>
    <row r="19" spans="1:34" ht="27.9" hidden="1" customHeight="1">
      <c r="A19" s="608"/>
      <c r="B19" s="538"/>
      <c r="C19" s="539"/>
      <c r="D19" s="539"/>
      <c r="E19" s="404"/>
      <c r="F19" s="406"/>
      <c r="G19" s="539"/>
      <c r="H19" s="540"/>
      <c r="I19" s="509"/>
      <c r="J19" s="541" t="str">
        <f t="shared" si="0"/>
        <v/>
      </c>
      <c r="K19" s="542" t="str">
        <f t="shared" si="4"/>
        <v/>
      </c>
      <c r="L19" s="543" t="str">
        <f>IF(C19="","",VLOOKUP(C19,非_単位!$N$3:$O$34,2,FALSE))</f>
        <v/>
      </c>
      <c r="M19" s="544" t="str">
        <f>IF(C19="","",VLOOKUP(C19,非_係数!$B$5:$F$36,2,FALSE))</f>
        <v/>
      </c>
      <c r="N19" s="545" t="str">
        <f t="shared" si="5"/>
        <v/>
      </c>
      <c r="O19" s="546" t="str">
        <f>IF(C19="","",VLOOKUP(C19,非_係数!$B$5:$F$36,4,FALSE))</f>
        <v/>
      </c>
      <c r="P19" s="547" t="str">
        <f t="shared" si="6"/>
        <v/>
      </c>
      <c r="Q19" s="488"/>
      <c r="R19" s="490" t="str">
        <f t="shared" si="1"/>
        <v/>
      </c>
      <c r="S19" s="490" t="str">
        <f>IF(G19="","",VLOOKUP(G19,非_単位補正換算!$B$3:$C$16,2,FALSE))</f>
        <v/>
      </c>
      <c r="T19" s="490" t="str">
        <f>IF(G19="","",IF(SUMIFS(非_単位補正換算!$D$19:$D$48,非_単位補正換算!$B$19:$B$48,'12燃料'!C19,非_単位補正換算!$C$19:$C$48,'12燃料'!G19)=0,1,SUMIFS(非_単位補正換算!$D$19:$D$48,非_単位補正換算!$B$19:$B$48,'12燃料'!C19,非_単位補正換算!$C$19:$C$48,'12燃料'!G19)))</f>
        <v/>
      </c>
      <c r="U19" s="491" t="str">
        <f t="shared" si="2"/>
        <v/>
      </c>
      <c r="V19" s="491" t="str">
        <f t="shared" si="7"/>
        <v/>
      </c>
      <c r="W19" s="491" t="str">
        <f t="shared" si="8"/>
        <v/>
      </c>
      <c r="X19" s="490" t="str">
        <f>IF(C19="","",VLOOKUP(C19,非_まとめ表行番号!$B$3:$C$34,2,FALSE))</f>
        <v/>
      </c>
      <c r="Y19" s="490" t="str">
        <f>IF(X19="","",VLOOKUP(X19,非_まとめ表行番号!$U$3:$V$56,2,FALSE))</f>
        <v/>
      </c>
      <c r="Z19" s="492" t="str">
        <f>IF(C19="","",VLOOKUP(C19,非_係数!$B$5:$K$36,6,FALSE))</f>
        <v/>
      </c>
      <c r="AA19" s="491" t="str">
        <f t="shared" si="9"/>
        <v/>
      </c>
      <c r="AB19" s="490" t="str">
        <f>IF(C19="","",VLOOKUP(C19,非_係数!$B$5:$K$36,7,FALSE))</f>
        <v/>
      </c>
      <c r="AC19" s="490" t="str">
        <f t="shared" si="10"/>
        <v/>
      </c>
      <c r="AD19" s="490" t="str">
        <f>IF(C19="","",VLOOKUP(C19,非_係数!$B$5:$K$36,9,FALSE))</f>
        <v/>
      </c>
      <c r="AE19" s="490" t="str">
        <f t="shared" si="11"/>
        <v/>
      </c>
      <c r="AF19" s="490" t="str">
        <f>IF(C19="","",VLOOKUP(C19,非_まとめ表行番号!$B$3:$D$34,3,FALSE))</f>
        <v/>
      </c>
      <c r="AG19" s="490" t="str">
        <f t="shared" si="3"/>
        <v/>
      </c>
      <c r="AH19" s="84">
        <v>1</v>
      </c>
    </row>
    <row r="20" spans="1:34" ht="27.9" hidden="1" customHeight="1">
      <c r="A20" s="608"/>
      <c r="B20" s="538"/>
      <c r="C20" s="539"/>
      <c r="D20" s="539"/>
      <c r="E20" s="404"/>
      <c r="F20" s="406"/>
      <c r="G20" s="539"/>
      <c r="H20" s="540"/>
      <c r="I20" s="509"/>
      <c r="J20" s="541" t="str">
        <f t="shared" si="0"/>
        <v/>
      </c>
      <c r="K20" s="542" t="str">
        <f t="shared" si="4"/>
        <v/>
      </c>
      <c r="L20" s="543" t="str">
        <f>IF(C20="","",VLOOKUP(C20,非_単位!$N$3:$O$34,2,FALSE))</f>
        <v/>
      </c>
      <c r="M20" s="544" t="str">
        <f>IF(C20="","",VLOOKUP(C20,非_係数!$B$5:$F$36,2,FALSE))</f>
        <v/>
      </c>
      <c r="N20" s="545" t="str">
        <f t="shared" si="5"/>
        <v/>
      </c>
      <c r="O20" s="546" t="str">
        <f>IF(C20="","",VLOOKUP(C20,非_係数!$B$5:$F$36,4,FALSE))</f>
        <v/>
      </c>
      <c r="P20" s="547" t="str">
        <f t="shared" si="6"/>
        <v/>
      </c>
      <c r="Q20" s="488"/>
      <c r="R20" s="490" t="str">
        <f t="shared" si="1"/>
        <v/>
      </c>
      <c r="S20" s="490" t="str">
        <f>IF(G20="","",VLOOKUP(G20,非_単位補正換算!$B$3:$C$16,2,FALSE))</f>
        <v/>
      </c>
      <c r="T20" s="490" t="str">
        <f>IF(G20="","",IF(SUMIFS(非_単位補正換算!$D$19:$D$48,非_単位補正換算!$B$19:$B$48,'12燃料'!C20,非_単位補正換算!$C$19:$C$48,'12燃料'!G20)=0,1,SUMIFS(非_単位補正換算!$D$19:$D$48,非_単位補正換算!$B$19:$B$48,'12燃料'!C20,非_単位補正換算!$C$19:$C$48,'12燃料'!G20)))</f>
        <v/>
      </c>
      <c r="U20" s="491" t="str">
        <f t="shared" si="2"/>
        <v/>
      </c>
      <c r="V20" s="491" t="str">
        <f t="shared" si="7"/>
        <v/>
      </c>
      <c r="W20" s="491" t="str">
        <f t="shared" si="8"/>
        <v/>
      </c>
      <c r="X20" s="490" t="str">
        <f>IF(C20="","",VLOOKUP(C20,非_まとめ表行番号!$B$3:$C$34,2,FALSE))</f>
        <v/>
      </c>
      <c r="Y20" s="490" t="str">
        <f>IF(X20="","",VLOOKUP(X20,非_まとめ表行番号!$U$3:$V$56,2,FALSE))</f>
        <v/>
      </c>
      <c r="Z20" s="492" t="str">
        <f>IF(C20="","",VLOOKUP(C20,非_係数!$B$5:$K$36,6,FALSE))</f>
        <v/>
      </c>
      <c r="AA20" s="491" t="str">
        <f t="shared" si="9"/>
        <v/>
      </c>
      <c r="AB20" s="490" t="str">
        <f>IF(C20="","",VLOOKUP(C20,非_係数!$B$5:$K$36,7,FALSE))</f>
        <v/>
      </c>
      <c r="AC20" s="490" t="str">
        <f t="shared" si="10"/>
        <v/>
      </c>
      <c r="AD20" s="490" t="str">
        <f>IF(C20="","",VLOOKUP(C20,非_係数!$B$5:$K$36,9,FALSE))</f>
        <v/>
      </c>
      <c r="AE20" s="490" t="str">
        <f t="shared" si="11"/>
        <v/>
      </c>
      <c r="AF20" s="490" t="str">
        <f>IF(C20="","",VLOOKUP(C20,非_まとめ表行番号!$B$3:$D$34,3,FALSE))</f>
        <v/>
      </c>
      <c r="AG20" s="490" t="str">
        <f t="shared" si="3"/>
        <v/>
      </c>
      <c r="AH20" s="84">
        <v>1</v>
      </c>
    </row>
    <row r="21" spans="1:34" ht="27.9" customHeight="1" thickBot="1">
      <c r="A21" s="710"/>
      <c r="B21" s="711"/>
      <c r="C21" s="712"/>
      <c r="D21" s="712"/>
      <c r="E21" s="404"/>
      <c r="F21" s="406"/>
      <c r="G21" s="712"/>
      <c r="H21" s="717"/>
      <c r="I21" s="509"/>
      <c r="J21" s="729" t="str">
        <f t="shared" si="0"/>
        <v/>
      </c>
      <c r="K21" s="730" t="str">
        <f t="shared" si="4"/>
        <v/>
      </c>
      <c r="L21" s="731" t="str">
        <f>IF(C21="","",VLOOKUP(C21,非_単位!$N$3:$O$34,2,FALSE))</f>
        <v/>
      </c>
      <c r="M21" s="732" t="str">
        <f>IF(C21="","",VLOOKUP(C21,非_係数!$B$5:$F$36,2,FALSE))</f>
        <v/>
      </c>
      <c r="N21" s="733" t="str">
        <f t="shared" si="5"/>
        <v/>
      </c>
      <c r="O21" s="734" t="str">
        <f>IF(C21="","",VLOOKUP(C21,非_係数!$B$5:$F$36,4,FALSE))</f>
        <v/>
      </c>
      <c r="P21" s="735" t="str">
        <f t="shared" si="6"/>
        <v/>
      </c>
      <c r="Q21" s="488"/>
      <c r="R21" s="577" t="str">
        <f t="shared" si="1"/>
        <v/>
      </c>
      <c r="S21" s="577" t="str">
        <f>IF(G21="","",VLOOKUP(G21,非_単位補正換算!$B$3:$C$16,2,FALSE))</f>
        <v/>
      </c>
      <c r="T21" s="577" t="str">
        <f>IF(G21="","",IF(SUMIFS(非_単位補正換算!$D$19:$D$48,非_単位補正換算!$B$19:$B$48,'12燃料'!C21,非_単位補正換算!$C$19:$C$48,'12燃料'!G21)=0,1,SUMIFS(非_単位補正換算!$D$19:$D$48,非_単位補正換算!$B$19:$B$48,'12燃料'!C21,非_単位補正換算!$C$19:$C$48,'12燃料'!G21)))</f>
        <v/>
      </c>
      <c r="U21" s="748" t="str">
        <f t="shared" si="2"/>
        <v/>
      </c>
      <c r="V21" s="748" t="str">
        <f t="shared" si="7"/>
        <v/>
      </c>
      <c r="W21" s="748" t="str">
        <f t="shared" si="8"/>
        <v/>
      </c>
      <c r="X21" s="577" t="str">
        <f>IF(C21="","",VLOOKUP(C21,非_まとめ表行番号!$B$3:$C$34,2,FALSE))</f>
        <v/>
      </c>
      <c r="Y21" s="577" t="str">
        <f>IF(X21="","",VLOOKUP(X21,非_まとめ表行番号!$U$3:$V$56,2,FALSE))</f>
        <v/>
      </c>
      <c r="Z21" s="749" t="str">
        <f>IF(C21="","",VLOOKUP(C21,非_係数!$B$5:$K$36,6,FALSE))</f>
        <v/>
      </c>
      <c r="AA21" s="748" t="str">
        <f t="shared" si="9"/>
        <v/>
      </c>
      <c r="AB21" s="577" t="str">
        <f>IF(C21="","",VLOOKUP(C21,非_係数!$B$5:$K$36,7,FALSE))</f>
        <v/>
      </c>
      <c r="AC21" s="577" t="str">
        <f t="shared" si="10"/>
        <v/>
      </c>
      <c r="AD21" s="577" t="str">
        <f>IF(C21="","",VLOOKUP(C21,非_係数!$B$5:$K$36,9,FALSE))</f>
        <v/>
      </c>
      <c r="AE21" s="577" t="str">
        <f t="shared" si="11"/>
        <v/>
      </c>
      <c r="AF21" s="577" t="str">
        <f>IF(C21="","",VLOOKUP(C21,非_まとめ表行番号!$B$3:$D$34,3,FALSE))</f>
        <v/>
      </c>
      <c r="AG21" s="577" t="str">
        <f t="shared" si="3"/>
        <v/>
      </c>
      <c r="AH21" s="84">
        <v>1</v>
      </c>
    </row>
    <row r="22" spans="1:34" ht="27.9" customHeight="1" thickTop="1">
      <c r="A22" s="629" t="s">
        <v>2053</v>
      </c>
      <c r="B22" s="612" t="s">
        <v>330</v>
      </c>
      <c r="C22" s="613" t="s">
        <v>16</v>
      </c>
      <c r="D22" s="613" t="s">
        <v>367</v>
      </c>
      <c r="E22" s="404"/>
      <c r="F22" s="406"/>
      <c r="G22" s="613" t="s">
        <v>267</v>
      </c>
      <c r="H22" s="719"/>
      <c r="I22" s="509"/>
      <c r="J22" s="742" t="str">
        <f t="shared" si="0"/>
        <v/>
      </c>
      <c r="K22" s="532" t="str">
        <f t="shared" si="4"/>
        <v/>
      </c>
      <c r="L22" s="533" t="str">
        <f>IF(C22="","",VLOOKUP(C22,非_単位!$N$3:$O$34,2,FALSE))</f>
        <v>kL</v>
      </c>
      <c r="M22" s="534">
        <f>IF(C22="","",VLOOKUP(C22,非_係数!$B$5:$F$36,2,FALSE))</f>
        <v>38.9</v>
      </c>
      <c r="N22" s="535" t="str">
        <f t="shared" si="5"/>
        <v/>
      </c>
      <c r="O22" s="536">
        <f>IF(C22="","",VLOOKUP(C22,非_係数!$B$5:$F$36,4,FALSE))</f>
        <v>1.9300000000000001E-2</v>
      </c>
      <c r="P22" s="537" t="str">
        <f t="shared" si="6"/>
        <v/>
      </c>
      <c r="Q22" s="488"/>
      <c r="R22" s="662" t="str">
        <f t="shared" si="1"/>
        <v>燃料種選択</v>
      </c>
      <c r="S22" s="662">
        <f>IF(G22="","",VLOOKUP(G22,非_単位補正換算!$B$3:$C$16,2,FALSE))</f>
        <v>1</v>
      </c>
      <c r="T22" s="662">
        <f>IF(G22="","",IF(SUMIFS(非_単位補正換算!$D$19:$D$48,非_単位補正換算!$B$19:$B$48,'12燃料'!C22,非_単位補正換算!$C$19:$C$48,'12燃料'!G22)=0,1,SUMIFS(非_単位補正換算!$D$19:$D$48,非_単位補正換算!$B$19:$B$48,'12燃料'!C22,非_単位補正換算!$C$19:$C$48,'12燃料'!G22)))</f>
        <v>1</v>
      </c>
      <c r="U22" s="752" t="str">
        <f t="shared" si="2"/>
        <v/>
      </c>
      <c r="V22" s="752" t="str">
        <f t="shared" si="7"/>
        <v/>
      </c>
      <c r="W22" s="752" t="str">
        <f t="shared" si="8"/>
        <v/>
      </c>
      <c r="X22" s="662">
        <f>IF(C22="","",VLOOKUP(C22,非_まとめ表行番号!$B$3:$C$34,2,FALSE))</f>
        <v>12</v>
      </c>
      <c r="Y22" s="662">
        <f>IF(X22="","",VLOOKUP(X22,非_まとめ表行番号!$U$3:$V$56,2,FALSE))</f>
        <v>7</v>
      </c>
      <c r="Z22" s="753">
        <f>IF(C22="","",VLOOKUP(C22,非_係数!$B$5:$K$36,6,FALSE))</f>
        <v>1</v>
      </c>
      <c r="AA22" s="752" t="str">
        <f t="shared" si="9"/>
        <v/>
      </c>
      <c r="AB22" s="662">
        <f>IF(C22="","",VLOOKUP(C22,非_係数!$B$5:$K$36,7,FALSE))</f>
        <v>39.1</v>
      </c>
      <c r="AC22" s="662" t="str">
        <f t="shared" si="10"/>
        <v/>
      </c>
      <c r="AD22" s="662">
        <f>IF(C22="","",VLOOKUP(C22,非_係数!$B$5:$K$36,9,FALSE))</f>
        <v>1.89E-2</v>
      </c>
      <c r="AE22" s="662" t="str">
        <f t="shared" si="11"/>
        <v/>
      </c>
      <c r="AF22" s="662">
        <f>IF(C22="","",VLOOKUP(C22,非_まとめ表行番号!$B$3:$D$34,3,FALSE))</f>
        <v>12</v>
      </c>
      <c r="AG22" s="662" t="str">
        <f t="shared" si="3"/>
        <v/>
      </c>
      <c r="AH22" s="84">
        <v>2</v>
      </c>
    </row>
    <row r="23" spans="1:34" ht="27.9" customHeight="1">
      <c r="A23" s="584"/>
      <c r="B23" s="713" t="s">
        <v>330</v>
      </c>
      <c r="C23" s="714" t="s">
        <v>15</v>
      </c>
      <c r="D23" s="714" t="s">
        <v>367</v>
      </c>
      <c r="E23" s="404"/>
      <c r="F23" s="406"/>
      <c r="G23" s="714" t="s">
        <v>267</v>
      </c>
      <c r="H23" s="720"/>
      <c r="I23" s="509"/>
      <c r="J23" s="541" t="str">
        <f t="shared" si="0"/>
        <v/>
      </c>
      <c r="K23" s="542" t="str">
        <f t="shared" si="4"/>
        <v/>
      </c>
      <c r="L23" s="543" t="str">
        <f>IF(C23="","",VLOOKUP(C23,非_単位!$N$3:$O$34,2,FALSE))</f>
        <v>kL</v>
      </c>
      <c r="M23" s="544">
        <f>IF(C23="","",VLOOKUP(C23,非_係数!$B$5:$F$36,2,FALSE))</f>
        <v>38</v>
      </c>
      <c r="N23" s="545" t="str">
        <f t="shared" si="5"/>
        <v/>
      </c>
      <c r="O23" s="546">
        <f>IF(C23="","",VLOOKUP(C23,非_係数!$B$5:$F$36,4,FALSE))</f>
        <v>1.8800000000000001E-2</v>
      </c>
      <c r="P23" s="547" t="str">
        <f t="shared" si="6"/>
        <v/>
      </c>
      <c r="Q23" s="488"/>
      <c r="R23" s="490" t="str">
        <f t="shared" si="1"/>
        <v>燃料種選択</v>
      </c>
      <c r="S23" s="490">
        <f>IF(G23="","",VLOOKUP(G23,非_単位補正換算!$B$3:$C$16,2,FALSE))</f>
        <v>1</v>
      </c>
      <c r="T23" s="490">
        <f>IF(G23="","",IF(SUMIFS(非_単位補正換算!$D$19:$D$48,非_単位補正換算!$B$19:$B$48,'12燃料'!C23,非_単位補正換算!$C$19:$C$48,'12燃料'!G23)=0,1,SUMIFS(非_単位補正換算!$D$19:$D$48,非_単位補正換算!$B$19:$B$48,'12燃料'!C23,非_単位補正換算!$C$19:$C$48,'12燃料'!G23)))</f>
        <v>1</v>
      </c>
      <c r="U23" s="491" t="str">
        <f t="shared" si="2"/>
        <v/>
      </c>
      <c r="V23" s="491" t="str">
        <f t="shared" si="7"/>
        <v/>
      </c>
      <c r="W23" s="491" t="str">
        <f t="shared" si="8"/>
        <v/>
      </c>
      <c r="X23" s="490">
        <f>IF(C23="","",VLOOKUP(C23,非_まとめ表行番号!$B$3:$C$34,2,FALSE))</f>
        <v>11</v>
      </c>
      <c r="Y23" s="490">
        <f>IF(X23="","",VLOOKUP(X23,非_まとめ表行番号!$U$3:$V$56,2,FALSE))</f>
        <v>6</v>
      </c>
      <c r="Z23" s="492">
        <f>IF(C23="","",VLOOKUP(C23,非_係数!$B$5:$K$36,6,FALSE))</f>
        <v>1</v>
      </c>
      <c r="AA23" s="491" t="str">
        <f t="shared" si="9"/>
        <v/>
      </c>
      <c r="AB23" s="490">
        <f>IF(C23="","",VLOOKUP(C23,非_係数!$B$5:$K$36,7,FALSE))</f>
        <v>37.700000000000003</v>
      </c>
      <c r="AC23" s="490" t="str">
        <f t="shared" si="10"/>
        <v/>
      </c>
      <c r="AD23" s="490">
        <f>IF(C23="","",VLOOKUP(C23,非_係数!$B$5:$K$36,9,FALSE))</f>
        <v>1.8700000000000001E-2</v>
      </c>
      <c r="AE23" s="490" t="str">
        <f t="shared" si="11"/>
        <v/>
      </c>
      <c r="AF23" s="490">
        <f>IF(C23="","",VLOOKUP(C23,非_まとめ表行番号!$B$3:$D$34,3,FALSE))</f>
        <v>11</v>
      </c>
      <c r="AG23" s="490" t="str">
        <f t="shared" si="3"/>
        <v/>
      </c>
      <c r="AH23" s="84">
        <v>2</v>
      </c>
    </row>
    <row r="24" spans="1:34" ht="27.9" customHeight="1">
      <c r="A24" s="584"/>
      <c r="B24" s="713"/>
      <c r="C24" s="714"/>
      <c r="D24" s="714"/>
      <c r="E24" s="404"/>
      <c r="F24" s="406"/>
      <c r="G24" s="714"/>
      <c r="H24" s="720"/>
      <c r="I24" s="509"/>
      <c r="J24" s="541" t="str">
        <f t="shared" si="0"/>
        <v/>
      </c>
      <c r="K24" s="542" t="str">
        <f t="shared" si="4"/>
        <v/>
      </c>
      <c r="L24" s="543" t="str">
        <f>IF(C24="","",VLOOKUP(C24,非_単位!$N$3:$O$34,2,FALSE))</f>
        <v/>
      </c>
      <c r="M24" s="544" t="str">
        <f>IF(C24="","",VLOOKUP(C24,非_係数!$B$5:$F$36,2,FALSE))</f>
        <v/>
      </c>
      <c r="N24" s="545" t="str">
        <f t="shared" si="5"/>
        <v/>
      </c>
      <c r="O24" s="546" t="str">
        <f>IF(C24="","",VLOOKUP(C24,非_係数!$B$5:$F$36,4,FALSE))</f>
        <v/>
      </c>
      <c r="P24" s="547" t="str">
        <f t="shared" si="6"/>
        <v/>
      </c>
      <c r="Q24" s="488"/>
      <c r="R24" s="490" t="str">
        <f t="shared" si="1"/>
        <v/>
      </c>
      <c r="S24" s="490" t="str">
        <f>IF(G24="","",VLOOKUP(G24,非_単位補正換算!$B$3:$C$16,2,FALSE))</f>
        <v/>
      </c>
      <c r="T24" s="490" t="str">
        <f>IF(G24="","",IF(SUMIFS(非_単位補正換算!$D$19:$D$48,非_単位補正換算!$B$19:$B$48,'12燃料'!C24,非_単位補正換算!$C$19:$C$48,'12燃料'!G24)=0,1,SUMIFS(非_単位補正換算!$D$19:$D$48,非_単位補正換算!$B$19:$B$48,'12燃料'!C24,非_単位補正換算!$C$19:$C$48,'12燃料'!G24)))</f>
        <v/>
      </c>
      <c r="U24" s="491" t="str">
        <f t="shared" si="2"/>
        <v/>
      </c>
      <c r="V24" s="491" t="str">
        <f t="shared" si="7"/>
        <v/>
      </c>
      <c r="W24" s="491" t="str">
        <f t="shared" si="8"/>
        <v/>
      </c>
      <c r="X24" s="490" t="str">
        <f>IF(C24="","",VLOOKUP(C24,非_まとめ表行番号!$B$3:$C$34,2,FALSE))</f>
        <v/>
      </c>
      <c r="Y24" s="490" t="str">
        <f>IF(X24="","",VLOOKUP(X24,非_まとめ表行番号!$U$3:$V$56,2,FALSE))</f>
        <v/>
      </c>
      <c r="Z24" s="492" t="str">
        <f>IF(C24="","",VLOOKUP(C24,非_係数!$B$5:$K$36,6,FALSE))</f>
        <v/>
      </c>
      <c r="AA24" s="491" t="str">
        <f t="shared" si="9"/>
        <v/>
      </c>
      <c r="AB24" s="490" t="str">
        <f>IF(C24="","",VLOOKUP(C24,非_係数!$B$5:$K$36,7,FALSE))</f>
        <v/>
      </c>
      <c r="AC24" s="490" t="str">
        <f t="shared" si="10"/>
        <v/>
      </c>
      <c r="AD24" s="490" t="str">
        <f>IF(C24="","",VLOOKUP(C24,非_係数!$B$5:$K$36,9,FALSE))</f>
        <v/>
      </c>
      <c r="AE24" s="490" t="str">
        <f t="shared" si="11"/>
        <v/>
      </c>
      <c r="AF24" s="490" t="str">
        <f>IF(C24="","",VLOOKUP(C24,非_まとめ表行番号!$B$3:$D$34,3,FALSE))</f>
        <v/>
      </c>
      <c r="AG24" s="490" t="str">
        <f t="shared" si="3"/>
        <v/>
      </c>
      <c r="AH24" s="84">
        <v>2</v>
      </c>
    </row>
    <row r="25" spans="1:34" ht="27.9" hidden="1" customHeight="1">
      <c r="A25" s="584"/>
      <c r="B25" s="713"/>
      <c r="C25" s="714"/>
      <c r="D25" s="714"/>
      <c r="E25" s="404"/>
      <c r="F25" s="406"/>
      <c r="G25" s="714"/>
      <c r="H25" s="720"/>
      <c r="I25" s="509"/>
      <c r="J25" s="541" t="str">
        <f t="shared" si="0"/>
        <v/>
      </c>
      <c r="K25" s="542" t="str">
        <f t="shared" si="4"/>
        <v/>
      </c>
      <c r="L25" s="543" t="str">
        <f>IF(C25="","",VLOOKUP(C25,非_単位!$N$3:$O$34,2,FALSE))</f>
        <v/>
      </c>
      <c r="M25" s="544" t="str">
        <f>IF(C25="","",VLOOKUP(C25,非_係数!$B$5:$F$36,2,FALSE))</f>
        <v/>
      </c>
      <c r="N25" s="545" t="str">
        <f t="shared" si="5"/>
        <v/>
      </c>
      <c r="O25" s="546" t="str">
        <f>IF(C25="","",VLOOKUP(C25,非_係数!$B$5:$F$36,4,FALSE))</f>
        <v/>
      </c>
      <c r="P25" s="547" t="str">
        <f t="shared" si="6"/>
        <v/>
      </c>
      <c r="Q25" s="488"/>
      <c r="R25" s="490" t="str">
        <f t="shared" si="1"/>
        <v/>
      </c>
      <c r="S25" s="490" t="str">
        <f>IF(G25="","",VLOOKUP(G25,非_単位補正換算!$B$3:$C$16,2,FALSE))</f>
        <v/>
      </c>
      <c r="T25" s="490" t="str">
        <f>IF(G25="","",IF(SUMIFS(非_単位補正換算!$D$19:$D$48,非_単位補正換算!$B$19:$B$48,'12燃料'!C25,非_単位補正換算!$C$19:$C$48,'12燃料'!G25)=0,1,SUMIFS(非_単位補正換算!$D$19:$D$48,非_単位補正換算!$B$19:$B$48,'12燃料'!C25,非_単位補正換算!$C$19:$C$48,'12燃料'!G25)))</f>
        <v/>
      </c>
      <c r="U25" s="491" t="str">
        <f t="shared" si="2"/>
        <v/>
      </c>
      <c r="V25" s="491" t="str">
        <f t="shared" si="7"/>
        <v/>
      </c>
      <c r="W25" s="491" t="str">
        <f t="shared" si="8"/>
        <v/>
      </c>
      <c r="X25" s="490" t="str">
        <f>IF(C25="","",VLOOKUP(C25,非_まとめ表行番号!$B$3:$C$34,2,FALSE))</f>
        <v/>
      </c>
      <c r="Y25" s="490" t="str">
        <f>IF(X25="","",VLOOKUP(X25,非_まとめ表行番号!$U$3:$V$56,2,FALSE))</f>
        <v/>
      </c>
      <c r="Z25" s="492" t="str">
        <f>IF(C25="","",VLOOKUP(C25,非_係数!$B$5:$K$36,6,FALSE))</f>
        <v/>
      </c>
      <c r="AA25" s="491" t="str">
        <f t="shared" si="9"/>
        <v/>
      </c>
      <c r="AB25" s="490" t="str">
        <f>IF(C25="","",VLOOKUP(C25,非_係数!$B$5:$K$36,7,FALSE))</f>
        <v/>
      </c>
      <c r="AC25" s="490" t="str">
        <f t="shared" si="10"/>
        <v/>
      </c>
      <c r="AD25" s="490" t="str">
        <f>IF(C25="","",VLOOKUP(C25,非_係数!$B$5:$K$36,9,FALSE))</f>
        <v/>
      </c>
      <c r="AE25" s="490" t="str">
        <f t="shared" si="11"/>
        <v/>
      </c>
      <c r="AF25" s="490" t="str">
        <f>IF(C25="","",VLOOKUP(C25,非_まとめ表行番号!$B$3:$D$34,3,FALSE))</f>
        <v/>
      </c>
      <c r="AG25" s="490" t="str">
        <f t="shared" si="3"/>
        <v/>
      </c>
      <c r="AH25" s="84">
        <v>2</v>
      </c>
    </row>
    <row r="26" spans="1:34" ht="27.9" hidden="1" customHeight="1">
      <c r="A26" s="584"/>
      <c r="B26" s="713"/>
      <c r="C26" s="714"/>
      <c r="D26" s="714"/>
      <c r="E26" s="404"/>
      <c r="F26" s="406"/>
      <c r="G26" s="714"/>
      <c r="H26" s="720"/>
      <c r="I26" s="509"/>
      <c r="J26" s="541" t="str">
        <f t="shared" si="0"/>
        <v/>
      </c>
      <c r="K26" s="542" t="str">
        <f t="shared" si="4"/>
        <v/>
      </c>
      <c r="L26" s="543" t="str">
        <f>IF(C26="","",VLOOKUP(C26,非_単位!$N$3:$O$34,2,FALSE))</f>
        <v/>
      </c>
      <c r="M26" s="544" t="str">
        <f>IF(C26="","",VLOOKUP(C26,非_係数!$B$5:$F$36,2,FALSE))</f>
        <v/>
      </c>
      <c r="N26" s="545" t="str">
        <f t="shared" si="5"/>
        <v/>
      </c>
      <c r="O26" s="546" t="str">
        <f>IF(C26="","",VLOOKUP(C26,非_係数!$B$5:$F$36,4,FALSE))</f>
        <v/>
      </c>
      <c r="P26" s="547" t="str">
        <f t="shared" si="6"/>
        <v/>
      </c>
      <c r="Q26" s="488"/>
      <c r="R26" s="490" t="str">
        <f t="shared" si="1"/>
        <v/>
      </c>
      <c r="S26" s="490" t="str">
        <f>IF(G26="","",VLOOKUP(G26,非_単位補正換算!$B$3:$C$16,2,FALSE))</f>
        <v/>
      </c>
      <c r="T26" s="490" t="str">
        <f>IF(G26="","",IF(SUMIFS(非_単位補正換算!$D$19:$D$48,非_単位補正換算!$B$19:$B$48,'12燃料'!C26,非_単位補正換算!$C$19:$C$48,'12燃料'!G26)=0,1,SUMIFS(非_単位補正換算!$D$19:$D$48,非_単位補正換算!$B$19:$B$48,'12燃料'!C26,非_単位補正換算!$C$19:$C$48,'12燃料'!G26)))</f>
        <v/>
      </c>
      <c r="U26" s="491" t="str">
        <f t="shared" si="2"/>
        <v/>
      </c>
      <c r="V26" s="491" t="str">
        <f t="shared" si="7"/>
        <v/>
      </c>
      <c r="W26" s="491" t="str">
        <f t="shared" si="8"/>
        <v/>
      </c>
      <c r="X26" s="490" t="str">
        <f>IF(C26="","",VLOOKUP(C26,非_まとめ表行番号!$B$3:$C$34,2,FALSE))</f>
        <v/>
      </c>
      <c r="Y26" s="490" t="str">
        <f>IF(X26="","",VLOOKUP(X26,非_まとめ表行番号!$U$3:$V$56,2,FALSE))</f>
        <v/>
      </c>
      <c r="Z26" s="492" t="str">
        <f>IF(C26="","",VLOOKUP(C26,非_係数!$B$5:$K$36,6,FALSE))</f>
        <v/>
      </c>
      <c r="AA26" s="491" t="str">
        <f t="shared" si="9"/>
        <v/>
      </c>
      <c r="AB26" s="490" t="str">
        <f>IF(C26="","",VLOOKUP(C26,非_係数!$B$5:$K$36,7,FALSE))</f>
        <v/>
      </c>
      <c r="AC26" s="490" t="str">
        <f t="shared" si="10"/>
        <v/>
      </c>
      <c r="AD26" s="490" t="str">
        <f>IF(C26="","",VLOOKUP(C26,非_係数!$B$5:$K$36,9,FALSE))</f>
        <v/>
      </c>
      <c r="AE26" s="490" t="str">
        <f t="shared" si="11"/>
        <v/>
      </c>
      <c r="AF26" s="490" t="str">
        <f>IF(C26="","",VLOOKUP(C26,非_まとめ表行番号!$B$3:$D$34,3,FALSE))</f>
        <v/>
      </c>
      <c r="AG26" s="490" t="str">
        <f t="shared" si="3"/>
        <v/>
      </c>
      <c r="AH26" s="84">
        <v>2</v>
      </c>
    </row>
    <row r="27" spans="1:34" ht="27.9" hidden="1" customHeight="1">
      <c r="A27" s="584"/>
      <c r="B27" s="713"/>
      <c r="C27" s="714"/>
      <c r="D27" s="714"/>
      <c r="E27" s="404"/>
      <c r="F27" s="406"/>
      <c r="G27" s="714"/>
      <c r="H27" s="720"/>
      <c r="I27" s="509"/>
      <c r="J27" s="541" t="str">
        <f t="shared" si="0"/>
        <v/>
      </c>
      <c r="K27" s="542" t="str">
        <f t="shared" si="4"/>
        <v/>
      </c>
      <c r="L27" s="543" t="str">
        <f>IF(C27="","",VLOOKUP(C27,非_単位!$N$3:$O$34,2,FALSE))</f>
        <v/>
      </c>
      <c r="M27" s="544" t="str">
        <f>IF(C27="","",VLOOKUP(C27,非_係数!$B$5:$F$36,2,FALSE))</f>
        <v/>
      </c>
      <c r="N27" s="545" t="str">
        <f t="shared" si="5"/>
        <v/>
      </c>
      <c r="O27" s="546" t="str">
        <f>IF(C27="","",VLOOKUP(C27,非_係数!$B$5:$F$36,4,FALSE))</f>
        <v/>
      </c>
      <c r="P27" s="547" t="str">
        <f t="shared" si="6"/>
        <v/>
      </c>
      <c r="Q27" s="488"/>
      <c r="R27" s="490" t="str">
        <f t="shared" si="1"/>
        <v/>
      </c>
      <c r="S27" s="490" t="str">
        <f>IF(G27="","",VLOOKUP(G27,非_単位補正換算!$B$3:$C$16,2,FALSE))</f>
        <v/>
      </c>
      <c r="T27" s="490" t="str">
        <f>IF(G27="","",IF(SUMIFS(非_単位補正換算!$D$19:$D$48,非_単位補正換算!$B$19:$B$48,'12燃料'!C27,非_単位補正換算!$C$19:$C$48,'12燃料'!G27)=0,1,SUMIFS(非_単位補正換算!$D$19:$D$48,非_単位補正換算!$B$19:$B$48,'12燃料'!C27,非_単位補正換算!$C$19:$C$48,'12燃料'!G27)))</f>
        <v/>
      </c>
      <c r="U27" s="491" t="str">
        <f t="shared" si="2"/>
        <v/>
      </c>
      <c r="V27" s="491" t="str">
        <f t="shared" si="7"/>
        <v/>
      </c>
      <c r="W27" s="491" t="str">
        <f t="shared" si="8"/>
        <v/>
      </c>
      <c r="X27" s="490" t="str">
        <f>IF(C27="","",VLOOKUP(C27,非_まとめ表行番号!$B$3:$C$34,2,FALSE))</f>
        <v/>
      </c>
      <c r="Y27" s="490" t="str">
        <f>IF(X27="","",VLOOKUP(X27,非_まとめ表行番号!$U$3:$V$56,2,FALSE))</f>
        <v/>
      </c>
      <c r="Z27" s="492" t="str">
        <f>IF(C27="","",VLOOKUP(C27,非_係数!$B$5:$K$36,6,FALSE))</f>
        <v/>
      </c>
      <c r="AA27" s="491" t="str">
        <f t="shared" si="9"/>
        <v/>
      </c>
      <c r="AB27" s="490" t="str">
        <f>IF(C27="","",VLOOKUP(C27,非_係数!$B$5:$K$36,7,FALSE))</f>
        <v/>
      </c>
      <c r="AC27" s="490" t="str">
        <f t="shared" si="10"/>
        <v/>
      </c>
      <c r="AD27" s="490" t="str">
        <f>IF(C27="","",VLOOKUP(C27,非_係数!$B$5:$K$36,9,FALSE))</f>
        <v/>
      </c>
      <c r="AE27" s="490" t="str">
        <f t="shared" si="11"/>
        <v/>
      </c>
      <c r="AF27" s="490" t="str">
        <f>IF(C27="","",VLOOKUP(C27,非_まとめ表行番号!$B$3:$D$34,3,FALSE))</f>
        <v/>
      </c>
      <c r="AG27" s="490" t="str">
        <f t="shared" si="3"/>
        <v/>
      </c>
      <c r="AH27" s="84">
        <v>2</v>
      </c>
    </row>
    <row r="28" spans="1:34" ht="27.9" hidden="1" customHeight="1">
      <c r="A28" s="584"/>
      <c r="B28" s="713"/>
      <c r="C28" s="714"/>
      <c r="D28" s="714"/>
      <c r="E28" s="404"/>
      <c r="F28" s="406"/>
      <c r="G28" s="714"/>
      <c r="H28" s="720"/>
      <c r="I28" s="509"/>
      <c r="J28" s="541" t="str">
        <f t="shared" si="0"/>
        <v/>
      </c>
      <c r="K28" s="542" t="str">
        <f t="shared" si="4"/>
        <v/>
      </c>
      <c r="L28" s="543" t="str">
        <f>IF(C28="","",VLOOKUP(C28,非_単位!$N$3:$O$34,2,FALSE))</f>
        <v/>
      </c>
      <c r="M28" s="544" t="str">
        <f>IF(C28="","",VLOOKUP(C28,非_係数!$B$5:$F$36,2,FALSE))</f>
        <v/>
      </c>
      <c r="N28" s="545" t="str">
        <f t="shared" si="5"/>
        <v/>
      </c>
      <c r="O28" s="546" t="str">
        <f>IF(C28="","",VLOOKUP(C28,非_係数!$B$5:$F$36,4,FALSE))</f>
        <v/>
      </c>
      <c r="P28" s="547" t="str">
        <f t="shared" si="6"/>
        <v/>
      </c>
      <c r="Q28" s="488"/>
      <c r="R28" s="490" t="str">
        <f t="shared" si="1"/>
        <v/>
      </c>
      <c r="S28" s="490" t="str">
        <f>IF(G28="","",VLOOKUP(G28,非_単位補正換算!$B$3:$C$16,2,FALSE))</f>
        <v/>
      </c>
      <c r="T28" s="490" t="str">
        <f>IF(G28="","",IF(SUMIFS(非_単位補正換算!$D$19:$D$48,非_単位補正換算!$B$19:$B$48,'12燃料'!C28,非_単位補正換算!$C$19:$C$48,'12燃料'!G28)=0,1,SUMIFS(非_単位補正換算!$D$19:$D$48,非_単位補正換算!$B$19:$B$48,'12燃料'!C28,非_単位補正換算!$C$19:$C$48,'12燃料'!G28)))</f>
        <v/>
      </c>
      <c r="U28" s="491" t="str">
        <f t="shared" si="2"/>
        <v/>
      </c>
      <c r="V28" s="491" t="str">
        <f t="shared" si="7"/>
        <v/>
      </c>
      <c r="W28" s="491" t="str">
        <f t="shared" si="8"/>
        <v/>
      </c>
      <c r="X28" s="490" t="str">
        <f>IF(C28="","",VLOOKUP(C28,非_まとめ表行番号!$B$3:$C$34,2,FALSE))</f>
        <v/>
      </c>
      <c r="Y28" s="490" t="str">
        <f>IF(X28="","",VLOOKUP(X28,非_まとめ表行番号!$U$3:$V$56,2,FALSE))</f>
        <v/>
      </c>
      <c r="Z28" s="492" t="str">
        <f>IF(C28="","",VLOOKUP(C28,非_係数!$B$5:$K$36,6,FALSE))</f>
        <v/>
      </c>
      <c r="AA28" s="491" t="str">
        <f t="shared" si="9"/>
        <v/>
      </c>
      <c r="AB28" s="490" t="str">
        <f>IF(C28="","",VLOOKUP(C28,非_係数!$B$5:$K$36,7,FALSE))</f>
        <v/>
      </c>
      <c r="AC28" s="490" t="str">
        <f t="shared" si="10"/>
        <v/>
      </c>
      <c r="AD28" s="490" t="str">
        <f>IF(C28="","",VLOOKUP(C28,非_係数!$B$5:$K$36,9,FALSE))</f>
        <v/>
      </c>
      <c r="AE28" s="490" t="str">
        <f t="shared" si="11"/>
        <v/>
      </c>
      <c r="AF28" s="490" t="str">
        <f>IF(C28="","",VLOOKUP(C28,非_まとめ表行番号!$B$3:$D$34,3,FALSE))</f>
        <v/>
      </c>
      <c r="AG28" s="490" t="str">
        <f t="shared" si="3"/>
        <v/>
      </c>
      <c r="AH28" s="84">
        <v>2</v>
      </c>
    </row>
    <row r="29" spans="1:34" ht="27.9" hidden="1" customHeight="1">
      <c r="A29" s="584"/>
      <c r="B29" s="713"/>
      <c r="C29" s="714"/>
      <c r="D29" s="714"/>
      <c r="E29" s="404"/>
      <c r="F29" s="406"/>
      <c r="G29" s="714"/>
      <c r="H29" s="720"/>
      <c r="I29" s="509"/>
      <c r="J29" s="541" t="str">
        <f t="shared" si="0"/>
        <v/>
      </c>
      <c r="K29" s="542" t="str">
        <f t="shared" si="4"/>
        <v/>
      </c>
      <c r="L29" s="543" t="str">
        <f>IF(C29="","",VLOOKUP(C29,非_単位!$N$3:$O$34,2,FALSE))</f>
        <v/>
      </c>
      <c r="M29" s="544" t="str">
        <f>IF(C29="","",VLOOKUP(C29,非_係数!$B$5:$F$36,2,FALSE))</f>
        <v/>
      </c>
      <c r="N29" s="545" t="str">
        <f t="shared" si="5"/>
        <v/>
      </c>
      <c r="O29" s="546" t="str">
        <f>IF(C29="","",VLOOKUP(C29,非_係数!$B$5:$F$36,4,FALSE))</f>
        <v/>
      </c>
      <c r="P29" s="547" t="str">
        <f t="shared" si="6"/>
        <v/>
      </c>
      <c r="Q29" s="488"/>
      <c r="R29" s="490" t="str">
        <f t="shared" si="1"/>
        <v/>
      </c>
      <c r="S29" s="490" t="str">
        <f>IF(G29="","",VLOOKUP(G29,非_単位補正換算!$B$3:$C$16,2,FALSE))</f>
        <v/>
      </c>
      <c r="T29" s="490" t="str">
        <f>IF(G29="","",IF(SUMIFS(非_単位補正換算!$D$19:$D$48,非_単位補正換算!$B$19:$B$48,'12燃料'!C29,非_単位補正換算!$C$19:$C$48,'12燃料'!G29)=0,1,SUMIFS(非_単位補正換算!$D$19:$D$48,非_単位補正換算!$B$19:$B$48,'12燃料'!C29,非_単位補正換算!$C$19:$C$48,'12燃料'!G29)))</f>
        <v/>
      </c>
      <c r="U29" s="491" t="str">
        <f t="shared" si="2"/>
        <v/>
      </c>
      <c r="V29" s="491" t="str">
        <f t="shared" si="7"/>
        <v/>
      </c>
      <c r="W29" s="491" t="str">
        <f t="shared" si="8"/>
        <v/>
      </c>
      <c r="X29" s="490" t="str">
        <f>IF(C29="","",VLOOKUP(C29,非_まとめ表行番号!$B$3:$C$34,2,FALSE))</f>
        <v/>
      </c>
      <c r="Y29" s="490" t="str">
        <f>IF(X29="","",VLOOKUP(X29,非_まとめ表行番号!$U$3:$V$56,2,FALSE))</f>
        <v/>
      </c>
      <c r="Z29" s="492" t="str">
        <f>IF(C29="","",VLOOKUP(C29,非_係数!$B$5:$K$36,6,FALSE))</f>
        <v/>
      </c>
      <c r="AA29" s="491" t="str">
        <f t="shared" si="9"/>
        <v/>
      </c>
      <c r="AB29" s="490" t="str">
        <f>IF(C29="","",VLOOKUP(C29,非_係数!$B$5:$K$36,7,FALSE))</f>
        <v/>
      </c>
      <c r="AC29" s="490" t="str">
        <f t="shared" si="10"/>
        <v/>
      </c>
      <c r="AD29" s="490" t="str">
        <f>IF(C29="","",VLOOKUP(C29,非_係数!$B$5:$K$36,9,FALSE))</f>
        <v/>
      </c>
      <c r="AE29" s="490" t="str">
        <f t="shared" si="11"/>
        <v/>
      </c>
      <c r="AF29" s="490" t="str">
        <f>IF(C29="","",VLOOKUP(C29,非_まとめ表行番号!$B$3:$D$34,3,FALSE))</f>
        <v/>
      </c>
      <c r="AG29" s="490" t="str">
        <f t="shared" si="3"/>
        <v/>
      </c>
      <c r="AH29" s="84">
        <v>2</v>
      </c>
    </row>
    <row r="30" spans="1:34" ht="27.9" hidden="1" customHeight="1">
      <c r="A30" s="584"/>
      <c r="B30" s="713"/>
      <c r="C30" s="714"/>
      <c r="D30" s="714"/>
      <c r="E30" s="404"/>
      <c r="F30" s="406"/>
      <c r="G30" s="714"/>
      <c r="H30" s="720"/>
      <c r="I30" s="509"/>
      <c r="J30" s="541" t="str">
        <f t="shared" si="0"/>
        <v/>
      </c>
      <c r="K30" s="542" t="str">
        <f t="shared" si="4"/>
        <v/>
      </c>
      <c r="L30" s="543" t="str">
        <f>IF(C30="","",VLOOKUP(C30,非_単位!$N$3:$O$34,2,FALSE))</f>
        <v/>
      </c>
      <c r="M30" s="544" t="str">
        <f>IF(C30="","",VLOOKUP(C30,非_係数!$B$5:$F$36,2,FALSE))</f>
        <v/>
      </c>
      <c r="N30" s="545" t="str">
        <f t="shared" si="5"/>
        <v/>
      </c>
      <c r="O30" s="546" t="str">
        <f>IF(C30="","",VLOOKUP(C30,非_係数!$B$5:$F$36,4,FALSE))</f>
        <v/>
      </c>
      <c r="P30" s="547" t="str">
        <f t="shared" si="6"/>
        <v/>
      </c>
      <c r="Q30" s="488"/>
      <c r="R30" s="490" t="str">
        <f t="shared" si="1"/>
        <v/>
      </c>
      <c r="S30" s="490" t="str">
        <f>IF(G30="","",VLOOKUP(G30,非_単位補正換算!$B$3:$C$16,2,FALSE))</f>
        <v/>
      </c>
      <c r="T30" s="490" t="str">
        <f>IF(G30="","",IF(SUMIFS(非_単位補正換算!$D$19:$D$48,非_単位補正換算!$B$19:$B$48,'12燃料'!C30,非_単位補正換算!$C$19:$C$48,'12燃料'!G30)=0,1,SUMIFS(非_単位補正換算!$D$19:$D$48,非_単位補正換算!$B$19:$B$48,'12燃料'!C30,非_単位補正換算!$C$19:$C$48,'12燃料'!G30)))</f>
        <v/>
      </c>
      <c r="U30" s="491" t="str">
        <f t="shared" si="2"/>
        <v/>
      </c>
      <c r="V30" s="491" t="str">
        <f t="shared" si="7"/>
        <v/>
      </c>
      <c r="W30" s="491" t="str">
        <f t="shared" si="8"/>
        <v/>
      </c>
      <c r="X30" s="490" t="str">
        <f>IF(C30="","",VLOOKUP(C30,非_まとめ表行番号!$B$3:$C$34,2,FALSE))</f>
        <v/>
      </c>
      <c r="Y30" s="490" t="str">
        <f>IF(X30="","",VLOOKUP(X30,非_まとめ表行番号!$U$3:$V$56,2,FALSE))</f>
        <v/>
      </c>
      <c r="Z30" s="492" t="str">
        <f>IF(C30="","",VLOOKUP(C30,非_係数!$B$5:$K$36,6,FALSE))</f>
        <v/>
      </c>
      <c r="AA30" s="491" t="str">
        <f t="shared" si="9"/>
        <v/>
      </c>
      <c r="AB30" s="490" t="str">
        <f>IF(C30="","",VLOOKUP(C30,非_係数!$B$5:$K$36,7,FALSE))</f>
        <v/>
      </c>
      <c r="AC30" s="490" t="str">
        <f t="shared" si="10"/>
        <v/>
      </c>
      <c r="AD30" s="490" t="str">
        <f>IF(C30="","",VLOOKUP(C30,非_係数!$B$5:$K$36,9,FALSE))</f>
        <v/>
      </c>
      <c r="AE30" s="490" t="str">
        <f t="shared" si="11"/>
        <v/>
      </c>
      <c r="AF30" s="490" t="str">
        <f>IF(C30="","",VLOOKUP(C30,非_まとめ表行番号!$B$3:$D$34,3,FALSE))</f>
        <v/>
      </c>
      <c r="AG30" s="490" t="str">
        <f t="shared" si="3"/>
        <v/>
      </c>
      <c r="AH30" s="84">
        <v>2</v>
      </c>
    </row>
    <row r="31" spans="1:34" ht="27.9" hidden="1" customHeight="1">
      <c r="A31" s="584"/>
      <c r="B31" s="713"/>
      <c r="C31" s="714"/>
      <c r="D31" s="714"/>
      <c r="E31" s="404"/>
      <c r="F31" s="406"/>
      <c r="G31" s="714"/>
      <c r="H31" s="720"/>
      <c r="I31" s="509"/>
      <c r="J31" s="541" t="str">
        <f t="shared" si="0"/>
        <v/>
      </c>
      <c r="K31" s="542" t="str">
        <f t="shared" si="4"/>
        <v/>
      </c>
      <c r="L31" s="543" t="str">
        <f>IF(C31="","",VLOOKUP(C31,非_単位!$N$3:$O$34,2,FALSE))</f>
        <v/>
      </c>
      <c r="M31" s="544" t="str">
        <f>IF(C31="","",VLOOKUP(C31,非_係数!$B$5:$F$36,2,FALSE))</f>
        <v/>
      </c>
      <c r="N31" s="545" t="str">
        <f t="shared" si="5"/>
        <v/>
      </c>
      <c r="O31" s="546" t="str">
        <f>IF(C31="","",VLOOKUP(C31,非_係数!$B$5:$F$36,4,FALSE))</f>
        <v/>
      </c>
      <c r="P31" s="547" t="str">
        <f t="shared" si="6"/>
        <v/>
      </c>
      <c r="Q31" s="488"/>
      <c r="R31" s="490" t="str">
        <f t="shared" si="1"/>
        <v/>
      </c>
      <c r="S31" s="490" t="str">
        <f>IF(G31="","",VLOOKUP(G31,非_単位補正換算!$B$3:$C$16,2,FALSE))</f>
        <v/>
      </c>
      <c r="T31" s="490" t="str">
        <f>IF(G31="","",IF(SUMIFS(非_単位補正換算!$D$19:$D$48,非_単位補正換算!$B$19:$B$48,'12燃料'!C31,非_単位補正換算!$C$19:$C$48,'12燃料'!G31)=0,1,SUMIFS(非_単位補正換算!$D$19:$D$48,非_単位補正換算!$B$19:$B$48,'12燃料'!C31,非_単位補正換算!$C$19:$C$48,'12燃料'!G31)))</f>
        <v/>
      </c>
      <c r="U31" s="491" t="str">
        <f t="shared" si="2"/>
        <v/>
      </c>
      <c r="V31" s="491" t="str">
        <f t="shared" si="7"/>
        <v/>
      </c>
      <c r="W31" s="491" t="str">
        <f t="shared" si="8"/>
        <v/>
      </c>
      <c r="X31" s="490" t="str">
        <f>IF(C31="","",VLOOKUP(C31,非_まとめ表行番号!$B$3:$C$34,2,FALSE))</f>
        <v/>
      </c>
      <c r="Y31" s="490" t="str">
        <f>IF(X31="","",VLOOKUP(X31,非_まとめ表行番号!$U$3:$V$56,2,FALSE))</f>
        <v/>
      </c>
      <c r="Z31" s="492" t="str">
        <f>IF(C31="","",VLOOKUP(C31,非_係数!$B$5:$K$36,6,FALSE))</f>
        <v/>
      </c>
      <c r="AA31" s="491" t="str">
        <f t="shared" si="9"/>
        <v/>
      </c>
      <c r="AB31" s="490" t="str">
        <f>IF(C31="","",VLOOKUP(C31,非_係数!$B$5:$K$36,7,FALSE))</f>
        <v/>
      </c>
      <c r="AC31" s="490" t="str">
        <f t="shared" si="10"/>
        <v/>
      </c>
      <c r="AD31" s="490" t="str">
        <f>IF(C31="","",VLOOKUP(C31,非_係数!$B$5:$K$36,9,FALSE))</f>
        <v/>
      </c>
      <c r="AE31" s="490" t="str">
        <f t="shared" si="11"/>
        <v/>
      </c>
      <c r="AF31" s="490" t="str">
        <f>IF(C31="","",VLOOKUP(C31,非_まとめ表行番号!$B$3:$D$34,3,FALSE))</f>
        <v/>
      </c>
      <c r="AG31" s="490" t="str">
        <f t="shared" si="3"/>
        <v/>
      </c>
      <c r="AH31" s="84">
        <v>2</v>
      </c>
    </row>
    <row r="32" spans="1:34" ht="27.9" hidden="1" customHeight="1">
      <c r="A32" s="584"/>
      <c r="B32" s="713"/>
      <c r="C32" s="714"/>
      <c r="D32" s="714"/>
      <c r="E32" s="404"/>
      <c r="F32" s="406"/>
      <c r="G32" s="714"/>
      <c r="H32" s="720"/>
      <c r="I32" s="509"/>
      <c r="J32" s="541" t="str">
        <f t="shared" si="0"/>
        <v/>
      </c>
      <c r="K32" s="542" t="str">
        <f t="shared" si="4"/>
        <v/>
      </c>
      <c r="L32" s="543" t="str">
        <f>IF(C32="","",VLOOKUP(C32,非_単位!$N$3:$O$34,2,FALSE))</f>
        <v/>
      </c>
      <c r="M32" s="544" t="str">
        <f>IF(C32="","",VLOOKUP(C32,非_係数!$B$5:$F$36,2,FALSE))</f>
        <v/>
      </c>
      <c r="N32" s="545" t="str">
        <f t="shared" si="5"/>
        <v/>
      </c>
      <c r="O32" s="546" t="str">
        <f>IF(C32="","",VLOOKUP(C32,非_係数!$B$5:$F$36,4,FALSE))</f>
        <v/>
      </c>
      <c r="P32" s="547" t="str">
        <f t="shared" si="6"/>
        <v/>
      </c>
      <c r="Q32" s="488"/>
      <c r="R32" s="490" t="str">
        <f t="shared" si="1"/>
        <v/>
      </c>
      <c r="S32" s="490" t="str">
        <f>IF(G32="","",VLOOKUP(G32,非_単位補正換算!$B$3:$C$16,2,FALSE))</f>
        <v/>
      </c>
      <c r="T32" s="490" t="str">
        <f>IF(G32="","",IF(SUMIFS(非_単位補正換算!$D$19:$D$48,非_単位補正換算!$B$19:$B$48,'12燃料'!C32,非_単位補正換算!$C$19:$C$48,'12燃料'!G32)=0,1,SUMIFS(非_単位補正換算!$D$19:$D$48,非_単位補正換算!$B$19:$B$48,'12燃料'!C32,非_単位補正換算!$C$19:$C$48,'12燃料'!G32)))</f>
        <v/>
      </c>
      <c r="U32" s="491" t="str">
        <f t="shared" si="2"/>
        <v/>
      </c>
      <c r="V32" s="491" t="str">
        <f t="shared" si="7"/>
        <v/>
      </c>
      <c r="W32" s="491" t="str">
        <f t="shared" si="8"/>
        <v/>
      </c>
      <c r="X32" s="490" t="str">
        <f>IF(C32="","",VLOOKUP(C32,非_まとめ表行番号!$B$3:$C$34,2,FALSE))</f>
        <v/>
      </c>
      <c r="Y32" s="490" t="str">
        <f>IF(X32="","",VLOOKUP(X32,非_まとめ表行番号!$U$3:$V$56,2,FALSE))</f>
        <v/>
      </c>
      <c r="Z32" s="492" t="str">
        <f>IF(C32="","",VLOOKUP(C32,非_係数!$B$5:$K$36,6,FALSE))</f>
        <v/>
      </c>
      <c r="AA32" s="491" t="str">
        <f t="shared" si="9"/>
        <v/>
      </c>
      <c r="AB32" s="490" t="str">
        <f>IF(C32="","",VLOOKUP(C32,非_係数!$B$5:$K$36,7,FALSE))</f>
        <v/>
      </c>
      <c r="AC32" s="490" t="str">
        <f t="shared" si="10"/>
        <v/>
      </c>
      <c r="AD32" s="490" t="str">
        <f>IF(C32="","",VLOOKUP(C32,非_係数!$B$5:$K$36,9,FALSE))</f>
        <v/>
      </c>
      <c r="AE32" s="490" t="str">
        <f t="shared" si="11"/>
        <v/>
      </c>
      <c r="AF32" s="490" t="str">
        <f>IF(C32="","",VLOOKUP(C32,非_まとめ表行番号!$B$3:$D$34,3,FALSE))</f>
        <v/>
      </c>
      <c r="AG32" s="490" t="str">
        <f t="shared" si="3"/>
        <v/>
      </c>
      <c r="AH32" s="84">
        <v>2</v>
      </c>
    </row>
    <row r="33" spans="1:34" ht="27.9" hidden="1" customHeight="1">
      <c r="A33" s="584"/>
      <c r="B33" s="713"/>
      <c r="C33" s="714"/>
      <c r="D33" s="714"/>
      <c r="E33" s="404"/>
      <c r="F33" s="406"/>
      <c r="G33" s="714"/>
      <c r="H33" s="720"/>
      <c r="I33" s="509"/>
      <c r="J33" s="541" t="str">
        <f t="shared" si="0"/>
        <v/>
      </c>
      <c r="K33" s="542" t="str">
        <f t="shared" si="4"/>
        <v/>
      </c>
      <c r="L33" s="543" t="str">
        <f>IF(C33="","",VLOOKUP(C33,非_単位!$N$3:$O$34,2,FALSE))</f>
        <v/>
      </c>
      <c r="M33" s="544" t="str">
        <f>IF(C33="","",VLOOKUP(C33,非_係数!$B$5:$F$36,2,FALSE))</f>
        <v/>
      </c>
      <c r="N33" s="545" t="str">
        <f t="shared" si="5"/>
        <v/>
      </c>
      <c r="O33" s="546" t="str">
        <f>IF(C33="","",VLOOKUP(C33,非_係数!$B$5:$F$36,4,FALSE))</f>
        <v/>
      </c>
      <c r="P33" s="547" t="str">
        <f t="shared" si="6"/>
        <v/>
      </c>
      <c r="Q33" s="488"/>
      <c r="R33" s="490" t="str">
        <f t="shared" si="1"/>
        <v/>
      </c>
      <c r="S33" s="490" t="str">
        <f>IF(G33="","",VLOOKUP(G33,非_単位補正換算!$B$3:$C$16,2,FALSE))</f>
        <v/>
      </c>
      <c r="T33" s="490" t="str">
        <f>IF(G33="","",IF(SUMIFS(非_単位補正換算!$D$19:$D$48,非_単位補正換算!$B$19:$B$48,'12燃料'!C33,非_単位補正換算!$C$19:$C$48,'12燃料'!G33)=0,1,SUMIFS(非_単位補正換算!$D$19:$D$48,非_単位補正換算!$B$19:$B$48,'12燃料'!C33,非_単位補正換算!$C$19:$C$48,'12燃料'!G33)))</f>
        <v/>
      </c>
      <c r="U33" s="491" t="str">
        <f t="shared" si="2"/>
        <v/>
      </c>
      <c r="V33" s="491" t="str">
        <f t="shared" si="7"/>
        <v/>
      </c>
      <c r="W33" s="491" t="str">
        <f t="shared" si="8"/>
        <v/>
      </c>
      <c r="X33" s="490" t="str">
        <f>IF(C33="","",VLOOKUP(C33,非_まとめ表行番号!$B$3:$C$34,2,FALSE))</f>
        <v/>
      </c>
      <c r="Y33" s="490" t="str">
        <f>IF(X33="","",VLOOKUP(X33,非_まとめ表行番号!$U$3:$V$56,2,FALSE))</f>
        <v/>
      </c>
      <c r="Z33" s="492" t="str">
        <f>IF(C33="","",VLOOKUP(C33,非_係数!$B$5:$K$36,6,FALSE))</f>
        <v/>
      </c>
      <c r="AA33" s="491" t="str">
        <f t="shared" si="9"/>
        <v/>
      </c>
      <c r="AB33" s="490" t="str">
        <f>IF(C33="","",VLOOKUP(C33,非_係数!$B$5:$K$36,7,FALSE))</f>
        <v/>
      </c>
      <c r="AC33" s="490" t="str">
        <f t="shared" si="10"/>
        <v/>
      </c>
      <c r="AD33" s="490" t="str">
        <f>IF(C33="","",VLOOKUP(C33,非_係数!$B$5:$K$36,9,FALSE))</f>
        <v/>
      </c>
      <c r="AE33" s="490" t="str">
        <f t="shared" si="11"/>
        <v/>
      </c>
      <c r="AF33" s="490" t="str">
        <f>IF(C33="","",VLOOKUP(C33,非_まとめ表行番号!$B$3:$D$34,3,FALSE))</f>
        <v/>
      </c>
      <c r="AG33" s="490" t="str">
        <f t="shared" si="3"/>
        <v/>
      </c>
      <c r="AH33" s="84">
        <v>2</v>
      </c>
    </row>
    <row r="34" spans="1:34" ht="27.9" hidden="1" customHeight="1">
      <c r="A34" s="584"/>
      <c r="B34" s="713"/>
      <c r="C34" s="714"/>
      <c r="D34" s="714"/>
      <c r="E34" s="404"/>
      <c r="F34" s="406"/>
      <c r="G34" s="714"/>
      <c r="H34" s="720"/>
      <c r="I34" s="509"/>
      <c r="J34" s="541" t="str">
        <f t="shared" si="0"/>
        <v/>
      </c>
      <c r="K34" s="542" t="str">
        <f t="shared" si="4"/>
        <v/>
      </c>
      <c r="L34" s="543" t="str">
        <f>IF(C34="","",VLOOKUP(C34,非_単位!$N$3:$O$34,2,FALSE))</f>
        <v/>
      </c>
      <c r="M34" s="544" t="str">
        <f>IF(C34="","",VLOOKUP(C34,非_係数!$B$5:$F$36,2,FALSE))</f>
        <v/>
      </c>
      <c r="N34" s="545" t="str">
        <f t="shared" si="5"/>
        <v/>
      </c>
      <c r="O34" s="546" t="str">
        <f>IF(C34="","",VLOOKUP(C34,非_係数!$B$5:$F$36,4,FALSE))</f>
        <v/>
      </c>
      <c r="P34" s="547" t="str">
        <f t="shared" si="6"/>
        <v/>
      </c>
      <c r="Q34" s="488"/>
      <c r="R34" s="490" t="str">
        <f t="shared" si="1"/>
        <v/>
      </c>
      <c r="S34" s="490" t="str">
        <f>IF(G34="","",VLOOKUP(G34,非_単位補正換算!$B$3:$C$16,2,FALSE))</f>
        <v/>
      </c>
      <c r="T34" s="490" t="str">
        <f>IF(G34="","",IF(SUMIFS(非_単位補正換算!$D$19:$D$48,非_単位補正換算!$B$19:$B$48,'12燃料'!C34,非_単位補正換算!$C$19:$C$48,'12燃料'!G34)=0,1,SUMIFS(非_単位補正換算!$D$19:$D$48,非_単位補正換算!$B$19:$B$48,'12燃料'!C34,非_単位補正換算!$C$19:$C$48,'12燃料'!G34)))</f>
        <v/>
      </c>
      <c r="U34" s="491" t="str">
        <f t="shared" si="2"/>
        <v/>
      </c>
      <c r="V34" s="491" t="str">
        <f t="shared" si="7"/>
        <v/>
      </c>
      <c r="W34" s="491" t="str">
        <f t="shared" si="8"/>
        <v/>
      </c>
      <c r="X34" s="490" t="str">
        <f>IF(C34="","",VLOOKUP(C34,非_まとめ表行番号!$B$3:$C$34,2,FALSE))</f>
        <v/>
      </c>
      <c r="Y34" s="490" t="str">
        <f>IF(X34="","",VLOOKUP(X34,非_まとめ表行番号!$U$3:$V$56,2,FALSE))</f>
        <v/>
      </c>
      <c r="Z34" s="492" t="str">
        <f>IF(C34="","",VLOOKUP(C34,非_係数!$B$5:$K$36,6,FALSE))</f>
        <v/>
      </c>
      <c r="AA34" s="491" t="str">
        <f t="shared" si="9"/>
        <v/>
      </c>
      <c r="AB34" s="490" t="str">
        <f>IF(C34="","",VLOOKUP(C34,非_係数!$B$5:$K$36,7,FALSE))</f>
        <v/>
      </c>
      <c r="AC34" s="490" t="str">
        <f t="shared" si="10"/>
        <v/>
      </c>
      <c r="AD34" s="490" t="str">
        <f>IF(C34="","",VLOOKUP(C34,非_係数!$B$5:$K$36,9,FALSE))</f>
        <v/>
      </c>
      <c r="AE34" s="490" t="str">
        <f t="shared" si="11"/>
        <v/>
      </c>
      <c r="AF34" s="490" t="str">
        <f>IF(C34="","",VLOOKUP(C34,非_まとめ表行番号!$B$3:$D$34,3,FALSE))</f>
        <v/>
      </c>
      <c r="AG34" s="490" t="str">
        <f t="shared" si="3"/>
        <v/>
      </c>
      <c r="AH34" s="84">
        <v>2</v>
      </c>
    </row>
    <row r="35" spans="1:34" ht="27.9" hidden="1" customHeight="1">
      <c r="A35" s="584"/>
      <c r="B35" s="713"/>
      <c r="C35" s="714"/>
      <c r="D35" s="714"/>
      <c r="E35" s="404"/>
      <c r="F35" s="406"/>
      <c r="G35" s="714"/>
      <c r="H35" s="720"/>
      <c r="I35" s="509"/>
      <c r="J35" s="541" t="str">
        <f t="shared" si="0"/>
        <v/>
      </c>
      <c r="K35" s="542" t="str">
        <f t="shared" si="4"/>
        <v/>
      </c>
      <c r="L35" s="543" t="str">
        <f>IF(C35="","",VLOOKUP(C35,非_単位!$N$3:$O$34,2,FALSE))</f>
        <v/>
      </c>
      <c r="M35" s="544" t="str">
        <f>IF(C35="","",VLOOKUP(C35,非_係数!$B$5:$F$36,2,FALSE))</f>
        <v/>
      </c>
      <c r="N35" s="545" t="str">
        <f t="shared" si="5"/>
        <v/>
      </c>
      <c r="O35" s="546" t="str">
        <f>IF(C35="","",VLOOKUP(C35,非_係数!$B$5:$F$36,4,FALSE))</f>
        <v/>
      </c>
      <c r="P35" s="547" t="str">
        <f t="shared" si="6"/>
        <v/>
      </c>
      <c r="Q35" s="488"/>
      <c r="R35" s="490" t="str">
        <f t="shared" si="1"/>
        <v/>
      </c>
      <c r="S35" s="490" t="str">
        <f>IF(G35="","",VLOOKUP(G35,非_単位補正換算!$B$3:$C$16,2,FALSE))</f>
        <v/>
      </c>
      <c r="T35" s="490" t="str">
        <f>IF(G35="","",IF(SUMIFS(非_単位補正換算!$D$19:$D$48,非_単位補正換算!$B$19:$B$48,'12燃料'!C35,非_単位補正換算!$C$19:$C$48,'12燃料'!G35)=0,1,SUMIFS(非_単位補正換算!$D$19:$D$48,非_単位補正換算!$B$19:$B$48,'12燃料'!C35,非_単位補正換算!$C$19:$C$48,'12燃料'!G35)))</f>
        <v/>
      </c>
      <c r="U35" s="491" t="str">
        <f t="shared" si="2"/>
        <v/>
      </c>
      <c r="V35" s="491" t="str">
        <f t="shared" si="7"/>
        <v/>
      </c>
      <c r="W35" s="491" t="str">
        <f t="shared" si="8"/>
        <v/>
      </c>
      <c r="X35" s="490" t="str">
        <f>IF(C35="","",VLOOKUP(C35,非_まとめ表行番号!$B$3:$C$34,2,FALSE))</f>
        <v/>
      </c>
      <c r="Y35" s="490" t="str">
        <f>IF(X35="","",VLOOKUP(X35,非_まとめ表行番号!$U$3:$V$56,2,FALSE))</f>
        <v/>
      </c>
      <c r="Z35" s="492" t="str">
        <f>IF(C35="","",VLOOKUP(C35,非_係数!$B$5:$K$36,6,FALSE))</f>
        <v/>
      </c>
      <c r="AA35" s="491" t="str">
        <f t="shared" si="9"/>
        <v/>
      </c>
      <c r="AB35" s="490" t="str">
        <f>IF(C35="","",VLOOKUP(C35,非_係数!$B$5:$K$36,7,FALSE))</f>
        <v/>
      </c>
      <c r="AC35" s="490" t="str">
        <f t="shared" si="10"/>
        <v/>
      </c>
      <c r="AD35" s="490" t="str">
        <f>IF(C35="","",VLOOKUP(C35,非_係数!$B$5:$K$36,9,FALSE))</f>
        <v/>
      </c>
      <c r="AE35" s="490" t="str">
        <f t="shared" si="11"/>
        <v/>
      </c>
      <c r="AF35" s="490" t="str">
        <f>IF(C35="","",VLOOKUP(C35,非_まとめ表行番号!$B$3:$D$34,3,FALSE))</f>
        <v/>
      </c>
      <c r="AG35" s="490" t="str">
        <f t="shared" si="3"/>
        <v/>
      </c>
      <c r="AH35" s="84">
        <v>2</v>
      </c>
    </row>
    <row r="36" spans="1:34" ht="27.9" customHeight="1" thickBot="1">
      <c r="A36" s="585"/>
      <c r="B36" s="715"/>
      <c r="C36" s="716"/>
      <c r="D36" s="716"/>
      <c r="E36" s="404"/>
      <c r="F36" s="406"/>
      <c r="G36" s="716"/>
      <c r="H36" s="721"/>
      <c r="I36" s="509"/>
      <c r="J36" s="552" t="str">
        <f t="shared" si="0"/>
        <v/>
      </c>
      <c r="K36" s="553" t="str">
        <f t="shared" si="4"/>
        <v/>
      </c>
      <c r="L36" s="554" t="str">
        <f>IF(C36="","",VLOOKUP(C36,非_単位!$N$3:$O$34,2,FALSE))</f>
        <v/>
      </c>
      <c r="M36" s="555" t="str">
        <f>IF(C36="","",VLOOKUP(C36,非_係数!$B$5:$F$36,2,FALSE))</f>
        <v/>
      </c>
      <c r="N36" s="556" t="str">
        <f t="shared" si="5"/>
        <v/>
      </c>
      <c r="O36" s="557" t="str">
        <f>IF(C36="","",VLOOKUP(C36,非_係数!$B$5:$F$36,4,FALSE))</f>
        <v/>
      </c>
      <c r="P36" s="558" t="str">
        <f t="shared" si="6"/>
        <v/>
      </c>
      <c r="Q36" s="488"/>
      <c r="R36" s="663" t="str">
        <f t="shared" si="1"/>
        <v/>
      </c>
      <c r="S36" s="663" t="str">
        <f>IF(G36="","",VLOOKUP(G36,非_単位補正換算!$B$3:$C$16,2,FALSE))</f>
        <v/>
      </c>
      <c r="T36" s="663" t="str">
        <f>IF(G36="","",IF(SUMIFS(非_単位補正換算!$D$19:$D$48,非_単位補正換算!$B$19:$B$48,'12燃料'!C36,非_単位補正換算!$C$19:$C$48,'12燃料'!G36)=0,1,SUMIFS(非_単位補正換算!$D$19:$D$48,非_単位補正換算!$B$19:$B$48,'12燃料'!C36,非_単位補正換算!$C$19:$C$48,'12燃料'!G36)))</f>
        <v/>
      </c>
      <c r="U36" s="754" t="str">
        <f t="shared" si="2"/>
        <v/>
      </c>
      <c r="V36" s="754" t="str">
        <f t="shared" si="7"/>
        <v/>
      </c>
      <c r="W36" s="754" t="str">
        <f t="shared" si="8"/>
        <v/>
      </c>
      <c r="X36" s="663" t="str">
        <f>IF(C36="","",VLOOKUP(C36,非_まとめ表行番号!$B$3:$C$34,2,FALSE))</f>
        <v/>
      </c>
      <c r="Y36" s="663" t="str">
        <f>IF(X36="","",VLOOKUP(X36,非_まとめ表行番号!$U$3:$V$56,2,FALSE))</f>
        <v/>
      </c>
      <c r="Z36" s="755" t="str">
        <f>IF(C36="","",VLOOKUP(C36,非_係数!$B$5:$K$36,6,FALSE))</f>
        <v/>
      </c>
      <c r="AA36" s="754" t="str">
        <f t="shared" si="9"/>
        <v/>
      </c>
      <c r="AB36" s="663" t="str">
        <f>IF(C36="","",VLOOKUP(C36,非_係数!$B$5:$K$36,7,FALSE))</f>
        <v/>
      </c>
      <c r="AC36" s="663" t="str">
        <f t="shared" si="10"/>
        <v/>
      </c>
      <c r="AD36" s="663" t="str">
        <f>IF(C36="","",VLOOKUP(C36,非_係数!$B$5:$K$36,9,FALSE))</f>
        <v/>
      </c>
      <c r="AE36" s="663" t="str">
        <f t="shared" si="11"/>
        <v/>
      </c>
      <c r="AF36" s="663" t="str">
        <f>IF(C36="","",VLOOKUP(C36,非_まとめ表行番号!$B$3:$D$34,3,FALSE))</f>
        <v/>
      </c>
      <c r="AG36" s="663" t="str">
        <f t="shared" si="3"/>
        <v/>
      </c>
      <c r="AH36" s="84">
        <v>2</v>
      </c>
    </row>
    <row r="37" spans="1:34" ht="27.9" customHeight="1" thickTop="1">
      <c r="A37" s="586" t="s">
        <v>2054</v>
      </c>
      <c r="B37" s="622" t="s">
        <v>330</v>
      </c>
      <c r="C37" s="623" t="s">
        <v>342</v>
      </c>
      <c r="D37" s="623" t="s">
        <v>367</v>
      </c>
      <c r="E37" s="404"/>
      <c r="F37" s="406"/>
      <c r="G37" s="623" t="s">
        <v>267</v>
      </c>
      <c r="H37" s="718"/>
      <c r="I37" s="509"/>
      <c r="J37" s="736" t="str">
        <f t="shared" si="0"/>
        <v/>
      </c>
      <c r="K37" s="737" t="str">
        <f t="shared" si="4"/>
        <v/>
      </c>
      <c r="L37" s="738" t="str">
        <f>IF(C37="","",VLOOKUP(C37,非_単位!$N$3:$O$34,2,FALSE))</f>
        <v>kL</v>
      </c>
      <c r="M37" s="739">
        <f>IF(C37="","",VLOOKUP(C37,非_係数!$B$5:$F$36,2,FALSE))</f>
        <v>33.4</v>
      </c>
      <c r="N37" s="330" t="str">
        <f t="shared" si="5"/>
        <v/>
      </c>
      <c r="O37" s="740">
        <f>IF(C37="","",VLOOKUP(C37,非_係数!$B$5:$F$36,4,FALSE))</f>
        <v>1.8700000000000001E-2</v>
      </c>
      <c r="P37" s="741" t="str">
        <f t="shared" si="6"/>
        <v/>
      </c>
      <c r="Q37" s="488"/>
      <c r="R37" s="578" t="str">
        <f t="shared" si="1"/>
        <v>燃料種選択</v>
      </c>
      <c r="S37" s="578">
        <f>IF(G37="","",VLOOKUP(G37,非_単位補正換算!$B$3:$C$16,2,FALSE))</f>
        <v>1</v>
      </c>
      <c r="T37" s="578">
        <f>IF(G37="","",IF(SUMIFS(非_単位補正換算!$D$19:$D$48,非_単位補正換算!$B$19:$B$48,'12燃料'!C37,非_単位補正換算!$C$19:$C$48,'12燃料'!G37)=0,1,SUMIFS(非_単位補正換算!$D$19:$D$48,非_単位補正換算!$B$19:$B$48,'12燃料'!C37,非_単位補正換算!$C$19:$C$48,'12燃料'!G37)))</f>
        <v>1</v>
      </c>
      <c r="U37" s="750" t="str">
        <f t="shared" si="2"/>
        <v/>
      </c>
      <c r="V37" s="750" t="str">
        <f t="shared" si="7"/>
        <v/>
      </c>
      <c r="W37" s="750" t="str">
        <f t="shared" si="8"/>
        <v/>
      </c>
      <c r="X37" s="578">
        <f>IF(C37="","",VLOOKUP(C37,非_まとめ表行番号!$B$3:$C$34,2,FALSE))</f>
        <v>8</v>
      </c>
      <c r="Y37" s="578">
        <f>IF(X37="","",VLOOKUP(X37,非_まとめ表行番号!$U$3:$V$56,2,FALSE))</f>
        <v>3</v>
      </c>
      <c r="Z37" s="751">
        <f>IF(C37="","",VLOOKUP(C37,非_係数!$B$5:$K$36,6,FALSE))</f>
        <v>1</v>
      </c>
      <c r="AA37" s="750" t="str">
        <f t="shared" si="9"/>
        <v/>
      </c>
      <c r="AB37" s="578">
        <f>IF(C37="","",VLOOKUP(C37,非_係数!$B$5:$K$36,7,FALSE))</f>
        <v>34.6</v>
      </c>
      <c r="AC37" s="578" t="str">
        <f t="shared" si="10"/>
        <v/>
      </c>
      <c r="AD37" s="578">
        <f>IF(C37="","",VLOOKUP(C37,非_係数!$B$5:$K$36,9,FALSE))</f>
        <v>1.83E-2</v>
      </c>
      <c r="AE37" s="578" t="str">
        <f t="shared" si="11"/>
        <v/>
      </c>
      <c r="AF37" s="578">
        <f>IF(C37="","",VLOOKUP(C37,非_まとめ表行番号!$B$3:$D$34,3,FALSE))</f>
        <v>8</v>
      </c>
      <c r="AG37" s="578" t="str">
        <f t="shared" si="3"/>
        <v/>
      </c>
      <c r="AH37" s="84">
        <v>3</v>
      </c>
    </row>
    <row r="38" spans="1:34" ht="27.9" customHeight="1">
      <c r="A38" s="587"/>
      <c r="B38" s="725" t="s">
        <v>330</v>
      </c>
      <c r="C38" s="726" t="s">
        <v>15</v>
      </c>
      <c r="D38" s="726" t="s">
        <v>367</v>
      </c>
      <c r="E38" s="404"/>
      <c r="F38" s="406"/>
      <c r="G38" s="726" t="s">
        <v>267</v>
      </c>
      <c r="H38" s="540"/>
      <c r="I38" s="509"/>
      <c r="J38" s="541" t="str">
        <f t="shared" si="0"/>
        <v/>
      </c>
      <c r="K38" s="542" t="str">
        <f t="shared" si="4"/>
        <v/>
      </c>
      <c r="L38" s="543" t="str">
        <f>IF(C38="","",VLOOKUP(C38,非_単位!$N$3:$O$34,2,FALSE))</f>
        <v>kL</v>
      </c>
      <c r="M38" s="544">
        <f>IF(C38="","",VLOOKUP(C38,非_係数!$B$5:$F$36,2,FALSE))</f>
        <v>38</v>
      </c>
      <c r="N38" s="545" t="str">
        <f t="shared" si="5"/>
        <v/>
      </c>
      <c r="O38" s="546">
        <f>IF(C38="","",VLOOKUP(C38,非_係数!$B$5:$F$36,4,FALSE))</f>
        <v>1.8800000000000001E-2</v>
      </c>
      <c r="P38" s="547" t="str">
        <f t="shared" si="6"/>
        <v/>
      </c>
      <c r="Q38" s="488"/>
      <c r="R38" s="490" t="str">
        <f t="shared" si="1"/>
        <v>燃料種選択</v>
      </c>
      <c r="S38" s="490">
        <f>IF(G38="","",VLOOKUP(G38,非_単位補正換算!$B$3:$C$16,2,FALSE))</f>
        <v>1</v>
      </c>
      <c r="T38" s="490">
        <f>IF(G38="","",IF(SUMIFS(非_単位補正換算!$D$19:$D$48,非_単位補正換算!$B$19:$B$48,'12燃料'!C38,非_単位補正換算!$C$19:$C$48,'12燃料'!G38)=0,1,SUMIFS(非_単位補正換算!$D$19:$D$48,非_単位補正換算!$B$19:$B$48,'12燃料'!C38,非_単位補正換算!$C$19:$C$48,'12燃料'!G38)))</f>
        <v>1</v>
      </c>
      <c r="U38" s="491" t="str">
        <f t="shared" si="2"/>
        <v/>
      </c>
      <c r="V38" s="491" t="str">
        <f t="shared" si="7"/>
        <v/>
      </c>
      <c r="W38" s="491" t="str">
        <f t="shared" si="8"/>
        <v/>
      </c>
      <c r="X38" s="490">
        <f>IF(C38="","",VLOOKUP(C38,非_まとめ表行番号!$B$3:$C$34,2,FALSE))</f>
        <v>11</v>
      </c>
      <c r="Y38" s="490">
        <f>IF(X38="","",VLOOKUP(X38,非_まとめ表行番号!$U$3:$V$56,2,FALSE))</f>
        <v>6</v>
      </c>
      <c r="Z38" s="492">
        <f>IF(C38="","",VLOOKUP(C38,非_係数!$B$5:$K$36,6,FALSE))</f>
        <v>1</v>
      </c>
      <c r="AA38" s="491" t="str">
        <f t="shared" si="9"/>
        <v/>
      </c>
      <c r="AB38" s="490">
        <f>IF(C38="","",VLOOKUP(C38,非_係数!$B$5:$K$36,7,FALSE))</f>
        <v>37.700000000000003</v>
      </c>
      <c r="AC38" s="490" t="str">
        <f t="shared" si="10"/>
        <v/>
      </c>
      <c r="AD38" s="490">
        <f>IF(C38="","",VLOOKUP(C38,非_係数!$B$5:$K$36,9,FALSE))</f>
        <v>1.8700000000000001E-2</v>
      </c>
      <c r="AE38" s="490" t="str">
        <f t="shared" si="11"/>
        <v/>
      </c>
      <c r="AF38" s="490">
        <f>IF(C38="","",VLOOKUP(C38,非_まとめ表行番号!$B$3:$D$34,3,FALSE))</f>
        <v>11</v>
      </c>
      <c r="AG38" s="490" t="str">
        <f t="shared" si="3"/>
        <v/>
      </c>
      <c r="AH38" s="84">
        <v>3</v>
      </c>
    </row>
    <row r="39" spans="1:34" ht="27.9" hidden="1" customHeight="1">
      <c r="A39" s="587"/>
      <c r="B39" s="725"/>
      <c r="C39" s="726"/>
      <c r="D39" s="726"/>
      <c r="E39" s="404"/>
      <c r="F39" s="406"/>
      <c r="G39" s="726"/>
      <c r="H39" s="540"/>
      <c r="I39" s="509"/>
      <c r="J39" s="541" t="str">
        <f t="shared" si="0"/>
        <v/>
      </c>
      <c r="K39" s="542" t="str">
        <f t="shared" si="4"/>
        <v/>
      </c>
      <c r="L39" s="543" t="str">
        <f>IF(C39="","",VLOOKUP(C39,非_単位!$N$3:$O$34,2,FALSE))</f>
        <v/>
      </c>
      <c r="M39" s="544" t="str">
        <f>IF(C39="","",VLOOKUP(C39,非_係数!$B$5:$F$36,2,FALSE))</f>
        <v/>
      </c>
      <c r="N39" s="545" t="str">
        <f t="shared" si="5"/>
        <v/>
      </c>
      <c r="O39" s="546" t="str">
        <f>IF(C39="","",VLOOKUP(C39,非_係数!$B$5:$F$36,4,FALSE))</f>
        <v/>
      </c>
      <c r="P39" s="547" t="str">
        <f t="shared" si="6"/>
        <v/>
      </c>
      <c r="Q39" s="488"/>
      <c r="R39" s="490" t="str">
        <f t="shared" si="1"/>
        <v/>
      </c>
      <c r="S39" s="490" t="str">
        <f>IF(G39="","",VLOOKUP(G39,非_単位補正換算!$B$3:$C$16,2,FALSE))</f>
        <v/>
      </c>
      <c r="T39" s="490" t="str">
        <f>IF(G39="","",IF(SUMIFS(非_単位補正換算!$D$19:$D$48,非_単位補正換算!$B$19:$B$48,'12燃料'!C39,非_単位補正換算!$C$19:$C$48,'12燃料'!G39)=0,1,SUMIFS(非_単位補正換算!$D$19:$D$48,非_単位補正換算!$B$19:$B$48,'12燃料'!C39,非_単位補正換算!$C$19:$C$48,'12燃料'!G39)))</f>
        <v/>
      </c>
      <c r="U39" s="491" t="str">
        <f t="shared" si="2"/>
        <v/>
      </c>
      <c r="V39" s="491" t="str">
        <f t="shared" si="7"/>
        <v/>
      </c>
      <c r="W39" s="491" t="str">
        <f t="shared" si="8"/>
        <v/>
      </c>
      <c r="X39" s="490" t="str">
        <f>IF(C39="","",VLOOKUP(C39,非_まとめ表行番号!$B$3:$C$34,2,FALSE))</f>
        <v/>
      </c>
      <c r="Y39" s="490" t="str">
        <f>IF(X39="","",VLOOKUP(X39,非_まとめ表行番号!$U$3:$V$56,2,FALSE))</f>
        <v/>
      </c>
      <c r="Z39" s="492" t="str">
        <f>IF(C39="","",VLOOKUP(C39,非_係数!$B$5:$K$36,6,FALSE))</f>
        <v/>
      </c>
      <c r="AA39" s="491" t="str">
        <f t="shared" si="9"/>
        <v/>
      </c>
      <c r="AB39" s="490" t="str">
        <f>IF(C39="","",VLOOKUP(C39,非_係数!$B$5:$K$36,7,FALSE))</f>
        <v/>
      </c>
      <c r="AC39" s="490" t="str">
        <f t="shared" si="10"/>
        <v/>
      </c>
      <c r="AD39" s="490" t="str">
        <f>IF(C39="","",VLOOKUP(C39,非_係数!$B$5:$K$36,9,FALSE))</f>
        <v/>
      </c>
      <c r="AE39" s="490" t="str">
        <f t="shared" si="11"/>
        <v/>
      </c>
      <c r="AF39" s="490" t="str">
        <f>IF(C39="","",VLOOKUP(C39,非_まとめ表行番号!$B$3:$D$34,3,FALSE))</f>
        <v/>
      </c>
      <c r="AG39" s="490" t="str">
        <f t="shared" si="3"/>
        <v/>
      </c>
      <c r="AH39" s="84">
        <v>3</v>
      </c>
    </row>
    <row r="40" spans="1:34" ht="27.9" hidden="1" customHeight="1">
      <c r="A40" s="587"/>
      <c r="B40" s="725"/>
      <c r="C40" s="726"/>
      <c r="D40" s="726"/>
      <c r="E40" s="404"/>
      <c r="F40" s="406"/>
      <c r="G40" s="726"/>
      <c r="H40" s="540"/>
      <c r="I40" s="509"/>
      <c r="J40" s="541" t="str">
        <f>IF(H40="","",IF(I40="",H40,H40*I40))</f>
        <v/>
      </c>
      <c r="K40" s="542" t="str">
        <f t="shared" si="4"/>
        <v/>
      </c>
      <c r="L40" s="543" t="str">
        <f>IF(C40="","",VLOOKUP(C40,非_単位!$N$3:$O$34,2,FALSE))</f>
        <v/>
      </c>
      <c r="M40" s="544" t="str">
        <f>IF(C40="","",VLOOKUP(C40,非_係数!$B$5:$F$36,2,FALSE))</f>
        <v/>
      </c>
      <c r="N40" s="545" t="str">
        <f t="shared" si="5"/>
        <v/>
      </c>
      <c r="O40" s="546" t="str">
        <f>IF(C40="","",VLOOKUP(C40,非_係数!$B$5:$F$36,4,FALSE))</f>
        <v/>
      </c>
      <c r="P40" s="547" t="str">
        <f t="shared" si="6"/>
        <v/>
      </c>
      <c r="Q40" s="488"/>
      <c r="R40" s="490" t="str">
        <f t="shared" si="1"/>
        <v/>
      </c>
      <c r="S40" s="490" t="str">
        <f>IF(G40="","",VLOOKUP(G40,非_単位補正換算!$B$3:$C$16,2,FALSE))</f>
        <v/>
      </c>
      <c r="T40" s="490" t="str">
        <f>IF(G40="","",IF(SUMIFS(非_単位補正換算!$D$19:$D$48,非_単位補正換算!$B$19:$B$48,'12燃料'!C40,非_単位補正換算!$C$19:$C$48,'12燃料'!G40)=0,1,SUMIFS(非_単位補正換算!$D$19:$D$48,非_単位補正換算!$B$19:$B$48,'12燃料'!C40,非_単位補正換算!$C$19:$C$48,'12燃料'!G40)))</f>
        <v/>
      </c>
      <c r="U40" s="491" t="str">
        <f t="shared" si="2"/>
        <v/>
      </c>
      <c r="V40" s="491" t="str">
        <f t="shared" si="7"/>
        <v/>
      </c>
      <c r="W40" s="491" t="str">
        <f t="shared" si="8"/>
        <v/>
      </c>
      <c r="X40" s="490" t="str">
        <f>IF(C40="","",VLOOKUP(C40,非_まとめ表行番号!$B$3:$C$34,2,FALSE))</f>
        <v/>
      </c>
      <c r="Y40" s="490" t="str">
        <f>IF(X40="","",VLOOKUP(X40,非_まとめ表行番号!$U$3:$V$56,2,FALSE))</f>
        <v/>
      </c>
      <c r="Z40" s="492" t="str">
        <f>IF(C40="","",VLOOKUP(C40,非_係数!$B$5:$K$36,6,FALSE))</f>
        <v/>
      </c>
      <c r="AA40" s="491" t="str">
        <f t="shared" si="9"/>
        <v/>
      </c>
      <c r="AB40" s="490" t="str">
        <f>IF(C40="","",VLOOKUP(C40,非_係数!$B$5:$K$36,7,FALSE))</f>
        <v/>
      </c>
      <c r="AC40" s="490" t="str">
        <f t="shared" si="10"/>
        <v/>
      </c>
      <c r="AD40" s="490" t="str">
        <f>IF(C40="","",VLOOKUP(C40,非_係数!$B$5:$K$36,9,FALSE))</f>
        <v/>
      </c>
      <c r="AE40" s="490" t="str">
        <f t="shared" si="11"/>
        <v/>
      </c>
      <c r="AF40" s="490" t="str">
        <f>IF(C40="","",VLOOKUP(C40,非_まとめ表行番号!$B$3:$D$34,3,FALSE))</f>
        <v/>
      </c>
      <c r="AG40" s="490" t="str">
        <f t="shared" si="3"/>
        <v/>
      </c>
      <c r="AH40" s="84">
        <v>3</v>
      </c>
    </row>
    <row r="41" spans="1:34" ht="27.9" hidden="1" customHeight="1">
      <c r="A41" s="587"/>
      <c r="B41" s="725"/>
      <c r="C41" s="726"/>
      <c r="D41" s="726"/>
      <c r="E41" s="404"/>
      <c r="F41" s="406"/>
      <c r="G41" s="726"/>
      <c r="H41" s="540"/>
      <c r="I41" s="509"/>
      <c r="J41" s="541" t="str">
        <f t="shared" si="0"/>
        <v/>
      </c>
      <c r="K41" s="542" t="str">
        <f t="shared" ref="K41" si="12">IF(U41="","",U41)</f>
        <v/>
      </c>
      <c r="L41" s="543" t="str">
        <f>IF(C41="","",VLOOKUP(C41,非_単位!$N$3:$O$34,2,FALSE))</f>
        <v/>
      </c>
      <c r="M41" s="544" t="str">
        <f>IF(C41="","",VLOOKUP(C41,非_係数!$B$5:$F$36,2,FALSE))</f>
        <v/>
      </c>
      <c r="N41" s="545" t="str">
        <f t="shared" ref="N41" si="13">V41</f>
        <v/>
      </c>
      <c r="O41" s="546" t="str">
        <f>IF(C41="","",VLOOKUP(C41,非_係数!$B$5:$F$36,4,FALSE))</f>
        <v/>
      </c>
      <c r="P41" s="547" t="str">
        <f t="shared" ref="P41" si="14">W41</f>
        <v/>
      </c>
      <c r="Q41" s="488"/>
      <c r="R41" s="490" t="str">
        <f t="shared" si="1"/>
        <v/>
      </c>
      <c r="S41" s="490" t="str">
        <f>IF(G41="","",VLOOKUP(G41,非_単位補正換算!$B$3:$C$16,2,FALSE))</f>
        <v/>
      </c>
      <c r="T41" s="490" t="str">
        <f>IF(G41="","",IF(SUMIFS(非_単位補正換算!$D$19:$D$48,非_単位補正換算!$B$19:$B$48,'12燃料'!C41,非_単位補正換算!$C$19:$C$48,'12燃料'!G41)=0,1,SUMIFS(非_単位補正換算!$D$19:$D$48,非_単位補正換算!$B$19:$B$48,'12燃料'!C41,非_単位補正換算!$C$19:$C$48,'12燃料'!G41)))</f>
        <v/>
      </c>
      <c r="U41" s="491" t="str">
        <f t="shared" si="2"/>
        <v/>
      </c>
      <c r="V41" s="491" t="str">
        <f t="shared" ref="V41" si="15">IF(AND(M41&lt;&gt;"",U41&lt;&gt;""),U41*M41,"")</f>
        <v/>
      </c>
      <c r="W41" s="491" t="str">
        <f t="shared" ref="W41" si="16">IF(AND(O41&lt;&gt;"",U41&lt;&gt;"",M41&lt;&gt;""),U41*M41*O41*44/12,"")</f>
        <v/>
      </c>
      <c r="X41" s="490" t="str">
        <f>IF(C41="","",VLOOKUP(C41,非_まとめ表行番号!$B$3:$C$34,2,FALSE))</f>
        <v/>
      </c>
      <c r="Y41" s="490" t="str">
        <f>IF(X41="","",VLOOKUP(X41,非_まとめ表行番号!$U$3:$V$56,2,FALSE))</f>
        <v/>
      </c>
      <c r="Z41" s="492" t="str">
        <f>IF(C41="","",VLOOKUP(C41,非_係数!$B$5:$K$36,6,FALSE))</f>
        <v/>
      </c>
      <c r="AA41" s="491" t="str">
        <f t="shared" ref="AA41" si="17">IF(U41="","",U41*Z41)</f>
        <v/>
      </c>
      <c r="AB41" s="490" t="str">
        <f>IF(C41="","",VLOOKUP(C41,非_係数!$B$5:$K$36,7,FALSE))</f>
        <v/>
      </c>
      <c r="AC41" s="490" t="str">
        <f t="shared" ref="AC41" si="18">IF(AA41="","",AA41*AB41)</f>
        <v/>
      </c>
      <c r="AD41" s="490" t="str">
        <f>IF(C41="","",VLOOKUP(C41,非_係数!$B$5:$K$36,9,FALSE))</f>
        <v/>
      </c>
      <c r="AE41" s="490" t="str">
        <f t="shared" ref="AE41" si="19">IF(AC41="","",AC41*AD41*44/12)</f>
        <v/>
      </c>
      <c r="AF41" s="490" t="str">
        <f>IF(C41="","",VLOOKUP(C41,非_まとめ表行番号!$B$3:$D$34,3,FALSE))</f>
        <v/>
      </c>
      <c r="AG41" s="490" t="str">
        <f t="shared" si="3"/>
        <v/>
      </c>
      <c r="AH41" s="84">
        <v>3</v>
      </c>
    </row>
    <row r="42" spans="1:34" ht="27.9" hidden="1" customHeight="1">
      <c r="A42" s="587"/>
      <c r="B42" s="725"/>
      <c r="C42" s="726"/>
      <c r="D42" s="726"/>
      <c r="E42" s="404"/>
      <c r="F42" s="406"/>
      <c r="G42" s="726"/>
      <c r="H42" s="540"/>
      <c r="I42" s="509"/>
      <c r="J42" s="541" t="str">
        <f t="shared" si="0"/>
        <v/>
      </c>
      <c r="K42" s="542" t="str">
        <f t="shared" ref="K42" si="20">IF(U42="","",U42)</f>
        <v/>
      </c>
      <c r="L42" s="543" t="str">
        <f>IF(C42="","",VLOOKUP(C42,非_単位!$N$3:$O$34,2,FALSE))</f>
        <v/>
      </c>
      <c r="M42" s="544" t="str">
        <f>IF(C42="","",VLOOKUP(C42,非_係数!$B$5:$F$36,2,FALSE))</f>
        <v/>
      </c>
      <c r="N42" s="545" t="str">
        <f t="shared" ref="N42" si="21">V42</f>
        <v/>
      </c>
      <c r="O42" s="546" t="str">
        <f>IF(C42="","",VLOOKUP(C42,非_係数!$B$5:$F$36,4,FALSE))</f>
        <v/>
      </c>
      <c r="P42" s="547" t="str">
        <f t="shared" ref="P42" si="22">W42</f>
        <v/>
      </c>
      <c r="Q42" s="488"/>
      <c r="R42" s="490" t="str">
        <f t="shared" si="1"/>
        <v/>
      </c>
      <c r="S42" s="490" t="str">
        <f>IF(G42="","",VLOOKUP(G42,非_単位補正換算!$B$3:$C$16,2,FALSE))</f>
        <v/>
      </c>
      <c r="T42" s="490" t="str">
        <f>IF(G42="","",IF(SUMIFS(非_単位補正換算!$D$19:$D$48,非_単位補正換算!$B$19:$B$48,'12燃料'!C42,非_単位補正換算!$C$19:$C$48,'12燃料'!G42)=0,1,SUMIFS(非_単位補正換算!$D$19:$D$48,非_単位補正換算!$B$19:$B$48,'12燃料'!C42,非_単位補正換算!$C$19:$C$48,'12燃料'!G42)))</f>
        <v/>
      </c>
      <c r="U42" s="491" t="str">
        <f t="shared" si="2"/>
        <v/>
      </c>
      <c r="V42" s="491" t="str">
        <f t="shared" ref="V42" si="23">IF(AND(M42&lt;&gt;"",U42&lt;&gt;""),U42*M42,"")</f>
        <v/>
      </c>
      <c r="W42" s="491" t="str">
        <f t="shared" ref="W42" si="24">IF(AND(O42&lt;&gt;"",U42&lt;&gt;"",M42&lt;&gt;""),U42*M42*O42*44/12,"")</f>
        <v/>
      </c>
      <c r="X42" s="490" t="str">
        <f>IF(C42="","",VLOOKUP(C42,非_まとめ表行番号!$B$3:$C$34,2,FALSE))</f>
        <v/>
      </c>
      <c r="Y42" s="490" t="str">
        <f>IF(X42="","",VLOOKUP(X42,非_まとめ表行番号!$U$3:$V$56,2,FALSE))</f>
        <v/>
      </c>
      <c r="Z42" s="492" t="str">
        <f>IF(C42="","",VLOOKUP(C42,非_係数!$B$5:$K$36,6,FALSE))</f>
        <v/>
      </c>
      <c r="AA42" s="491" t="str">
        <f t="shared" ref="AA42" si="25">IF(U42="","",U42*Z42)</f>
        <v/>
      </c>
      <c r="AB42" s="490" t="str">
        <f>IF(C42="","",VLOOKUP(C42,非_係数!$B$5:$K$36,7,FALSE))</f>
        <v/>
      </c>
      <c r="AC42" s="490" t="str">
        <f t="shared" ref="AC42" si="26">IF(AA42="","",AA42*AB42)</f>
        <v/>
      </c>
      <c r="AD42" s="490" t="str">
        <f>IF(C42="","",VLOOKUP(C42,非_係数!$B$5:$K$36,9,FALSE))</f>
        <v/>
      </c>
      <c r="AE42" s="490" t="str">
        <f t="shared" ref="AE42" si="27">IF(AC42="","",AC42*AD42*44/12)</f>
        <v/>
      </c>
      <c r="AF42" s="490" t="str">
        <f>IF(C42="","",VLOOKUP(C42,非_まとめ表行番号!$B$3:$D$34,3,FALSE))</f>
        <v/>
      </c>
      <c r="AG42" s="490" t="str">
        <f t="shared" si="3"/>
        <v/>
      </c>
      <c r="AH42" s="84">
        <v>3</v>
      </c>
    </row>
    <row r="43" spans="1:34" ht="27.9" customHeight="1" thickBot="1">
      <c r="A43" s="587"/>
      <c r="B43" s="727"/>
      <c r="C43" s="728"/>
      <c r="D43" s="728"/>
      <c r="E43" s="548"/>
      <c r="F43" s="549"/>
      <c r="G43" s="728"/>
      <c r="H43" s="550"/>
      <c r="I43" s="551"/>
      <c r="J43" s="552" t="str">
        <f t="shared" si="0"/>
        <v/>
      </c>
      <c r="K43" s="553" t="str">
        <f t="shared" si="4"/>
        <v/>
      </c>
      <c r="L43" s="554" t="str">
        <f>IF(C43="","",VLOOKUP(C43,非_単位!$N$3:$O$34,2,FALSE))</f>
        <v/>
      </c>
      <c r="M43" s="555" t="str">
        <f>IF(C43="","",VLOOKUP(C43,非_係数!$B$5:$F$36,2,FALSE))</f>
        <v/>
      </c>
      <c r="N43" s="556" t="str">
        <f t="shared" si="5"/>
        <v/>
      </c>
      <c r="O43" s="557" t="str">
        <f>IF(C43="","",VLOOKUP(C43,非_係数!$B$5:$F$36,4,FALSE))</f>
        <v/>
      </c>
      <c r="P43" s="558" t="str">
        <f t="shared" si="6"/>
        <v/>
      </c>
      <c r="Q43" s="488"/>
      <c r="R43" s="490" t="str">
        <f t="shared" si="1"/>
        <v/>
      </c>
      <c r="S43" s="490" t="str">
        <f>IF(G43="","",VLOOKUP(G43,非_単位補正換算!$B$3:$C$16,2,FALSE))</f>
        <v/>
      </c>
      <c r="T43" s="490" t="str">
        <f>IF(G43="","",IF(SUMIFS(非_単位補正換算!$D$19:$D$48,非_単位補正換算!$B$19:$B$48,'12燃料'!C43,非_単位補正換算!$C$19:$C$48,'12燃料'!G43)=0,1,SUMIFS(非_単位補正換算!$D$19:$D$48,非_単位補正換算!$B$19:$B$48,'12燃料'!C43,非_単位補正換算!$C$19:$C$48,'12燃料'!G43)))</f>
        <v/>
      </c>
      <c r="U43" s="491" t="str">
        <f t="shared" si="2"/>
        <v/>
      </c>
      <c r="V43" s="491" t="str">
        <f t="shared" si="7"/>
        <v/>
      </c>
      <c r="W43" s="491" t="str">
        <f t="shared" si="8"/>
        <v/>
      </c>
      <c r="X43" s="490" t="str">
        <f>IF(C43="","",VLOOKUP(C43,非_まとめ表行番号!$B$3:$C$34,2,FALSE))</f>
        <v/>
      </c>
      <c r="Y43" s="490" t="str">
        <f>IF(X43="","",VLOOKUP(X43,非_まとめ表行番号!$U$3:$V$56,2,FALSE))</f>
        <v/>
      </c>
      <c r="Z43" s="492" t="str">
        <f>IF(C43="","",VLOOKUP(C43,非_係数!$B$5:$K$36,6,FALSE))</f>
        <v/>
      </c>
      <c r="AA43" s="491" t="str">
        <f t="shared" si="9"/>
        <v/>
      </c>
      <c r="AB43" s="490" t="str">
        <f>IF(C43="","",VLOOKUP(C43,非_係数!$B$5:$K$36,7,FALSE))</f>
        <v/>
      </c>
      <c r="AC43" s="490" t="str">
        <f t="shared" si="10"/>
        <v/>
      </c>
      <c r="AD43" s="490" t="str">
        <f>IF(C43="","",VLOOKUP(C43,非_係数!$B$5:$K$36,9,FALSE))</f>
        <v/>
      </c>
      <c r="AE43" s="490" t="str">
        <f t="shared" si="11"/>
        <v/>
      </c>
      <c r="AF43" s="490" t="str">
        <f>IF(C43="","",VLOOKUP(C43,非_まとめ表行番号!$B$3:$D$34,3,FALSE))</f>
        <v/>
      </c>
      <c r="AG43" s="490" t="str">
        <f t="shared" si="3"/>
        <v/>
      </c>
      <c r="AH43" s="84">
        <v>3</v>
      </c>
    </row>
    <row r="44" spans="1:34" ht="27.9" customHeight="1" thickTop="1" thickBot="1">
      <c r="A44" s="609"/>
      <c r="B44" s="1177" t="s">
        <v>2472</v>
      </c>
      <c r="C44" s="325"/>
      <c r="D44" s="325"/>
      <c r="E44" s="325"/>
      <c r="F44" s="325"/>
      <c r="G44" s="325"/>
      <c r="H44" s="325"/>
      <c r="I44" s="325"/>
      <c r="J44" s="325"/>
      <c r="K44" s="325"/>
      <c r="L44" s="325"/>
      <c r="M44" s="325"/>
      <c r="N44" s="325"/>
      <c r="O44" s="325"/>
      <c r="P44" s="326"/>
      <c r="Q44" s="488"/>
      <c r="U44" s="489"/>
      <c r="V44" s="489"/>
      <c r="W44" s="489"/>
    </row>
    <row r="45" spans="1:34" ht="27.9" customHeight="1" thickTop="1">
      <c r="A45" s="709" t="s">
        <v>2052</v>
      </c>
      <c r="B45" s="525"/>
      <c r="C45" s="526"/>
      <c r="D45" s="526"/>
      <c r="E45" s="527"/>
      <c r="F45" s="528"/>
      <c r="G45" s="528"/>
      <c r="H45" s="559"/>
      <c r="I45" s="530"/>
      <c r="J45" s="531" t="str">
        <f>IF(H45="","",IF(I45="",H45,H45*I45))</f>
        <v/>
      </c>
      <c r="K45" s="532" t="str">
        <f>IF(U45="","",-1*U45)</f>
        <v/>
      </c>
      <c r="L45" s="533" t="str">
        <f>IF(C45="","",VLOOKUP(C45,非_単位!$N$3:$O$34,2,FALSE))</f>
        <v/>
      </c>
      <c r="M45" s="534" t="str">
        <f>IF(C45="","",VLOOKUP(C45,非_係数!$B$5:$F$36,2,FALSE))</f>
        <v/>
      </c>
      <c r="N45" s="535" t="str">
        <f>IF(V45="","",-1*V45)</f>
        <v/>
      </c>
      <c r="O45" s="536" t="str">
        <f>IF(C45="","",VLOOKUP(C45,非_係数!$B$5:$F$36,4,FALSE))</f>
        <v/>
      </c>
      <c r="P45" s="537" t="str">
        <f>IF(W45="","",-1*W45)</f>
        <v/>
      </c>
      <c r="Q45" s="488"/>
      <c r="R45" s="490" t="str">
        <f t="shared" ref="R45:R59" si="28">IF(B45="","","燃料種選択")</f>
        <v/>
      </c>
      <c r="S45" s="490" t="str">
        <f>IF(G45="","",VLOOKUP(G45,非_単位補正換算!$B$3:$C$16,2,FALSE))</f>
        <v/>
      </c>
      <c r="T45" s="490" t="str">
        <f>IF(G45="","",IF(SUMIFS(非_単位補正換算!$D$19:$D$48,非_単位補正換算!$B$19:$B$48,'12燃料'!C45,非_単位補正換算!$C$19:$C$48,'12燃料'!G45)=0,1,SUMIFS(非_単位補正換算!$D$19:$D$48,非_単位補正換算!$B$19:$B$48,'12燃料'!C45,非_単位補正換算!$C$19:$C$48,'12燃料'!G45)))</f>
        <v/>
      </c>
      <c r="U45" s="491" t="str">
        <f t="shared" ref="U45:U59" si="29">IF(AND(J45&lt;&gt;"",S45&lt;&gt;"",T45&lt;&gt;""),-1*J45/S45*T45,"")</f>
        <v/>
      </c>
      <c r="V45" s="491" t="str">
        <f t="shared" si="7"/>
        <v/>
      </c>
      <c r="W45" s="491" t="str">
        <f t="shared" si="8"/>
        <v/>
      </c>
      <c r="X45" s="490" t="str">
        <f>IF(C45="","",VLOOKUP(C45,非_まとめ表行番号!$B$3:$C$34,2,FALSE))</f>
        <v/>
      </c>
      <c r="Y45" s="490" t="str">
        <f>IF(X45="","",VLOOKUP(X45,非_まとめ表行番号!$U$3:$V$56,2,FALSE))</f>
        <v/>
      </c>
      <c r="Z45" s="492" t="str">
        <f>IF(C45="","",VLOOKUP(C45,非_係数!$B$5:$K$36,6,FALSE))</f>
        <v/>
      </c>
      <c r="AA45" s="491" t="str">
        <f t="shared" si="9"/>
        <v/>
      </c>
      <c r="AB45" s="490" t="str">
        <f>IF(C45="","",VLOOKUP(C45,非_係数!$B$5:$K$36,7,FALSE))</f>
        <v/>
      </c>
      <c r="AC45" s="490" t="str">
        <f>IF(AA45="","",AA45*AB45)</f>
        <v/>
      </c>
      <c r="AD45" s="490" t="str">
        <f>IF(C45="","",VLOOKUP(C45,非_係数!$B$5:$K$36,9,FALSE))</f>
        <v/>
      </c>
      <c r="AE45" s="490" t="str">
        <f>IF(AC45="","",AC45*AD45*44/12)</f>
        <v/>
      </c>
      <c r="AF45" s="490" t="str">
        <f>IF(C45="","",VLOOKUP(C45,非_まとめ表行番号!$B$3:$D$34,3,FALSE))</f>
        <v/>
      </c>
      <c r="AG45" s="490" t="str">
        <f t="shared" ref="AG45:AG59" si="30">IF(F45="無","乗率_除外する排出量","")</f>
        <v/>
      </c>
      <c r="AH45" s="84">
        <v>1</v>
      </c>
    </row>
    <row r="46" spans="1:34" ht="27.9" customHeight="1">
      <c r="A46" s="608"/>
      <c r="B46" s="538"/>
      <c r="C46" s="539"/>
      <c r="D46" s="539"/>
      <c r="E46" s="404"/>
      <c r="F46" s="406"/>
      <c r="G46" s="406"/>
      <c r="H46" s="560"/>
      <c r="I46" s="509"/>
      <c r="J46" s="541" t="str">
        <f t="shared" ref="J46:J58" si="31">IF(H46="","",IF(I46="",H46,H46*I46))</f>
        <v/>
      </c>
      <c r="K46" s="542" t="str">
        <f t="shared" ref="K46:K59" si="32">IF(U46="","",-1*U46)</f>
        <v/>
      </c>
      <c r="L46" s="543" t="str">
        <f>IF(C46="","",VLOOKUP(C46,非_単位!$N$3:$O$34,2,FALSE))</f>
        <v/>
      </c>
      <c r="M46" s="544" t="str">
        <f>IF(C46="","",VLOOKUP(C46,非_係数!$B$5:$F$36,2,FALSE))</f>
        <v/>
      </c>
      <c r="N46" s="545" t="str">
        <f t="shared" ref="N46:N59" si="33">IF(V46="","",-1*V46)</f>
        <v/>
      </c>
      <c r="O46" s="546" t="str">
        <f>IF(C46="","",VLOOKUP(C46,非_係数!$B$5:$F$36,4,FALSE))</f>
        <v/>
      </c>
      <c r="P46" s="547" t="str">
        <f t="shared" ref="P46:P59" si="34">IF(W46="","",-1*W46)</f>
        <v/>
      </c>
      <c r="Q46" s="488"/>
      <c r="R46" s="490" t="str">
        <f t="shared" si="28"/>
        <v/>
      </c>
      <c r="S46" s="490" t="str">
        <f>IF(G46="","",VLOOKUP(G46,非_単位補正換算!$B$3:$C$16,2,FALSE))</f>
        <v/>
      </c>
      <c r="T46" s="490" t="str">
        <f>IF(G46="","",IF(SUMIFS(非_単位補正換算!$D$19:$D$48,非_単位補正換算!$B$19:$B$48,'12燃料'!C46,非_単位補正換算!$C$19:$C$48,'12燃料'!G46)=0,1,SUMIFS(非_単位補正換算!$D$19:$D$48,非_単位補正換算!$B$19:$B$48,'12燃料'!C46,非_単位補正換算!$C$19:$C$48,'12燃料'!G46)))</f>
        <v/>
      </c>
      <c r="U46" s="491" t="str">
        <f t="shared" si="29"/>
        <v/>
      </c>
      <c r="V46" s="491" t="str">
        <f t="shared" si="7"/>
        <v/>
      </c>
      <c r="W46" s="491" t="str">
        <f t="shared" si="8"/>
        <v/>
      </c>
      <c r="X46" s="490" t="str">
        <f>IF(C46="","",VLOOKUP(C46,非_まとめ表行番号!$B$3:$C$34,2,FALSE))</f>
        <v/>
      </c>
      <c r="Y46" s="490" t="str">
        <f>IF(X46="","",VLOOKUP(X46,非_まとめ表行番号!$U$3:$V$56,2,FALSE))</f>
        <v/>
      </c>
      <c r="Z46" s="492" t="str">
        <f>IF(C46="","",VLOOKUP(C46,非_係数!$B$5:$K$36,6,FALSE))</f>
        <v/>
      </c>
      <c r="AA46" s="491" t="str">
        <f t="shared" si="9"/>
        <v/>
      </c>
      <c r="AB46" s="490" t="str">
        <f>IF(C46="","",VLOOKUP(C46,非_係数!$B$5:$K$36,7,FALSE))</f>
        <v/>
      </c>
      <c r="AC46" s="490" t="str">
        <f t="shared" ref="AC46:AC59" si="35">IF(AA46="","",AA46*AB46)</f>
        <v/>
      </c>
      <c r="AD46" s="490" t="str">
        <f>IF(C46="","",VLOOKUP(C46,非_係数!$B$5:$K$36,9,FALSE))</f>
        <v/>
      </c>
      <c r="AE46" s="490" t="str">
        <f t="shared" ref="AE46:AE59" si="36">IF(AC46="","",AC46*AD46*44/12)</f>
        <v/>
      </c>
      <c r="AF46" s="490" t="str">
        <f>IF(C46="","",VLOOKUP(C46,非_まとめ表行番号!$B$3:$D$34,3,FALSE))</f>
        <v/>
      </c>
      <c r="AG46" s="490" t="str">
        <f t="shared" si="30"/>
        <v/>
      </c>
      <c r="AH46" s="84">
        <v>1</v>
      </c>
    </row>
    <row r="47" spans="1:34" ht="27.9" customHeight="1">
      <c r="A47" s="608"/>
      <c r="B47" s="538"/>
      <c r="C47" s="539"/>
      <c r="D47" s="539"/>
      <c r="E47" s="404"/>
      <c r="F47" s="406"/>
      <c r="G47" s="406"/>
      <c r="H47" s="560"/>
      <c r="I47" s="509"/>
      <c r="J47" s="541" t="str">
        <f t="shared" si="31"/>
        <v/>
      </c>
      <c r="K47" s="542" t="str">
        <f t="shared" si="32"/>
        <v/>
      </c>
      <c r="L47" s="543" t="str">
        <f>IF(C47="","",VLOOKUP(C47,非_単位!$N$3:$O$34,2,FALSE))</f>
        <v/>
      </c>
      <c r="M47" s="544" t="str">
        <f>IF(C47="","",VLOOKUP(C47,非_係数!$B$5:$F$36,2,FALSE))</f>
        <v/>
      </c>
      <c r="N47" s="545" t="str">
        <f t="shared" si="33"/>
        <v/>
      </c>
      <c r="O47" s="546" t="str">
        <f>IF(C47="","",VLOOKUP(C47,非_係数!$B$5:$F$36,4,FALSE))</f>
        <v/>
      </c>
      <c r="P47" s="547" t="str">
        <f t="shared" si="34"/>
        <v/>
      </c>
      <c r="Q47" s="488"/>
      <c r="R47" s="490" t="str">
        <f t="shared" si="28"/>
        <v/>
      </c>
      <c r="S47" s="490" t="str">
        <f>IF(G47="","",VLOOKUP(G47,非_単位補正換算!$B$3:$C$16,2,FALSE))</f>
        <v/>
      </c>
      <c r="T47" s="490" t="str">
        <f>IF(G47="","",IF(SUMIFS(非_単位補正換算!$D$19:$D$48,非_単位補正換算!$B$19:$B$48,'12燃料'!C47,非_単位補正換算!$C$19:$C$48,'12燃料'!G47)=0,1,SUMIFS(非_単位補正換算!$D$19:$D$48,非_単位補正換算!$B$19:$B$48,'12燃料'!C47,非_単位補正換算!$C$19:$C$48,'12燃料'!G47)))</f>
        <v/>
      </c>
      <c r="U47" s="491" t="str">
        <f t="shared" si="29"/>
        <v/>
      </c>
      <c r="V47" s="491" t="str">
        <f t="shared" si="7"/>
        <v/>
      </c>
      <c r="W47" s="491" t="str">
        <f t="shared" si="8"/>
        <v/>
      </c>
      <c r="X47" s="490" t="str">
        <f>IF(C47="","",VLOOKUP(C47,非_まとめ表行番号!$B$3:$C$34,2,FALSE))</f>
        <v/>
      </c>
      <c r="Y47" s="490" t="str">
        <f>IF(X47="","",VLOOKUP(X47,非_まとめ表行番号!$U$3:$V$56,2,FALSE))</f>
        <v/>
      </c>
      <c r="Z47" s="492" t="str">
        <f>IF(C47="","",VLOOKUP(C47,非_係数!$B$5:$K$36,6,FALSE))</f>
        <v/>
      </c>
      <c r="AA47" s="491" t="str">
        <f t="shared" si="9"/>
        <v/>
      </c>
      <c r="AB47" s="490" t="str">
        <f>IF(C47="","",VLOOKUP(C47,非_係数!$B$5:$K$36,7,FALSE))</f>
        <v/>
      </c>
      <c r="AC47" s="490" t="str">
        <f t="shared" si="35"/>
        <v/>
      </c>
      <c r="AD47" s="490" t="str">
        <f>IF(C47="","",VLOOKUP(C47,非_係数!$B$5:$K$36,9,FALSE))</f>
        <v/>
      </c>
      <c r="AE47" s="490" t="str">
        <f t="shared" si="36"/>
        <v/>
      </c>
      <c r="AF47" s="490" t="str">
        <f>IF(C47="","",VLOOKUP(C47,非_まとめ表行番号!$B$3:$D$34,3,FALSE))</f>
        <v/>
      </c>
      <c r="AG47" s="490" t="str">
        <f t="shared" si="30"/>
        <v/>
      </c>
      <c r="AH47" s="84">
        <v>1</v>
      </c>
    </row>
    <row r="48" spans="1:34" ht="27.9" customHeight="1">
      <c r="A48" s="608"/>
      <c r="B48" s="538"/>
      <c r="C48" s="539"/>
      <c r="D48" s="539"/>
      <c r="E48" s="404"/>
      <c r="F48" s="406"/>
      <c r="G48" s="406"/>
      <c r="H48" s="560"/>
      <c r="I48" s="509"/>
      <c r="J48" s="541" t="str">
        <f t="shared" si="31"/>
        <v/>
      </c>
      <c r="K48" s="542" t="str">
        <f t="shared" si="32"/>
        <v/>
      </c>
      <c r="L48" s="543" t="str">
        <f>IF(C48="","",VLOOKUP(C48,非_単位!$N$3:$O$34,2,FALSE))</f>
        <v/>
      </c>
      <c r="M48" s="544" t="str">
        <f>IF(C48="","",VLOOKUP(C48,非_係数!$B$5:$F$36,2,FALSE))</f>
        <v/>
      </c>
      <c r="N48" s="545" t="str">
        <f t="shared" si="33"/>
        <v/>
      </c>
      <c r="O48" s="546" t="str">
        <f>IF(C48="","",VLOOKUP(C48,非_係数!$B$5:$F$36,4,FALSE))</f>
        <v/>
      </c>
      <c r="P48" s="547" t="str">
        <f t="shared" si="34"/>
        <v/>
      </c>
      <c r="Q48" s="488"/>
      <c r="R48" s="490" t="str">
        <f t="shared" si="28"/>
        <v/>
      </c>
      <c r="S48" s="490" t="str">
        <f>IF(G48="","",VLOOKUP(G48,非_単位補正換算!$B$3:$C$16,2,FALSE))</f>
        <v/>
      </c>
      <c r="T48" s="490" t="str">
        <f>IF(G48="","",IF(SUMIFS(非_単位補正換算!$D$19:$D$48,非_単位補正換算!$B$19:$B$48,'12燃料'!C48,非_単位補正換算!$C$19:$C$48,'12燃料'!G48)=0,1,SUMIFS(非_単位補正換算!$D$19:$D$48,非_単位補正換算!$B$19:$B$48,'12燃料'!C48,非_単位補正換算!$C$19:$C$48,'12燃料'!G48)))</f>
        <v/>
      </c>
      <c r="U48" s="491" t="str">
        <f t="shared" si="29"/>
        <v/>
      </c>
      <c r="V48" s="491" t="str">
        <f t="shared" si="7"/>
        <v/>
      </c>
      <c r="W48" s="491" t="str">
        <f t="shared" si="8"/>
        <v/>
      </c>
      <c r="X48" s="490" t="str">
        <f>IF(C48="","",VLOOKUP(C48,非_まとめ表行番号!$B$3:$C$34,2,FALSE))</f>
        <v/>
      </c>
      <c r="Y48" s="490" t="str">
        <f>IF(X48="","",VLOOKUP(X48,非_まとめ表行番号!$U$3:$V$56,2,FALSE))</f>
        <v/>
      </c>
      <c r="Z48" s="492" t="str">
        <f>IF(C48="","",VLOOKUP(C48,非_係数!$B$5:$K$36,6,FALSE))</f>
        <v/>
      </c>
      <c r="AA48" s="491" t="str">
        <f t="shared" si="9"/>
        <v/>
      </c>
      <c r="AB48" s="490" t="str">
        <f>IF(C48="","",VLOOKUP(C48,非_係数!$B$5:$K$36,7,FALSE))</f>
        <v/>
      </c>
      <c r="AC48" s="490" t="str">
        <f t="shared" si="35"/>
        <v/>
      </c>
      <c r="AD48" s="490" t="str">
        <f>IF(C48="","",VLOOKUP(C48,非_係数!$B$5:$K$36,9,FALSE))</f>
        <v/>
      </c>
      <c r="AE48" s="490" t="str">
        <f t="shared" si="36"/>
        <v/>
      </c>
      <c r="AF48" s="490" t="str">
        <f>IF(C48="","",VLOOKUP(C48,非_まとめ表行番号!$B$3:$D$34,3,FALSE))</f>
        <v/>
      </c>
      <c r="AG48" s="490" t="str">
        <f t="shared" si="30"/>
        <v/>
      </c>
      <c r="AH48" s="84">
        <v>1</v>
      </c>
    </row>
    <row r="49" spans="1:34" ht="27.9" customHeight="1" thickBot="1">
      <c r="A49" s="710"/>
      <c r="B49" s="711"/>
      <c r="C49" s="712"/>
      <c r="D49" s="712"/>
      <c r="E49" s="404"/>
      <c r="F49" s="406"/>
      <c r="G49" s="722"/>
      <c r="H49" s="743"/>
      <c r="I49" s="509"/>
      <c r="J49" s="729" t="str">
        <f t="shared" si="31"/>
        <v/>
      </c>
      <c r="K49" s="730" t="str">
        <f t="shared" si="32"/>
        <v/>
      </c>
      <c r="L49" s="731" t="str">
        <f>IF(C49="","",VLOOKUP(C49,非_単位!$N$3:$O$34,2,FALSE))</f>
        <v/>
      </c>
      <c r="M49" s="732" t="str">
        <f>IF(C49="","",VLOOKUP(C49,非_係数!$B$5:$F$36,2,FALSE))</f>
        <v/>
      </c>
      <c r="N49" s="733" t="str">
        <f t="shared" si="33"/>
        <v/>
      </c>
      <c r="O49" s="734" t="str">
        <f>IF(C49="","",VLOOKUP(C49,非_係数!$B$5:$F$36,4,FALSE))</f>
        <v/>
      </c>
      <c r="P49" s="735" t="str">
        <f t="shared" si="34"/>
        <v/>
      </c>
      <c r="Q49" s="488"/>
      <c r="R49" s="577" t="str">
        <f t="shared" si="28"/>
        <v/>
      </c>
      <c r="S49" s="577" t="str">
        <f>IF(G49="","",VLOOKUP(G49,非_単位補正換算!$B$3:$C$16,2,FALSE))</f>
        <v/>
      </c>
      <c r="T49" s="577" t="str">
        <f>IF(G49="","",IF(SUMIFS(非_単位補正換算!$D$19:$D$48,非_単位補正換算!$B$19:$B$48,'12燃料'!C49,非_単位補正換算!$C$19:$C$48,'12燃料'!G49)=0,1,SUMIFS(非_単位補正換算!$D$19:$D$48,非_単位補正換算!$B$19:$B$48,'12燃料'!C49,非_単位補正換算!$C$19:$C$48,'12燃料'!G49)))</f>
        <v/>
      </c>
      <c r="U49" s="748" t="str">
        <f t="shared" si="29"/>
        <v/>
      </c>
      <c r="V49" s="748" t="str">
        <f t="shared" si="7"/>
        <v/>
      </c>
      <c r="W49" s="748" t="str">
        <f t="shared" si="8"/>
        <v/>
      </c>
      <c r="X49" s="577" t="str">
        <f>IF(C49="","",VLOOKUP(C49,非_まとめ表行番号!$B$3:$C$34,2,FALSE))</f>
        <v/>
      </c>
      <c r="Y49" s="577" t="str">
        <f>IF(X49="","",VLOOKUP(X49,非_まとめ表行番号!$U$3:$V$56,2,FALSE))</f>
        <v/>
      </c>
      <c r="Z49" s="749" t="str">
        <f>IF(C49="","",VLOOKUP(C49,非_係数!$B$5:$K$36,6,FALSE))</f>
        <v/>
      </c>
      <c r="AA49" s="748" t="str">
        <f t="shared" si="9"/>
        <v/>
      </c>
      <c r="AB49" s="577" t="str">
        <f>IF(C49="","",VLOOKUP(C49,非_係数!$B$5:$K$36,7,FALSE))</f>
        <v/>
      </c>
      <c r="AC49" s="577" t="str">
        <f t="shared" si="35"/>
        <v/>
      </c>
      <c r="AD49" s="577" t="str">
        <f>IF(C49="","",VLOOKUP(C49,非_係数!$B$5:$K$36,9,FALSE))</f>
        <v/>
      </c>
      <c r="AE49" s="577" t="str">
        <f t="shared" si="36"/>
        <v/>
      </c>
      <c r="AF49" s="577" t="str">
        <f>IF(C49="","",VLOOKUP(C49,非_まとめ表行番号!$B$3:$D$34,3,FALSE))</f>
        <v/>
      </c>
      <c r="AG49" s="577" t="str">
        <f t="shared" si="30"/>
        <v/>
      </c>
      <c r="AH49" s="84">
        <v>1</v>
      </c>
    </row>
    <row r="50" spans="1:34" ht="27.9" customHeight="1" thickTop="1">
      <c r="A50" s="629" t="s">
        <v>2053</v>
      </c>
      <c r="B50" s="612"/>
      <c r="C50" s="613"/>
      <c r="D50" s="613"/>
      <c r="E50" s="404"/>
      <c r="F50" s="406"/>
      <c r="G50" s="619"/>
      <c r="H50" s="745"/>
      <c r="I50" s="509"/>
      <c r="J50" s="742" t="str">
        <f t="shared" si="31"/>
        <v/>
      </c>
      <c r="K50" s="532" t="str">
        <f t="shared" si="32"/>
        <v/>
      </c>
      <c r="L50" s="533" t="str">
        <f>IF(C50="","",VLOOKUP(C50,非_単位!$N$3:$O$34,2,FALSE))</f>
        <v/>
      </c>
      <c r="M50" s="534" t="str">
        <f>IF(C50="","",VLOOKUP(C50,非_係数!$B$5:$F$36,2,FALSE))</f>
        <v/>
      </c>
      <c r="N50" s="535" t="str">
        <f t="shared" si="33"/>
        <v/>
      </c>
      <c r="O50" s="536" t="str">
        <f>IF(C50="","",VLOOKUP(C50,非_係数!$B$5:$F$36,4,FALSE))</f>
        <v/>
      </c>
      <c r="P50" s="537" t="str">
        <f t="shared" si="34"/>
        <v/>
      </c>
      <c r="Q50" s="488"/>
      <c r="R50" s="662" t="str">
        <f t="shared" si="28"/>
        <v/>
      </c>
      <c r="S50" s="662" t="str">
        <f>IF(G50="","",VLOOKUP(G50,非_単位補正換算!$B$3:$C$16,2,FALSE))</f>
        <v/>
      </c>
      <c r="T50" s="662" t="str">
        <f>IF(G50="","",IF(SUMIFS(非_単位補正換算!$D$19:$D$48,非_単位補正換算!$B$19:$B$48,'12燃料'!C50,非_単位補正換算!$C$19:$C$48,'12燃料'!G50)=0,1,SUMIFS(非_単位補正換算!$D$19:$D$48,非_単位補正換算!$B$19:$B$48,'12燃料'!C50,非_単位補正換算!$C$19:$C$48,'12燃料'!G50)))</f>
        <v/>
      </c>
      <c r="U50" s="752" t="str">
        <f t="shared" si="29"/>
        <v/>
      </c>
      <c r="V50" s="752" t="str">
        <f t="shared" si="7"/>
        <v/>
      </c>
      <c r="W50" s="752" t="str">
        <f t="shared" si="8"/>
        <v/>
      </c>
      <c r="X50" s="662" t="str">
        <f>IF(C50="","",VLOOKUP(C50,非_まとめ表行番号!$B$3:$C$34,2,FALSE))</f>
        <v/>
      </c>
      <c r="Y50" s="662" t="str">
        <f>IF(X50="","",VLOOKUP(X50,非_まとめ表行番号!$U$3:$V$56,2,FALSE))</f>
        <v/>
      </c>
      <c r="Z50" s="753" t="str">
        <f>IF(C50="","",VLOOKUP(C50,非_係数!$B$5:$K$36,6,FALSE))</f>
        <v/>
      </c>
      <c r="AA50" s="752" t="str">
        <f t="shared" si="9"/>
        <v/>
      </c>
      <c r="AB50" s="662" t="str">
        <f>IF(C50="","",VLOOKUP(C50,非_係数!$B$5:$K$36,7,FALSE))</f>
        <v/>
      </c>
      <c r="AC50" s="662" t="str">
        <f t="shared" si="35"/>
        <v/>
      </c>
      <c r="AD50" s="662" t="str">
        <f>IF(C50="","",VLOOKUP(C50,非_係数!$B$5:$K$36,9,FALSE))</f>
        <v/>
      </c>
      <c r="AE50" s="662" t="str">
        <f t="shared" si="36"/>
        <v/>
      </c>
      <c r="AF50" s="662" t="str">
        <f>IF(C50="","",VLOOKUP(C50,非_まとめ表行番号!$B$3:$D$34,3,FALSE))</f>
        <v/>
      </c>
      <c r="AG50" s="662" t="str">
        <f t="shared" si="30"/>
        <v/>
      </c>
      <c r="AH50" s="84">
        <v>2</v>
      </c>
    </row>
    <row r="51" spans="1:34" ht="27.9" customHeight="1">
      <c r="A51" s="584"/>
      <c r="B51" s="713"/>
      <c r="C51" s="714"/>
      <c r="D51" s="714"/>
      <c r="E51" s="404"/>
      <c r="F51" s="406"/>
      <c r="G51" s="723"/>
      <c r="H51" s="746"/>
      <c r="I51" s="509"/>
      <c r="J51" s="541" t="str">
        <f t="shared" si="31"/>
        <v/>
      </c>
      <c r="K51" s="542" t="str">
        <f t="shared" si="32"/>
        <v/>
      </c>
      <c r="L51" s="543" t="str">
        <f>IF(C51="","",VLOOKUP(C51,非_単位!$N$3:$O$34,2,FALSE))</f>
        <v/>
      </c>
      <c r="M51" s="544" t="str">
        <f>IF(C51="","",VLOOKUP(C51,非_係数!$B$5:$F$36,2,FALSE))</f>
        <v/>
      </c>
      <c r="N51" s="545" t="str">
        <f t="shared" si="33"/>
        <v/>
      </c>
      <c r="O51" s="546" t="str">
        <f>IF(C51="","",VLOOKUP(C51,非_係数!$B$5:$F$36,4,FALSE))</f>
        <v/>
      </c>
      <c r="P51" s="547" t="str">
        <f t="shared" si="34"/>
        <v/>
      </c>
      <c r="Q51" s="488"/>
      <c r="R51" s="490" t="str">
        <f t="shared" si="28"/>
        <v/>
      </c>
      <c r="S51" s="490" t="str">
        <f>IF(G51="","",VLOOKUP(G51,非_単位補正換算!$B$3:$C$16,2,FALSE))</f>
        <v/>
      </c>
      <c r="T51" s="490" t="str">
        <f>IF(G51="","",IF(SUMIFS(非_単位補正換算!$D$19:$D$48,非_単位補正換算!$B$19:$B$48,'12燃料'!C51,非_単位補正換算!$C$19:$C$48,'12燃料'!G51)=0,1,SUMIFS(非_単位補正換算!$D$19:$D$48,非_単位補正換算!$B$19:$B$48,'12燃料'!C51,非_単位補正換算!$C$19:$C$48,'12燃料'!G51)))</f>
        <v/>
      </c>
      <c r="U51" s="491" t="str">
        <f t="shared" si="29"/>
        <v/>
      </c>
      <c r="V51" s="491" t="str">
        <f t="shared" si="7"/>
        <v/>
      </c>
      <c r="W51" s="491" t="str">
        <f t="shared" si="8"/>
        <v/>
      </c>
      <c r="X51" s="490" t="str">
        <f>IF(C51="","",VLOOKUP(C51,非_まとめ表行番号!$B$3:$C$34,2,FALSE))</f>
        <v/>
      </c>
      <c r="Y51" s="490" t="str">
        <f>IF(X51="","",VLOOKUP(X51,非_まとめ表行番号!$U$3:$V$56,2,FALSE))</f>
        <v/>
      </c>
      <c r="Z51" s="492" t="str">
        <f>IF(C51="","",VLOOKUP(C51,非_係数!$B$5:$K$36,6,FALSE))</f>
        <v/>
      </c>
      <c r="AA51" s="491" t="str">
        <f t="shared" si="9"/>
        <v/>
      </c>
      <c r="AB51" s="490" t="str">
        <f>IF(C51="","",VLOOKUP(C51,非_係数!$B$5:$K$36,7,FALSE))</f>
        <v/>
      </c>
      <c r="AC51" s="490" t="str">
        <f t="shared" si="35"/>
        <v/>
      </c>
      <c r="AD51" s="490" t="str">
        <f>IF(C51="","",VLOOKUP(C51,非_係数!$B$5:$K$36,9,FALSE))</f>
        <v/>
      </c>
      <c r="AE51" s="490" t="str">
        <f t="shared" si="36"/>
        <v/>
      </c>
      <c r="AF51" s="490" t="str">
        <f>IF(C51="","",VLOOKUP(C51,非_まとめ表行番号!$B$3:$D$34,3,FALSE))</f>
        <v/>
      </c>
      <c r="AG51" s="490" t="str">
        <f t="shared" si="30"/>
        <v/>
      </c>
      <c r="AH51" s="84">
        <v>2</v>
      </c>
    </row>
    <row r="52" spans="1:34" ht="27.9" customHeight="1">
      <c r="A52" s="584"/>
      <c r="B52" s="713"/>
      <c r="C52" s="714"/>
      <c r="D52" s="714"/>
      <c r="E52" s="404"/>
      <c r="F52" s="406"/>
      <c r="G52" s="723"/>
      <c r="H52" s="746"/>
      <c r="I52" s="509"/>
      <c r="J52" s="541" t="str">
        <f t="shared" si="31"/>
        <v/>
      </c>
      <c r="K52" s="542" t="str">
        <f t="shared" si="32"/>
        <v/>
      </c>
      <c r="L52" s="543" t="str">
        <f>IF(C52="","",VLOOKUP(C52,非_単位!$N$3:$O$34,2,FALSE))</f>
        <v/>
      </c>
      <c r="M52" s="544" t="str">
        <f>IF(C52="","",VLOOKUP(C52,非_係数!$B$5:$F$36,2,FALSE))</f>
        <v/>
      </c>
      <c r="N52" s="545" t="str">
        <f t="shared" si="33"/>
        <v/>
      </c>
      <c r="O52" s="546" t="str">
        <f>IF(C52="","",VLOOKUP(C52,非_係数!$B$5:$F$36,4,FALSE))</f>
        <v/>
      </c>
      <c r="P52" s="547" t="str">
        <f t="shared" si="34"/>
        <v/>
      </c>
      <c r="Q52" s="488"/>
      <c r="R52" s="490" t="str">
        <f t="shared" si="28"/>
        <v/>
      </c>
      <c r="S52" s="490" t="str">
        <f>IF(G52="","",VLOOKUP(G52,非_単位補正換算!$B$3:$C$16,2,FALSE))</f>
        <v/>
      </c>
      <c r="T52" s="490" t="str">
        <f>IF(G52="","",IF(SUMIFS(非_単位補正換算!$D$19:$D$48,非_単位補正換算!$B$19:$B$48,'12燃料'!C52,非_単位補正換算!$C$19:$C$48,'12燃料'!G52)=0,1,SUMIFS(非_単位補正換算!$D$19:$D$48,非_単位補正換算!$B$19:$B$48,'12燃料'!C52,非_単位補正換算!$C$19:$C$48,'12燃料'!G52)))</f>
        <v/>
      </c>
      <c r="U52" s="491" t="str">
        <f t="shared" si="29"/>
        <v/>
      </c>
      <c r="V52" s="491" t="str">
        <f t="shared" si="7"/>
        <v/>
      </c>
      <c r="W52" s="491" t="str">
        <f t="shared" si="8"/>
        <v/>
      </c>
      <c r="X52" s="490" t="str">
        <f>IF(C52="","",VLOOKUP(C52,非_まとめ表行番号!$B$3:$C$34,2,FALSE))</f>
        <v/>
      </c>
      <c r="Y52" s="490" t="str">
        <f>IF(X52="","",VLOOKUP(X52,非_まとめ表行番号!$U$3:$V$56,2,FALSE))</f>
        <v/>
      </c>
      <c r="Z52" s="492" t="str">
        <f>IF(C52="","",VLOOKUP(C52,非_係数!$B$5:$K$36,6,FALSE))</f>
        <v/>
      </c>
      <c r="AA52" s="491" t="str">
        <f t="shared" si="9"/>
        <v/>
      </c>
      <c r="AB52" s="490" t="str">
        <f>IF(C52="","",VLOOKUP(C52,非_係数!$B$5:$K$36,7,FALSE))</f>
        <v/>
      </c>
      <c r="AC52" s="490" t="str">
        <f t="shared" si="35"/>
        <v/>
      </c>
      <c r="AD52" s="490" t="str">
        <f>IF(C52="","",VLOOKUP(C52,非_係数!$B$5:$K$36,9,FALSE))</f>
        <v/>
      </c>
      <c r="AE52" s="490" t="str">
        <f t="shared" si="36"/>
        <v/>
      </c>
      <c r="AF52" s="490" t="str">
        <f>IF(C52="","",VLOOKUP(C52,非_まとめ表行番号!$B$3:$D$34,3,FALSE))</f>
        <v/>
      </c>
      <c r="AG52" s="490" t="str">
        <f t="shared" si="30"/>
        <v/>
      </c>
      <c r="AH52" s="84">
        <v>2</v>
      </c>
    </row>
    <row r="53" spans="1:34" ht="27.9" customHeight="1">
      <c r="A53" s="584"/>
      <c r="B53" s="713"/>
      <c r="C53" s="714"/>
      <c r="D53" s="714"/>
      <c r="E53" s="404"/>
      <c r="F53" s="406"/>
      <c r="G53" s="723"/>
      <c r="H53" s="746"/>
      <c r="I53" s="509"/>
      <c r="J53" s="541" t="str">
        <f t="shared" si="31"/>
        <v/>
      </c>
      <c r="K53" s="542" t="str">
        <f t="shared" si="32"/>
        <v/>
      </c>
      <c r="L53" s="543" t="str">
        <f>IF(C53="","",VLOOKUP(C53,非_単位!$N$3:$O$34,2,FALSE))</f>
        <v/>
      </c>
      <c r="M53" s="544" t="str">
        <f>IF(C53="","",VLOOKUP(C53,非_係数!$B$5:$F$36,2,FALSE))</f>
        <v/>
      </c>
      <c r="N53" s="545" t="str">
        <f t="shared" si="33"/>
        <v/>
      </c>
      <c r="O53" s="546" t="str">
        <f>IF(C53="","",VLOOKUP(C53,非_係数!$B$5:$F$36,4,FALSE))</f>
        <v/>
      </c>
      <c r="P53" s="547" t="str">
        <f t="shared" si="34"/>
        <v/>
      </c>
      <c r="Q53" s="488"/>
      <c r="R53" s="490" t="str">
        <f t="shared" si="28"/>
        <v/>
      </c>
      <c r="S53" s="490" t="str">
        <f>IF(G53="","",VLOOKUP(G53,非_単位補正換算!$B$3:$C$16,2,FALSE))</f>
        <v/>
      </c>
      <c r="T53" s="490" t="str">
        <f>IF(G53="","",IF(SUMIFS(非_単位補正換算!$D$19:$D$48,非_単位補正換算!$B$19:$B$48,'12燃料'!C53,非_単位補正換算!$C$19:$C$48,'12燃料'!G53)=0,1,SUMIFS(非_単位補正換算!$D$19:$D$48,非_単位補正換算!$B$19:$B$48,'12燃料'!C53,非_単位補正換算!$C$19:$C$48,'12燃料'!G53)))</f>
        <v/>
      </c>
      <c r="U53" s="491" t="str">
        <f t="shared" si="29"/>
        <v/>
      </c>
      <c r="V53" s="491" t="str">
        <f t="shared" si="7"/>
        <v/>
      </c>
      <c r="W53" s="491" t="str">
        <f t="shared" si="8"/>
        <v/>
      </c>
      <c r="X53" s="490" t="str">
        <f>IF(C53="","",VLOOKUP(C53,非_まとめ表行番号!$B$3:$C$34,2,FALSE))</f>
        <v/>
      </c>
      <c r="Y53" s="490" t="str">
        <f>IF(X53="","",VLOOKUP(X53,非_まとめ表行番号!$U$3:$V$56,2,FALSE))</f>
        <v/>
      </c>
      <c r="Z53" s="492" t="str">
        <f>IF(C53="","",VLOOKUP(C53,非_係数!$B$5:$K$36,6,FALSE))</f>
        <v/>
      </c>
      <c r="AA53" s="491" t="str">
        <f t="shared" si="9"/>
        <v/>
      </c>
      <c r="AB53" s="490" t="str">
        <f>IF(C53="","",VLOOKUP(C53,非_係数!$B$5:$K$36,7,FALSE))</f>
        <v/>
      </c>
      <c r="AC53" s="490" t="str">
        <f t="shared" si="35"/>
        <v/>
      </c>
      <c r="AD53" s="490" t="str">
        <f>IF(C53="","",VLOOKUP(C53,非_係数!$B$5:$K$36,9,FALSE))</f>
        <v/>
      </c>
      <c r="AE53" s="490" t="str">
        <f t="shared" si="36"/>
        <v/>
      </c>
      <c r="AF53" s="490" t="str">
        <f>IF(C53="","",VLOOKUP(C53,非_まとめ表行番号!$B$3:$D$34,3,FALSE))</f>
        <v/>
      </c>
      <c r="AG53" s="490" t="str">
        <f t="shared" si="30"/>
        <v/>
      </c>
      <c r="AH53" s="84">
        <v>2</v>
      </c>
    </row>
    <row r="54" spans="1:34" ht="27.9" customHeight="1" thickBot="1">
      <c r="A54" s="585"/>
      <c r="B54" s="715"/>
      <c r="C54" s="716"/>
      <c r="D54" s="716"/>
      <c r="E54" s="404"/>
      <c r="F54" s="406"/>
      <c r="G54" s="724"/>
      <c r="H54" s="747"/>
      <c r="I54" s="509"/>
      <c r="J54" s="552" t="str">
        <f t="shared" si="31"/>
        <v/>
      </c>
      <c r="K54" s="553" t="str">
        <f t="shared" si="32"/>
        <v/>
      </c>
      <c r="L54" s="554" t="str">
        <f>IF(C54="","",VLOOKUP(C54,非_単位!$N$3:$O$34,2,FALSE))</f>
        <v/>
      </c>
      <c r="M54" s="555" t="str">
        <f>IF(C54="","",VLOOKUP(C54,非_係数!$B$5:$F$36,2,FALSE))</f>
        <v/>
      </c>
      <c r="N54" s="556" t="str">
        <f t="shared" si="33"/>
        <v/>
      </c>
      <c r="O54" s="557" t="str">
        <f>IF(C54="","",VLOOKUP(C54,非_係数!$B$5:$F$36,4,FALSE))</f>
        <v/>
      </c>
      <c r="P54" s="558" t="str">
        <f t="shared" si="34"/>
        <v/>
      </c>
      <c r="Q54" s="488"/>
      <c r="R54" s="663" t="str">
        <f t="shared" si="28"/>
        <v/>
      </c>
      <c r="S54" s="663" t="str">
        <f>IF(G54="","",VLOOKUP(G54,非_単位補正換算!$B$3:$C$16,2,FALSE))</f>
        <v/>
      </c>
      <c r="T54" s="663" t="str">
        <f>IF(G54="","",IF(SUMIFS(非_単位補正換算!$D$19:$D$48,非_単位補正換算!$B$19:$B$48,'12燃料'!C54,非_単位補正換算!$C$19:$C$48,'12燃料'!G54)=0,1,SUMIFS(非_単位補正換算!$D$19:$D$48,非_単位補正換算!$B$19:$B$48,'12燃料'!C54,非_単位補正換算!$C$19:$C$48,'12燃料'!G54)))</f>
        <v/>
      </c>
      <c r="U54" s="754" t="str">
        <f t="shared" si="29"/>
        <v/>
      </c>
      <c r="V54" s="754" t="str">
        <f t="shared" si="7"/>
        <v/>
      </c>
      <c r="W54" s="754" t="str">
        <f t="shared" si="8"/>
        <v/>
      </c>
      <c r="X54" s="663" t="str">
        <f>IF(C54="","",VLOOKUP(C54,非_まとめ表行番号!$B$3:$C$34,2,FALSE))</f>
        <v/>
      </c>
      <c r="Y54" s="663" t="str">
        <f>IF(X54="","",VLOOKUP(X54,非_まとめ表行番号!$U$3:$V$56,2,FALSE))</f>
        <v/>
      </c>
      <c r="Z54" s="755" t="str">
        <f>IF(C54="","",VLOOKUP(C54,非_係数!$B$5:$K$36,6,FALSE))</f>
        <v/>
      </c>
      <c r="AA54" s="754" t="str">
        <f t="shared" si="9"/>
        <v/>
      </c>
      <c r="AB54" s="663" t="str">
        <f>IF(C54="","",VLOOKUP(C54,非_係数!$B$5:$K$36,7,FALSE))</f>
        <v/>
      </c>
      <c r="AC54" s="663" t="str">
        <f t="shared" si="35"/>
        <v/>
      </c>
      <c r="AD54" s="663" t="str">
        <f>IF(C54="","",VLOOKUP(C54,非_係数!$B$5:$K$36,9,FALSE))</f>
        <v/>
      </c>
      <c r="AE54" s="663" t="str">
        <f t="shared" si="36"/>
        <v/>
      </c>
      <c r="AF54" s="663" t="str">
        <f>IF(C54="","",VLOOKUP(C54,非_まとめ表行番号!$B$3:$D$34,3,FALSE))</f>
        <v/>
      </c>
      <c r="AG54" s="663" t="str">
        <f t="shared" si="30"/>
        <v/>
      </c>
      <c r="AH54" s="84">
        <v>2</v>
      </c>
    </row>
    <row r="55" spans="1:34" ht="27.9" customHeight="1" thickTop="1">
      <c r="A55" s="586" t="s">
        <v>2054</v>
      </c>
      <c r="B55" s="622"/>
      <c r="C55" s="623"/>
      <c r="D55" s="623"/>
      <c r="E55" s="404"/>
      <c r="F55" s="406"/>
      <c r="G55" s="596"/>
      <c r="H55" s="744"/>
      <c r="I55" s="509"/>
      <c r="J55" s="736" t="str">
        <f t="shared" si="31"/>
        <v/>
      </c>
      <c r="K55" s="737" t="str">
        <f t="shared" si="32"/>
        <v/>
      </c>
      <c r="L55" s="738" t="str">
        <f>IF(C55="","",VLOOKUP(C55,非_単位!$N$3:$O$34,2,FALSE))</f>
        <v/>
      </c>
      <c r="M55" s="739" t="str">
        <f>IF(C55="","",VLOOKUP(C55,非_係数!$B$5:$F$36,2,FALSE))</f>
        <v/>
      </c>
      <c r="N55" s="330" t="str">
        <f t="shared" si="33"/>
        <v/>
      </c>
      <c r="O55" s="740" t="str">
        <f>IF(C55="","",VLOOKUP(C55,非_係数!$B$5:$F$36,4,FALSE))</f>
        <v/>
      </c>
      <c r="P55" s="741" t="str">
        <f t="shared" si="34"/>
        <v/>
      </c>
      <c r="Q55" s="488"/>
      <c r="R55" s="578" t="str">
        <f t="shared" si="28"/>
        <v/>
      </c>
      <c r="S55" s="578" t="str">
        <f>IF(G55="","",VLOOKUP(G55,非_単位補正換算!$B$3:$C$16,2,FALSE))</f>
        <v/>
      </c>
      <c r="T55" s="578" t="str">
        <f>IF(G55="","",IF(SUMIFS(非_単位補正換算!$D$19:$D$48,非_単位補正換算!$B$19:$B$48,'12燃料'!C55,非_単位補正換算!$C$19:$C$48,'12燃料'!G55)=0,1,SUMIFS(非_単位補正換算!$D$19:$D$48,非_単位補正換算!$B$19:$B$48,'12燃料'!C55,非_単位補正換算!$C$19:$C$48,'12燃料'!G55)))</f>
        <v/>
      </c>
      <c r="U55" s="750" t="str">
        <f t="shared" si="29"/>
        <v/>
      </c>
      <c r="V55" s="750" t="str">
        <f t="shared" si="7"/>
        <v/>
      </c>
      <c r="W55" s="750" t="str">
        <f t="shared" si="8"/>
        <v/>
      </c>
      <c r="X55" s="578" t="str">
        <f>IF(C55="","",VLOOKUP(C55,非_まとめ表行番号!$B$3:$C$34,2,FALSE))</f>
        <v/>
      </c>
      <c r="Y55" s="578" t="str">
        <f>IF(X55="","",VLOOKUP(X55,非_まとめ表行番号!$U$3:$V$56,2,FALSE))</f>
        <v/>
      </c>
      <c r="Z55" s="751" t="str">
        <f>IF(C55="","",VLOOKUP(C55,非_係数!$B$5:$K$36,6,FALSE))</f>
        <v/>
      </c>
      <c r="AA55" s="750" t="str">
        <f t="shared" si="9"/>
        <v/>
      </c>
      <c r="AB55" s="578" t="str">
        <f>IF(C55="","",VLOOKUP(C55,非_係数!$B$5:$K$36,7,FALSE))</f>
        <v/>
      </c>
      <c r="AC55" s="578" t="str">
        <f t="shared" si="35"/>
        <v/>
      </c>
      <c r="AD55" s="578" t="str">
        <f>IF(C55="","",VLOOKUP(C55,非_係数!$B$5:$K$36,9,FALSE))</f>
        <v/>
      </c>
      <c r="AE55" s="578" t="str">
        <f t="shared" si="36"/>
        <v/>
      </c>
      <c r="AF55" s="578" t="str">
        <f>IF(C55="","",VLOOKUP(C55,非_まとめ表行番号!$B$3:$D$34,3,FALSE))</f>
        <v/>
      </c>
      <c r="AG55" s="578" t="str">
        <f t="shared" si="30"/>
        <v/>
      </c>
      <c r="AH55" s="84">
        <v>3</v>
      </c>
    </row>
    <row r="56" spans="1:34" ht="27.9" customHeight="1">
      <c r="A56" s="587"/>
      <c r="B56" s="725"/>
      <c r="C56" s="726"/>
      <c r="D56" s="726"/>
      <c r="E56" s="404"/>
      <c r="F56" s="406"/>
      <c r="G56" s="592"/>
      <c r="H56" s="560"/>
      <c r="I56" s="509"/>
      <c r="J56" s="541" t="str">
        <f t="shared" si="31"/>
        <v/>
      </c>
      <c r="K56" s="542" t="str">
        <f t="shared" si="32"/>
        <v/>
      </c>
      <c r="L56" s="543" t="str">
        <f>IF(C56="","",VLOOKUP(C56,非_単位!$N$3:$O$34,2,FALSE))</f>
        <v/>
      </c>
      <c r="M56" s="544" t="str">
        <f>IF(C56="","",VLOOKUP(C56,非_係数!$B$5:$F$36,2,FALSE))</f>
        <v/>
      </c>
      <c r="N56" s="545" t="str">
        <f t="shared" si="33"/>
        <v/>
      </c>
      <c r="O56" s="546" t="str">
        <f>IF(C56="","",VLOOKUP(C56,非_係数!$B$5:$F$36,4,FALSE))</f>
        <v/>
      </c>
      <c r="P56" s="547" t="str">
        <f t="shared" si="34"/>
        <v/>
      </c>
      <c r="Q56" s="488"/>
      <c r="R56" s="490" t="str">
        <f t="shared" si="28"/>
        <v/>
      </c>
      <c r="S56" s="490" t="str">
        <f>IF(G56="","",VLOOKUP(G56,非_単位補正換算!$B$3:$C$16,2,FALSE))</f>
        <v/>
      </c>
      <c r="T56" s="490" t="str">
        <f>IF(G56="","",IF(SUMIFS(非_単位補正換算!$D$19:$D$48,非_単位補正換算!$B$19:$B$48,'12燃料'!C56,非_単位補正換算!$C$19:$C$48,'12燃料'!G56)=0,1,SUMIFS(非_単位補正換算!$D$19:$D$48,非_単位補正換算!$B$19:$B$48,'12燃料'!C56,非_単位補正換算!$C$19:$C$48,'12燃料'!G56)))</f>
        <v/>
      </c>
      <c r="U56" s="491" t="str">
        <f t="shared" si="29"/>
        <v/>
      </c>
      <c r="V56" s="491" t="str">
        <f t="shared" si="7"/>
        <v/>
      </c>
      <c r="W56" s="491" t="str">
        <f t="shared" si="8"/>
        <v/>
      </c>
      <c r="X56" s="490" t="str">
        <f>IF(C56="","",VLOOKUP(C56,非_まとめ表行番号!$B$3:$C$34,2,FALSE))</f>
        <v/>
      </c>
      <c r="Y56" s="490" t="str">
        <f>IF(X56="","",VLOOKUP(X56,非_まとめ表行番号!$U$3:$V$56,2,FALSE))</f>
        <v/>
      </c>
      <c r="Z56" s="492" t="str">
        <f>IF(C56="","",VLOOKUP(C56,非_係数!$B$5:$K$36,6,FALSE))</f>
        <v/>
      </c>
      <c r="AA56" s="491" t="str">
        <f t="shared" si="9"/>
        <v/>
      </c>
      <c r="AB56" s="490" t="str">
        <f>IF(C56="","",VLOOKUP(C56,非_係数!$B$5:$K$36,7,FALSE))</f>
        <v/>
      </c>
      <c r="AC56" s="490" t="str">
        <f t="shared" si="35"/>
        <v/>
      </c>
      <c r="AD56" s="490" t="str">
        <f>IF(C56="","",VLOOKUP(C56,非_係数!$B$5:$K$36,9,FALSE))</f>
        <v/>
      </c>
      <c r="AE56" s="490" t="str">
        <f t="shared" si="36"/>
        <v/>
      </c>
      <c r="AF56" s="490" t="str">
        <f>IF(C56="","",VLOOKUP(C56,非_まとめ表行番号!$B$3:$D$34,3,FALSE))</f>
        <v/>
      </c>
      <c r="AG56" s="490" t="str">
        <f t="shared" si="30"/>
        <v/>
      </c>
      <c r="AH56" s="84">
        <v>3</v>
      </c>
    </row>
    <row r="57" spans="1:34" ht="27.9" customHeight="1">
      <c r="A57" s="587"/>
      <c r="B57" s="725"/>
      <c r="C57" s="726"/>
      <c r="D57" s="726"/>
      <c r="E57" s="404"/>
      <c r="F57" s="406"/>
      <c r="G57" s="592"/>
      <c r="H57" s="560"/>
      <c r="I57" s="509"/>
      <c r="J57" s="541" t="str">
        <f t="shared" si="31"/>
        <v/>
      </c>
      <c r="K57" s="542" t="str">
        <f t="shared" si="32"/>
        <v/>
      </c>
      <c r="L57" s="543" t="str">
        <f>IF(C57="","",VLOOKUP(C57,非_単位!$N$3:$O$34,2,FALSE))</f>
        <v/>
      </c>
      <c r="M57" s="544" t="str">
        <f>IF(C57="","",VLOOKUP(C57,非_係数!$B$5:$F$36,2,FALSE))</f>
        <v/>
      </c>
      <c r="N57" s="545" t="str">
        <f t="shared" si="33"/>
        <v/>
      </c>
      <c r="O57" s="546" t="str">
        <f>IF(C57="","",VLOOKUP(C57,非_係数!$B$5:$F$36,4,FALSE))</f>
        <v/>
      </c>
      <c r="P57" s="547" t="str">
        <f t="shared" si="34"/>
        <v/>
      </c>
      <c r="Q57" s="488"/>
      <c r="R57" s="490" t="str">
        <f t="shared" si="28"/>
        <v/>
      </c>
      <c r="S57" s="490" t="str">
        <f>IF(G57="","",VLOOKUP(G57,非_単位補正換算!$B$3:$C$16,2,FALSE))</f>
        <v/>
      </c>
      <c r="T57" s="490" t="str">
        <f>IF(G57="","",IF(SUMIFS(非_単位補正換算!$D$19:$D$48,非_単位補正換算!$B$19:$B$48,'12燃料'!C57,非_単位補正換算!$C$19:$C$48,'12燃料'!G57)=0,1,SUMIFS(非_単位補正換算!$D$19:$D$48,非_単位補正換算!$B$19:$B$48,'12燃料'!C57,非_単位補正換算!$C$19:$C$48,'12燃料'!G57)))</f>
        <v/>
      </c>
      <c r="U57" s="491" t="str">
        <f t="shared" si="29"/>
        <v/>
      </c>
      <c r="V57" s="491" t="str">
        <f t="shared" si="7"/>
        <v/>
      </c>
      <c r="W57" s="491" t="str">
        <f t="shared" si="8"/>
        <v/>
      </c>
      <c r="X57" s="490" t="str">
        <f>IF(C57="","",VLOOKUP(C57,非_まとめ表行番号!$B$3:$C$34,2,FALSE))</f>
        <v/>
      </c>
      <c r="Y57" s="490" t="str">
        <f>IF(X57="","",VLOOKUP(X57,非_まとめ表行番号!$U$3:$V$56,2,FALSE))</f>
        <v/>
      </c>
      <c r="Z57" s="492" t="str">
        <f>IF(C57="","",VLOOKUP(C57,非_係数!$B$5:$K$36,6,FALSE))</f>
        <v/>
      </c>
      <c r="AA57" s="491" t="str">
        <f t="shared" si="9"/>
        <v/>
      </c>
      <c r="AB57" s="490" t="str">
        <f>IF(C57="","",VLOOKUP(C57,非_係数!$B$5:$K$36,7,FALSE))</f>
        <v/>
      </c>
      <c r="AC57" s="490" t="str">
        <f t="shared" si="35"/>
        <v/>
      </c>
      <c r="AD57" s="490" t="str">
        <f>IF(C57="","",VLOOKUP(C57,非_係数!$B$5:$K$36,9,FALSE))</f>
        <v/>
      </c>
      <c r="AE57" s="490" t="str">
        <f t="shared" si="36"/>
        <v/>
      </c>
      <c r="AF57" s="490" t="str">
        <f>IF(C57="","",VLOOKUP(C57,非_まとめ表行番号!$B$3:$D$34,3,FALSE))</f>
        <v/>
      </c>
      <c r="AG57" s="490" t="str">
        <f t="shared" si="30"/>
        <v/>
      </c>
      <c r="AH57" s="84">
        <v>3</v>
      </c>
    </row>
    <row r="58" spans="1:34" ht="27.9" customHeight="1">
      <c r="A58" s="587"/>
      <c r="B58" s="725"/>
      <c r="C58" s="726"/>
      <c r="D58" s="726"/>
      <c r="E58" s="404"/>
      <c r="F58" s="406"/>
      <c r="G58" s="592"/>
      <c r="H58" s="560"/>
      <c r="I58" s="509"/>
      <c r="J58" s="541" t="str">
        <f t="shared" si="31"/>
        <v/>
      </c>
      <c r="K58" s="542" t="str">
        <f t="shared" ref="K58" si="37">IF(U58="","",-1*U58)</f>
        <v/>
      </c>
      <c r="L58" s="543" t="str">
        <f>IF(C58="","",VLOOKUP(C58,非_単位!$N$3:$O$34,2,FALSE))</f>
        <v/>
      </c>
      <c r="M58" s="544" t="str">
        <f>IF(C58="","",VLOOKUP(C58,非_係数!$B$5:$F$36,2,FALSE))</f>
        <v/>
      </c>
      <c r="N58" s="545" t="str">
        <f t="shared" ref="N58" si="38">IF(V58="","",-1*V58)</f>
        <v/>
      </c>
      <c r="O58" s="546" t="str">
        <f>IF(C58="","",VLOOKUP(C58,非_係数!$B$5:$F$36,4,FALSE))</f>
        <v/>
      </c>
      <c r="P58" s="547" t="str">
        <f t="shared" ref="P58" si="39">IF(W58="","",-1*W58)</f>
        <v/>
      </c>
      <c r="Q58" s="488"/>
      <c r="R58" s="490" t="str">
        <f t="shared" si="28"/>
        <v/>
      </c>
      <c r="S58" s="490" t="str">
        <f>IF(G58="","",VLOOKUP(G58,非_単位補正換算!$B$3:$C$16,2,FALSE))</f>
        <v/>
      </c>
      <c r="T58" s="490" t="str">
        <f>IF(G58="","",IF(SUMIFS(非_単位補正換算!$D$19:$D$48,非_単位補正換算!$B$19:$B$48,'12燃料'!C58,非_単位補正換算!$C$19:$C$48,'12燃料'!G58)=0,1,SUMIFS(非_単位補正換算!$D$19:$D$48,非_単位補正換算!$B$19:$B$48,'12燃料'!C58,非_単位補正換算!$C$19:$C$48,'12燃料'!G58)))</f>
        <v/>
      </c>
      <c r="U58" s="491" t="str">
        <f t="shared" si="29"/>
        <v/>
      </c>
      <c r="V58" s="491" t="str">
        <f t="shared" ref="V58" si="40">IF(AND(M58&lt;&gt;"",U58&lt;&gt;""),U58*M58,"")</f>
        <v/>
      </c>
      <c r="W58" s="491" t="str">
        <f t="shared" ref="W58" si="41">IF(AND(O58&lt;&gt;"",U58&lt;&gt;"",M58&lt;&gt;""),U58*M58*O58*44/12,"")</f>
        <v/>
      </c>
      <c r="X58" s="490" t="str">
        <f>IF(C58="","",VLOOKUP(C58,非_まとめ表行番号!$B$3:$C$34,2,FALSE))</f>
        <v/>
      </c>
      <c r="Y58" s="490" t="str">
        <f>IF(X58="","",VLOOKUP(X58,非_まとめ表行番号!$U$3:$V$56,2,FALSE))</f>
        <v/>
      </c>
      <c r="Z58" s="492" t="str">
        <f>IF(C58="","",VLOOKUP(C58,非_係数!$B$5:$K$36,6,FALSE))</f>
        <v/>
      </c>
      <c r="AA58" s="491" t="str">
        <f t="shared" ref="AA58" si="42">IF(U58="","",U58*Z58)</f>
        <v/>
      </c>
      <c r="AB58" s="490" t="str">
        <f>IF(C58="","",VLOOKUP(C58,非_係数!$B$5:$K$36,7,FALSE))</f>
        <v/>
      </c>
      <c r="AC58" s="490" t="str">
        <f t="shared" ref="AC58" si="43">IF(AA58="","",AA58*AB58)</f>
        <v/>
      </c>
      <c r="AD58" s="490" t="str">
        <f>IF(C58="","",VLOOKUP(C58,非_係数!$B$5:$K$36,9,FALSE))</f>
        <v/>
      </c>
      <c r="AE58" s="490" t="str">
        <f t="shared" ref="AE58" si="44">IF(AC58="","",AC58*AD58*44/12)</f>
        <v/>
      </c>
      <c r="AF58" s="490" t="str">
        <f>IF(C58="","",VLOOKUP(C58,非_まとめ表行番号!$B$3:$D$34,3,FALSE))</f>
        <v/>
      </c>
      <c r="AG58" s="490" t="str">
        <f t="shared" si="30"/>
        <v/>
      </c>
      <c r="AH58" s="84">
        <v>3</v>
      </c>
    </row>
    <row r="59" spans="1:34" ht="27.9" customHeight="1" thickBot="1">
      <c r="A59" s="588"/>
      <c r="B59" s="624"/>
      <c r="C59" s="625"/>
      <c r="D59" s="625"/>
      <c r="E59" s="419"/>
      <c r="F59" s="418"/>
      <c r="G59" s="594"/>
      <c r="H59" s="561"/>
      <c r="I59" s="511"/>
      <c r="J59" s="562" t="str">
        <f>IF(H59="","",IF(I59="",H59,H59*I59))</f>
        <v/>
      </c>
      <c r="K59" s="563" t="str">
        <f t="shared" si="32"/>
        <v/>
      </c>
      <c r="L59" s="564" t="str">
        <f>IF(C59="","",VLOOKUP(C59,非_単位!$N$3:$O$34,2,FALSE))</f>
        <v/>
      </c>
      <c r="M59" s="565" t="str">
        <f>IF(C59="","",VLOOKUP(C59,非_係数!$B$5:$F$36,2,FALSE))</f>
        <v/>
      </c>
      <c r="N59" s="566" t="str">
        <f t="shared" si="33"/>
        <v/>
      </c>
      <c r="O59" s="567" t="str">
        <f>IF(C59="","",VLOOKUP(C59,非_係数!$B$5:$F$36,4,FALSE))</f>
        <v/>
      </c>
      <c r="P59" s="568" t="str">
        <f t="shared" si="34"/>
        <v/>
      </c>
      <c r="Q59" s="488"/>
      <c r="R59" s="490" t="str">
        <f t="shared" si="28"/>
        <v/>
      </c>
      <c r="S59" s="490" t="str">
        <f>IF(G59="","",VLOOKUP(G59,非_単位補正換算!$B$3:$C$16,2,FALSE))</f>
        <v/>
      </c>
      <c r="T59" s="490" t="str">
        <f>IF(G59="","",IF(SUMIFS(非_単位補正換算!$D$19:$D$48,非_単位補正換算!$B$19:$B$48,'12燃料'!C59,非_単位補正換算!$C$19:$C$48,'12燃料'!G59)=0,1,SUMIFS(非_単位補正換算!$D$19:$D$48,非_単位補正換算!$B$19:$B$48,'12燃料'!C59,非_単位補正換算!$C$19:$C$48,'12燃料'!G59)))</f>
        <v/>
      </c>
      <c r="U59" s="491" t="str">
        <f t="shared" si="29"/>
        <v/>
      </c>
      <c r="V59" s="491" t="str">
        <f t="shared" si="7"/>
        <v/>
      </c>
      <c r="W59" s="491" t="str">
        <f t="shared" si="8"/>
        <v/>
      </c>
      <c r="X59" s="490" t="str">
        <f>IF(C59="","",VLOOKUP(C59,非_まとめ表行番号!$B$3:$C$34,2,FALSE))</f>
        <v/>
      </c>
      <c r="Y59" s="490" t="str">
        <f>IF(X59="","",VLOOKUP(X59,非_まとめ表行番号!$U$3:$V$56,2,FALSE))</f>
        <v/>
      </c>
      <c r="Z59" s="492" t="str">
        <f>IF(C59="","",VLOOKUP(C59,非_係数!$B$5:$K$36,6,FALSE))</f>
        <v/>
      </c>
      <c r="AA59" s="491" t="str">
        <f t="shared" si="9"/>
        <v/>
      </c>
      <c r="AB59" s="490" t="str">
        <f>IF(C59="","",VLOOKUP(C59,非_係数!$B$5:$K$36,7,FALSE))</f>
        <v/>
      </c>
      <c r="AC59" s="490" t="str">
        <f t="shared" si="35"/>
        <v/>
      </c>
      <c r="AD59" s="490" t="str">
        <f>IF(C59="","",VLOOKUP(C59,非_係数!$B$5:$K$36,9,FALSE))</f>
        <v/>
      </c>
      <c r="AE59" s="490" t="str">
        <f t="shared" si="36"/>
        <v/>
      </c>
      <c r="AF59" s="490" t="str">
        <f>IF(C59="","",VLOOKUP(C59,非_まとめ表行番号!$B$3:$D$34,3,FALSE))</f>
        <v/>
      </c>
      <c r="AG59" s="490" t="str">
        <f t="shared" si="30"/>
        <v/>
      </c>
      <c r="AH59" s="84">
        <v>3</v>
      </c>
    </row>
  </sheetData>
  <sheetProtection algorithmName="SHA-512" hashValue="X2TIJBBJg8J59nXIXCBrpTOkPgSAPPF302t2V5bLTiRbWDPds0xW4tNq48C4O9aDDfiZ7BOiKoynee+1IfMN/w==" saltValue="epjzMIxOnd+AoR1mu3l5oA==" spinCount="100000" sheet="1" objects="1" scenarios="1"/>
  <dataConsolidate link="1"/>
  <mergeCells count="32">
    <mergeCell ref="Y4:Y5"/>
    <mergeCell ref="O1:P1"/>
    <mergeCell ref="S4:S5"/>
    <mergeCell ref="T4:T5"/>
    <mergeCell ref="U4:U5"/>
    <mergeCell ref="X4:X5"/>
    <mergeCell ref="V4:V5"/>
    <mergeCell ref="W4:W5"/>
    <mergeCell ref="O4:O5"/>
    <mergeCell ref="R4:R5"/>
    <mergeCell ref="J4:J5"/>
    <mergeCell ref="N4:N5"/>
    <mergeCell ref="M4:M5"/>
    <mergeCell ref="K4:L5"/>
    <mergeCell ref="H4:H5"/>
    <mergeCell ref="I4:I5"/>
    <mergeCell ref="AH4:AH5"/>
    <mergeCell ref="A4:A5"/>
    <mergeCell ref="AG4:AG5"/>
    <mergeCell ref="Z4:Z5"/>
    <mergeCell ref="AA4:AA5"/>
    <mergeCell ref="AB4:AB5"/>
    <mergeCell ref="AC4:AC5"/>
    <mergeCell ref="AD4:AD5"/>
    <mergeCell ref="AE4:AE5"/>
    <mergeCell ref="E4:F4"/>
    <mergeCell ref="B4:B5"/>
    <mergeCell ref="C4:C5"/>
    <mergeCell ref="D4:D5"/>
    <mergeCell ref="AF4:AF5"/>
    <mergeCell ref="G4:G5"/>
    <mergeCell ref="P4:P5"/>
  </mergeCells>
  <phoneticPr fontId="5"/>
  <conditionalFormatting sqref="E7:F43 E45:F59">
    <cfRule type="expression" dxfId="30" priority="3">
      <formula>$D7&lt;&gt;"計量器の実測値"</formula>
    </cfRule>
  </conditionalFormatting>
  <conditionalFormatting sqref="I7:I43 I45:I59">
    <cfRule type="expression" dxfId="29" priority="1">
      <formula>OR($F7="有",$F7="")</formula>
    </cfRule>
  </conditionalFormatting>
  <dataValidations count="7">
    <dataValidation type="list" allowBlank="1" showInputMessage="1" showErrorMessage="1" sqref="C7:C43 C45:C59" xr:uid="{7B4B9DB3-5EB2-4BF9-BFE1-F16318DFEB53}">
      <formula1>INDIRECT(R7)</formula1>
    </dataValidation>
    <dataValidation type="list" allowBlank="1" showInputMessage="1" showErrorMessage="1" sqref="F7:F43 F45:F59" xr:uid="{886D3CBB-4036-4815-B8DF-D6E2107E2961}">
      <formula1>計量器_検定有無_選択</formula1>
    </dataValidation>
    <dataValidation type="list" allowBlank="1" showInputMessage="1" showErrorMessage="1" sqref="D7:D43 D45:D59" xr:uid="{B586D7C9-2713-4972-9094-BAF983D6BA9C}">
      <formula1>使用量把握方法_選択</formula1>
    </dataValidation>
    <dataValidation imeMode="halfAlpha" allowBlank="1" showInputMessage="1" showErrorMessage="1" sqref="O7:O43 M7:M43" xr:uid="{F2AED94D-D21A-407A-8C21-EEC939B61090}"/>
    <dataValidation type="list" allowBlank="1" showInputMessage="1" showErrorMessage="1" sqref="B7:B43" xr:uid="{588DAFDC-6826-4B15-8AA6-1256E5F5B144}">
      <formula1>燃料_排出活動①</formula1>
    </dataValidation>
    <dataValidation type="list" allowBlank="1" showInputMessage="1" showErrorMessage="1" sqref="B45:B59" xr:uid="{6D28CF31-B1D8-41AD-99C9-CFD421F95984}">
      <formula1>燃料_排出活動②</formula1>
    </dataValidation>
    <dataValidation type="list" imeMode="disabled" allowBlank="1" showInputMessage="1" showErrorMessage="1" sqref="I7:I43 I45:I59" xr:uid="{3F1825C6-7E5B-4986-AD13-218DE564D8B4}">
      <formula1>INDIRECT(AG7)</formula1>
    </dataValidation>
  </dataValidations>
  <pageMargins left="0.78740157480314965" right="0.59055118110236227" top="0.78740157480314965" bottom="0.59055118110236227" header="0.31496062992125984" footer="0.31496062992125984"/>
  <pageSetup paperSize="9" scale="40" fitToHeight="0" orientation="portrait" r:id="rId1"/>
  <headerFooter>
    <oddHeader>&amp;R&amp;8ver.4.01</oddHeader>
  </headerFooter>
  <ignoredErrors>
    <ignoredError sqref="J8:J39 J41:J43"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CFADFE-4125-4691-AB7C-9AF9CD0E2613}">
          <x14:formula1>
            <xm:f>IF(C7=非_単位!$N$33,INDIRECT("その他の燃料①_単位"),IF(C7=非_単位!$N$34,INDIRECT("その他の燃料②_単位"),INDIRECT(C7&amp;"_単位")))</xm:f>
          </x14:formula1>
          <xm:sqref>G45:G59 G7:G43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pageSetUpPr fitToPage="1"/>
  </sheetPr>
  <dimension ref="A1:BK72"/>
  <sheetViews>
    <sheetView showGridLines="0" topLeftCell="D1" zoomScaleNormal="100" zoomScaleSheetLayoutView="85" workbookViewId="0">
      <pane ySplit="5" topLeftCell="A6" activePane="bottomLeft" state="frozen"/>
      <selection activeCell="L62" sqref="L62"/>
      <selection pane="bottomLeft" activeCell="N9" sqref="N9"/>
    </sheetView>
  </sheetViews>
  <sheetFormatPr defaultColWidth="9" defaultRowHeight="17.5" outlineLevelCol="1"/>
  <cols>
    <col min="1" max="1" width="13.1640625" style="84" customWidth="1"/>
    <col min="2" max="2" width="47.1640625" style="84" customWidth="1"/>
    <col min="3" max="3" width="44.4140625" style="84" customWidth="1"/>
    <col min="4" max="4" width="37.5" style="84" customWidth="1"/>
    <col min="5" max="5" width="9.1640625" style="84" bestFit="1" customWidth="1"/>
    <col min="6" max="6" width="17.58203125" style="84" bestFit="1" customWidth="1"/>
    <col min="7" max="7" width="9.1640625" style="84" bestFit="1" customWidth="1"/>
    <col min="8" max="8" width="9.5" style="84" customWidth="1"/>
    <col min="9" max="9" width="9.6640625" style="84" customWidth="1"/>
    <col min="10" max="10" width="13" style="84" customWidth="1"/>
    <col min="11" max="11" width="10" style="84" customWidth="1"/>
    <col min="12" max="12" width="9.5" style="84" customWidth="1"/>
    <col min="13" max="13" width="10.4140625" style="84" customWidth="1"/>
    <col min="14" max="15" width="10.58203125" style="84" customWidth="1"/>
    <col min="16" max="16" width="5.4140625" style="84" customWidth="1"/>
    <col min="17" max="17" width="7.58203125" style="84" customWidth="1"/>
    <col min="18" max="18" width="22.1640625" style="84" customWidth="1"/>
    <col min="19" max="19" width="8" style="84" customWidth="1"/>
    <col min="20" max="20" width="22.08203125" style="84" customWidth="1"/>
    <col min="21" max="21" width="9.5" style="84" hidden="1" customWidth="1" outlineLevel="1"/>
    <col min="22" max="22" width="7.6640625" style="84" hidden="1" customWidth="1" outlineLevel="1"/>
    <col min="23" max="23" width="9" style="84" collapsed="1"/>
    <col min="24" max="24" width="9.5" style="84" customWidth="1"/>
    <col min="25" max="25" width="0" style="84" hidden="1" customWidth="1"/>
    <col min="26" max="26" width="9" style="84" hidden="1" customWidth="1" outlineLevel="1"/>
    <col min="27" max="27" width="22" style="84" hidden="1" customWidth="1" outlineLevel="1"/>
    <col min="28" max="34" width="9" style="84" hidden="1" customWidth="1" outlineLevel="1"/>
    <col min="35" max="35" width="19.6640625" style="84" hidden="1" customWidth="1" outlineLevel="1"/>
    <col min="36" max="38" width="9" style="84" hidden="1" customWidth="1" outlineLevel="1"/>
    <col min="39" max="39" width="12.9140625" style="84" hidden="1" customWidth="1" outlineLevel="1"/>
    <col min="40" max="40" width="9.9140625" style="84" hidden="1" customWidth="1" outlineLevel="1"/>
    <col min="41" max="42" width="13.5" style="84" hidden="1" customWidth="1" outlineLevel="1"/>
    <col min="43" max="43" width="9" style="84" hidden="1" customWidth="1" outlineLevel="1"/>
    <col min="44" max="44" width="12.58203125" style="84" hidden="1" customWidth="1" outlineLevel="1"/>
    <col min="45" max="45" width="15.5" style="84" hidden="1" customWidth="1" outlineLevel="1"/>
    <col min="46" max="46" width="12.58203125" style="84" hidden="1" customWidth="1" outlineLevel="1"/>
    <col min="47" max="47" width="13.6640625" style="84" hidden="1" customWidth="1" outlineLevel="1"/>
    <col min="48" max="48" width="14" style="84" hidden="1" customWidth="1" outlineLevel="1"/>
    <col min="49" max="50" width="14.08203125" style="84" hidden="1" customWidth="1" outlineLevel="1"/>
    <col min="51" max="61" width="9" style="84" hidden="1" customWidth="1" outlineLevel="1"/>
    <col min="62" max="62" width="9" style="84" collapsed="1"/>
    <col min="63" max="16384" width="9" style="84"/>
  </cols>
  <sheetData>
    <row r="1" spans="1:63" ht="18.75" customHeight="1">
      <c r="A1" s="3" t="s">
        <v>2508</v>
      </c>
      <c r="B1" s="3"/>
      <c r="C1" s="52"/>
      <c r="D1" s="52"/>
      <c r="E1" s="52"/>
      <c r="F1" s="52"/>
      <c r="G1" s="52"/>
      <c r="H1" s="52"/>
      <c r="I1" s="52"/>
      <c r="J1" s="52"/>
      <c r="K1" s="3"/>
      <c r="L1" s="52"/>
      <c r="M1" s="52"/>
      <c r="N1" s="52"/>
      <c r="O1" s="52"/>
      <c r="P1" s="52"/>
      <c r="Q1" s="52"/>
      <c r="R1" s="524"/>
      <c r="S1" s="1876" t="s">
        <v>2056</v>
      </c>
      <c r="T1" s="1876"/>
      <c r="U1" s="222" t="s">
        <v>1896</v>
      </c>
      <c r="V1" s="222" t="s">
        <v>1896</v>
      </c>
      <c r="W1" s="1851" t="str">
        <f>IF('0.事業所概要'!D11="","",'0.事業所概要'!D11)</f>
        <v>県庁産業㈱　　本社、浦和支店</v>
      </c>
      <c r="X1" s="1852"/>
    </row>
    <row r="2" spans="1:63" ht="18.75" customHeight="1">
      <c r="A2" s="3" t="s">
        <v>2509</v>
      </c>
      <c r="B2" s="3"/>
      <c r="C2" s="3"/>
      <c r="D2" s="3"/>
      <c r="E2" s="3"/>
      <c r="F2" s="52"/>
      <c r="G2" s="52"/>
      <c r="H2" s="52"/>
      <c r="I2" s="52"/>
      <c r="J2" s="52"/>
      <c r="K2" s="52"/>
      <c r="L2" s="52"/>
      <c r="M2" s="52"/>
      <c r="N2" s="52"/>
      <c r="O2" s="52"/>
      <c r="P2" s="52"/>
      <c r="Q2" s="52"/>
      <c r="R2" s="2"/>
      <c r="S2" s="2"/>
      <c r="T2" s="2"/>
      <c r="U2" s="223"/>
      <c r="V2" s="223"/>
      <c r="W2" s="1877" t="str">
        <f>CONCATENATE('0.事業所概要'!$B$3,'0.事業所概要'!$C$3,"年度")</f>
        <v>令和７年度</v>
      </c>
      <c r="X2" s="1877"/>
    </row>
    <row r="3" spans="1:63" ht="18" thickBot="1">
      <c r="A3" s="52"/>
      <c r="B3" s="3"/>
      <c r="C3" s="52"/>
      <c r="D3" s="52"/>
      <c r="E3" s="52"/>
      <c r="F3" s="52"/>
      <c r="G3" s="52"/>
      <c r="H3" s="52"/>
      <c r="I3" s="52"/>
      <c r="J3" s="52"/>
      <c r="K3" s="52"/>
      <c r="L3" s="52"/>
      <c r="M3" s="52"/>
      <c r="N3" s="52"/>
      <c r="O3" s="52"/>
      <c r="P3" s="52"/>
      <c r="Q3" s="52"/>
      <c r="R3" s="52"/>
      <c r="S3" s="52"/>
      <c r="T3" s="52"/>
      <c r="W3" s="52"/>
      <c r="X3" s="52"/>
      <c r="BI3" s="52" t="s">
        <v>2052</v>
      </c>
      <c r="BJ3" s="52" t="s">
        <v>2053</v>
      </c>
      <c r="BK3" s="52" t="s">
        <v>2060</v>
      </c>
    </row>
    <row r="4" spans="1:63" ht="18" customHeight="1">
      <c r="A4" s="1855" t="s">
        <v>2059</v>
      </c>
      <c r="B4" s="1857" t="s">
        <v>70</v>
      </c>
      <c r="C4" s="1859" t="s">
        <v>205</v>
      </c>
      <c r="D4" s="1863" t="s">
        <v>215</v>
      </c>
      <c r="E4" s="1863"/>
      <c r="F4" s="1863"/>
      <c r="G4" s="1863" t="s">
        <v>211</v>
      </c>
      <c r="H4" s="1863"/>
      <c r="I4" s="1863"/>
      <c r="J4" s="1178" t="s">
        <v>1893</v>
      </c>
      <c r="K4" s="1861" t="s">
        <v>213</v>
      </c>
      <c r="L4" s="1865"/>
      <c r="M4" s="1862"/>
      <c r="N4" s="1863" t="s">
        <v>207</v>
      </c>
      <c r="O4" s="1861" t="s">
        <v>204</v>
      </c>
      <c r="P4" s="1862"/>
      <c r="Q4" s="1863" t="s">
        <v>208</v>
      </c>
      <c r="R4" s="1868" t="s">
        <v>2027</v>
      </c>
      <c r="S4" s="1872" t="s">
        <v>2046</v>
      </c>
      <c r="T4" s="1868" t="s">
        <v>2028</v>
      </c>
      <c r="U4" s="1882" t="s">
        <v>1868</v>
      </c>
      <c r="V4" s="1883"/>
      <c r="W4" s="1878" t="s">
        <v>219</v>
      </c>
      <c r="X4" s="1880" t="s">
        <v>1894</v>
      </c>
      <c r="Z4" s="1874" t="s">
        <v>1652</v>
      </c>
      <c r="AA4" s="1829" t="s">
        <v>1629</v>
      </c>
      <c r="AB4" s="1853" t="s">
        <v>1830</v>
      </c>
      <c r="AC4" s="1853"/>
      <c r="AD4" s="1853" t="s">
        <v>1831</v>
      </c>
      <c r="AE4" s="1853"/>
      <c r="AF4" s="1853" t="s">
        <v>1832</v>
      </c>
      <c r="AG4" s="1853"/>
      <c r="AH4" s="1829" t="s">
        <v>1840</v>
      </c>
      <c r="AI4" s="1829" t="s">
        <v>1866</v>
      </c>
      <c r="AJ4" s="1870" t="s">
        <v>2045</v>
      </c>
      <c r="AK4" s="1830" t="s">
        <v>1869</v>
      </c>
      <c r="AL4" s="1830" t="s">
        <v>1882</v>
      </c>
      <c r="AM4" s="1829" t="s">
        <v>1627</v>
      </c>
      <c r="AN4" s="1853" t="s">
        <v>219</v>
      </c>
      <c r="AO4" s="1853" t="s">
        <v>220</v>
      </c>
      <c r="AP4" s="1853" t="s">
        <v>1888</v>
      </c>
      <c r="AQ4" s="1829" t="s">
        <v>2048</v>
      </c>
      <c r="AR4" s="1829" t="s">
        <v>1885</v>
      </c>
      <c r="AS4" s="1829" t="s">
        <v>1627</v>
      </c>
      <c r="AT4" s="1853" t="s">
        <v>1886</v>
      </c>
      <c r="AU4" s="1829" t="s">
        <v>1640</v>
      </c>
      <c r="AV4" s="1853" t="s">
        <v>1887</v>
      </c>
      <c r="AW4" s="1853" t="s">
        <v>1889</v>
      </c>
      <c r="AX4" s="1853" t="s">
        <v>2024</v>
      </c>
      <c r="AY4" s="1870"/>
      <c r="AZ4" s="1830" t="s">
        <v>2033</v>
      </c>
      <c r="BA4" s="1830" t="s">
        <v>2034</v>
      </c>
      <c r="BB4" s="1830" t="s">
        <v>2035</v>
      </c>
      <c r="BC4" s="1830" t="s">
        <v>2036</v>
      </c>
      <c r="BD4" s="1830" t="s">
        <v>2037</v>
      </c>
      <c r="BE4" s="1830" t="s">
        <v>2038</v>
      </c>
      <c r="BF4" s="1830" t="s">
        <v>2039</v>
      </c>
      <c r="BG4" s="1830" t="s">
        <v>2040</v>
      </c>
      <c r="BH4" s="1830" t="s">
        <v>2041</v>
      </c>
    </row>
    <row r="5" spans="1:63" ht="51" customHeight="1" thickBot="1">
      <c r="A5" s="1856"/>
      <c r="B5" s="1858"/>
      <c r="C5" s="1860"/>
      <c r="D5" s="1179" t="s">
        <v>2020</v>
      </c>
      <c r="E5" s="1179" t="s">
        <v>217</v>
      </c>
      <c r="F5" s="1179" t="s">
        <v>218</v>
      </c>
      <c r="G5" s="1179" t="s">
        <v>1656</v>
      </c>
      <c r="H5" s="1181" t="s">
        <v>2476</v>
      </c>
      <c r="I5" s="1181" t="s">
        <v>2477</v>
      </c>
      <c r="J5" s="1181" t="s">
        <v>1839</v>
      </c>
      <c r="K5" s="1180" t="s">
        <v>214</v>
      </c>
      <c r="L5" s="1866" t="s">
        <v>2475</v>
      </c>
      <c r="M5" s="1867"/>
      <c r="N5" s="1864"/>
      <c r="O5" s="1179" t="s">
        <v>205</v>
      </c>
      <c r="P5" s="1179" t="s">
        <v>206</v>
      </c>
      <c r="Q5" s="1864"/>
      <c r="R5" s="1869"/>
      <c r="S5" s="1873"/>
      <c r="T5" s="1869"/>
      <c r="U5" s="1884"/>
      <c r="V5" s="1885"/>
      <c r="W5" s="1879"/>
      <c r="X5" s="1881"/>
      <c r="Z5" s="1875"/>
      <c r="AA5" s="1830"/>
      <c r="AB5" s="494" t="s">
        <v>1823</v>
      </c>
      <c r="AC5" s="494" t="s">
        <v>1824</v>
      </c>
      <c r="AD5" s="494" t="s">
        <v>1823</v>
      </c>
      <c r="AE5" s="494" t="s">
        <v>1824</v>
      </c>
      <c r="AF5" s="494" t="s">
        <v>1823</v>
      </c>
      <c r="AG5" s="494" t="s">
        <v>1824</v>
      </c>
      <c r="AH5" s="1830"/>
      <c r="AI5" s="1830"/>
      <c r="AJ5" s="1871"/>
      <c r="AK5" s="1830"/>
      <c r="AL5" s="1830"/>
      <c r="AM5" s="1830"/>
      <c r="AN5" s="1854"/>
      <c r="AO5" s="1854"/>
      <c r="AP5" s="1853"/>
      <c r="AQ5" s="1830"/>
      <c r="AR5" s="1830"/>
      <c r="AS5" s="1830"/>
      <c r="AT5" s="1854"/>
      <c r="AU5" s="1830"/>
      <c r="AV5" s="1854"/>
      <c r="AW5" s="1853"/>
      <c r="AX5" s="1854"/>
      <c r="AY5" s="1871"/>
      <c r="AZ5" s="1830"/>
      <c r="BA5" s="1830"/>
      <c r="BB5" s="1830"/>
      <c r="BC5" s="1830"/>
      <c r="BD5" s="1830"/>
      <c r="BE5" s="1830"/>
      <c r="BF5" s="1830"/>
      <c r="BG5" s="1830"/>
      <c r="BH5" s="1830"/>
      <c r="BI5" s="84" t="s">
        <v>2055</v>
      </c>
    </row>
    <row r="6" spans="1:63" ht="18" customHeight="1" thickTop="1" thickBot="1">
      <c r="A6" s="627"/>
      <c r="B6" s="1177" t="s">
        <v>263</v>
      </c>
      <c r="C6" s="325"/>
      <c r="D6" s="325"/>
      <c r="E6" s="325"/>
      <c r="F6" s="325"/>
      <c r="G6" s="325"/>
      <c r="H6" s="325"/>
      <c r="I6" s="325"/>
      <c r="J6" s="325"/>
      <c r="K6" s="325"/>
      <c r="L6" s="325"/>
      <c r="M6" s="325"/>
      <c r="N6" s="325"/>
      <c r="O6" s="325"/>
      <c r="P6" s="325"/>
      <c r="Q6" s="325"/>
      <c r="R6" s="325"/>
      <c r="S6" s="325"/>
      <c r="T6" s="325"/>
      <c r="U6" s="224"/>
      <c r="V6" s="224"/>
      <c r="W6" s="57"/>
      <c r="X6" s="58"/>
    </row>
    <row r="7" spans="1:63" ht="18.75" customHeight="1" thickTop="1">
      <c r="A7" s="581" t="s">
        <v>2052</v>
      </c>
      <c r="B7" s="523" t="s">
        <v>1467</v>
      </c>
      <c r="C7" s="400" t="s">
        <v>1487</v>
      </c>
      <c r="D7" s="400"/>
      <c r="E7" s="401"/>
      <c r="F7" s="400"/>
      <c r="G7" s="401"/>
      <c r="H7" s="179" t="str">
        <f>IF(Z7&lt;&gt;"都市ガス","",IF(ISERROR(VLOOKUP(D7,非_都市ガス事業者!$O$8:$P$100,2,FALSE)),"",VLOOKUP(D7,非_都市ガス事業者!$O$8:$P$100,2,FALSE)))</f>
        <v/>
      </c>
      <c r="I7" s="402" t="str">
        <f>IF(Z7&lt;&gt;"都市ガス","",非_都市ガス事業者!$P$4)</f>
        <v/>
      </c>
      <c r="J7" s="178">
        <f>IF(C7="","",IF(Z7&lt;&gt;"都市ガス",VLOOKUP(C7,非_係数!$B$42:$D$55,2,FALSE),""))</f>
        <v>8.64</v>
      </c>
      <c r="K7" s="401" t="s">
        <v>1461</v>
      </c>
      <c r="L7" s="503">
        <f>AH7</f>
        <v>0.42199999999999999</v>
      </c>
      <c r="M7" s="213" t="str">
        <f>AI7</f>
        <v>t-CO2/千kWh</v>
      </c>
      <c r="N7" s="400" t="s">
        <v>367</v>
      </c>
      <c r="O7" s="403"/>
      <c r="P7" s="401"/>
      <c r="Q7" s="400" t="s">
        <v>370</v>
      </c>
      <c r="R7" s="476"/>
      <c r="S7" s="530"/>
      <c r="T7" s="531" t="str">
        <f>IF(R7="","",IF(S7="",R7,R7*S7))</f>
        <v/>
      </c>
      <c r="U7" s="456" t="str">
        <f>AM7</f>
        <v/>
      </c>
      <c r="V7" s="452" t="str">
        <f>IF(C7="","",VLOOKUP(C7,非_単位!$N$38:$O$53,2,FALSE))</f>
        <v>千kWh</v>
      </c>
      <c r="W7" s="453" t="str">
        <f>AN7</f>
        <v/>
      </c>
      <c r="X7" s="439" t="str">
        <f>AO7</f>
        <v/>
      </c>
      <c r="Z7" s="490" t="str">
        <f t="shared" ref="Z7:Z46" si="0">IF(B7="","",IF(LEFT(B7,2)="電気","電気",IF(LEFT(B7,1)="熱","熱",IF(LEFT(B7,4)="都市ガス","都市ガス"))))</f>
        <v>電気</v>
      </c>
      <c r="AA7" s="490" t="str">
        <f>IF(B7="","",IF(B7=非_燃料種類_選択リスト!$I$3,"一般送配電_種類",IF(B7=非_燃料種類_選択リスト!$I$4,"一般送配電以外_種類",IF(B7=非_燃料種類_選択リスト!$I$5,"熱_種類",IF(B7=非_燃料種類_選択リスト!$I$6,"都市ガス_種類","")))))</f>
        <v>一般送配電_種類</v>
      </c>
      <c r="AB7" s="490">
        <f>IF(Z7&lt;&gt;"電気","",非_電気事業者!$S$4*1000)</f>
        <v>0.42199999999999999</v>
      </c>
      <c r="AC7" s="490" t="str">
        <f>IF(Z7&lt;&gt;"電気","",IF(ISERROR(VLOOKUP(D7&amp;F7,非_電気事業者!$R$9:$S$1500,2,FALSE)),"要記入",VLOOKUP(D7&amp;F7,非_電気事業者!$R$9:$S$1500,2,FALSE)*1000))</f>
        <v>要記入</v>
      </c>
      <c r="AD7" s="490" t="str">
        <f>IF(Z7&lt;&gt;"熱","",非_熱供給事業者!$T$4)</f>
        <v/>
      </c>
      <c r="AE7" s="490" t="str">
        <f>IF(Z7&lt;&gt;"熱","",IF(ISERROR(VLOOKUP(D7&amp;F7,非_熱供給事業者!$S$8:$T$100,2,FALSE)),"要記入",VLOOKUP(D7&amp;F7,非_熱供給事業者!$S$8:$T$100,2,FALSE)))</f>
        <v/>
      </c>
      <c r="AF7" s="490" t="str">
        <f>IF(Z7&lt;&gt;"都市ガス","",非_都市ガス事業者!$AB$4)</f>
        <v/>
      </c>
      <c r="AG7" s="490" t="str">
        <f>IF(Z7&lt;&gt;"都市ガス","",IF(ISERROR(VLOOKUP(D7&amp;F7,非_都市ガス事業者!$AA$8:$AB$100,2,FALSE)),"要記入",VLOOKUP(D7&amp;F7,非_都市ガス事業者!$AA$8:$AB$100,2,FALSE)))</f>
        <v/>
      </c>
      <c r="AH7" s="490">
        <f t="shared" ref="AH7:AH46" si="1">IF(Z7="","",IF(Z7="電気",IF(K7="国代替値",AB7,IF(K7="国公表値",AC7,"要記入")),IF(Z7="熱",IF(K7="国代替値",AD7,IF(K7="国公表値",AE7,"要記入")),IF(Z7="都市ガス",IF(K7="国代替値",AF7,IF(K7="国公表値",AG7,"要記入"))))))</f>
        <v>0.42199999999999999</v>
      </c>
      <c r="AI7" s="490" t="str">
        <f>IF(Z7="電気","t-CO2/千kWh",IF(Z7="熱","t-CO2/GJ",IF(Z7="都市ガス","t-CO2/千m3(SATP)","")))</f>
        <v>t-CO2/千kWh</v>
      </c>
      <c r="AJ7" s="490" t="b">
        <f>_xlfn.ISFORMULA(L7)</f>
        <v>1</v>
      </c>
      <c r="AK7" s="490">
        <f>IF(Q7="","",VLOOKUP(Q7,非_単位補正換算!$B$3:$C$16,2,FALSE))</f>
        <v>1000</v>
      </c>
      <c r="AL7" s="490">
        <f>IF(Z7="","",IF(Z7&lt;&gt;"都市ガス",1,IF(G7="","",SUMIFS(非_単位補正換算!$D$52:$D$63,非_単位補正換算!$B$52:$B$63,"都市ガス"&amp;G7,非_単位補正換算!$C$52:$C$63,'13電気・熱_都市ガス'!Q7))))</f>
        <v>1</v>
      </c>
      <c r="AM7" s="490" t="str">
        <f>IF(AND(Q7&lt;&gt;"",T7&lt;&gt;"",AK7&lt;&gt;"",AL7&lt;&gt;""),T7/AK7*AL7,"")</f>
        <v/>
      </c>
      <c r="AN7" s="490" t="str">
        <f t="shared" ref="AN7:AN46" si="2">IF(AND(Z7&lt;&gt;"",AM7&lt;&gt;""),IF(Z7&lt;&gt;"都市ガス",AM7*J7,IF(I7&gt;0,AM7*I7,"")),"")</f>
        <v/>
      </c>
      <c r="AO7" s="490" t="str">
        <f t="shared" ref="AO7:AO46" si="3">IF(AM7="","",IF(ISNUMBER(L7),AM7*L7,""))</f>
        <v/>
      </c>
      <c r="AP7" s="490">
        <f>IF(C7="","",VLOOKUP(C7,非_まとめ表行番号!$F$3:$H$12,2,FALSE))</f>
        <v>47</v>
      </c>
      <c r="AQ7" s="490" t="b">
        <f>_xlfn.ISFORMULA(I7)</f>
        <v>1</v>
      </c>
      <c r="AR7" s="490">
        <f>IF(Z7="","",IF(Z7&lt;&gt;"都市ガス",1,非_係数!$G$55))</f>
        <v>1</v>
      </c>
      <c r="AS7" s="490" t="str">
        <f>IF(AM7="","",AM7*AR7)</f>
        <v/>
      </c>
      <c r="AT7" s="490" t="str">
        <f t="shared" ref="AT7:AT46" si="4">IF(Z7="都市ガス",IF(AS7="","",H7*AS7),"")</f>
        <v/>
      </c>
      <c r="AU7" s="490">
        <f>IF(C7="","",VLOOKUP(C7,非_係数!$B$42:$K$55,9,FALSE))</f>
        <v>0.495</v>
      </c>
      <c r="AV7" s="490" t="str">
        <f>IF(AND(AS7&lt;&gt;"",AU7&lt;&gt;""),IF(Z7&lt;&gt;"都市ガス",AS7*AU7,AT7*AU7*44/12),"")</f>
        <v/>
      </c>
      <c r="AW7" s="490">
        <f>IF(C7="","",VLOOKUP(C7,非_まとめ表行番号!$F$3:$H$12,3,FALSE))</f>
        <v>43</v>
      </c>
      <c r="AX7" s="490" t="str">
        <f t="shared" ref="AX7:AX46" si="5">IF(P7="無","乗率_排出量","")</f>
        <v/>
      </c>
      <c r="AZ7" s="490">
        <f>IF(AP7="","",VLOOKUP(AP7,非_まとめ表行番号!$U$3:$V$56,2,FALSE))</f>
        <v>40</v>
      </c>
      <c r="BA7" s="490" t="str">
        <f>IF(D7="","",D7)</f>
        <v/>
      </c>
      <c r="BB7" s="490" t="str">
        <f>IF(E7="","",E7)</f>
        <v/>
      </c>
      <c r="BC7" s="490">
        <f>IF(H7&lt;&gt;"",H7,IF(J7&lt;&gt;"",J7,""))</f>
        <v>8.64</v>
      </c>
      <c r="BD7" s="490" t="str">
        <f>IF(I7="","",I7)</f>
        <v/>
      </c>
      <c r="BE7" s="490" t="str">
        <f>IF(K7="","",K7)</f>
        <v>国代替値</v>
      </c>
      <c r="BF7" s="490">
        <f>IF(L7="","",L7)</f>
        <v>0.42199999999999999</v>
      </c>
      <c r="BG7" s="490" t="str">
        <f>IF(U7="","",U7)</f>
        <v/>
      </c>
      <c r="BH7" s="490" t="str">
        <f>IF(AO7="","",IF(AO7&gt;0,1,-1))</f>
        <v/>
      </c>
      <c r="BI7" s="84">
        <v>1</v>
      </c>
    </row>
    <row r="8" spans="1:63" ht="18.75" customHeight="1">
      <c r="A8" s="581"/>
      <c r="B8" s="523"/>
      <c r="C8" s="400"/>
      <c r="D8" s="400"/>
      <c r="E8" s="401"/>
      <c r="F8" s="400"/>
      <c r="G8" s="401"/>
      <c r="H8" s="179" t="str">
        <f>IF(Z8&lt;&gt;"都市ガス","",IF(ISERROR(VLOOKUP(D8,非_都市ガス事業者!$O$8:$P$100,2,FALSE)),"",VLOOKUP(D8,非_都市ガス事業者!$O$8:$P$100,2,FALSE)))</f>
        <v/>
      </c>
      <c r="I8" s="402" t="str">
        <f>IF(Z8&lt;&gt;"都市ガス","",非_都市ガス事業者!$P$4)</f>
        <v/>
      </c>
      <c r="J8" s="178" t="str">
        <f>IF(C8="","",IF(Z8&lt;&gt;"都市ガス",VLOOKUP(C8,非_係数!$B$42:$D$55,2,FALSE),""))</f>
        <v/>
      </c>
      <c r="K8" s="401"/>
      <c r="L8" s="503" t="str">
        <f t="shared" ref="L8:L46" si="6">AH8</f>
        <v/>
      </c>
      <c r="M8" s="214" t="str">
        <f t="shared" ref="M8:M41" si="7">AI8</f>
        <v/>
      </c>
      <c r="N8" s="400"/>
      <c r="O8" s="404"/>
      <c r="P8" s="401"/>
      <c r="Q8" s="400"/>
      <c r="R8" s="477"/>
      <c r="S8" s="509"/>
      <c r="T8" s="541" t="str">
        <f>IF(R8="","",IF(S8="",R8,R8*S8))</f>
        <v/>
      </c>
      <c r="U8" s="457" t="str">
        <f t="shared" ref="U8:U36" si="8">AM8</f>
        <v/>
      </c>
      <c r="V8" s="458" t="str">
        <f>IF(C8="","",VLOOKUP(C8,非_単位!$N$38:$O$53,2,FALSE))</f>
        <v/>
      </c>
      <c r="W8" s="450" t="str">
        <f t="shared" ref="W8:W36" si="9">AN8</f>
        <v/>
      </c>
      <c r="X8" s="454" t="str">
        <f t="shared" ref="X8:X36" si="10">AO8</f>
        <v/>
      </c>
      <c r="Z8" s="490" t="str">
        <f t="shared" si="0"/>
        <v/>
      </c>
      <c r="AA8" s="490" t="str">
        <f>IF(B8="","",IF(B8=非_燃料種類_選択リスト!$I$3,"一般送配電_種類",IF(B8=非_燃料種類_選択リスト!$I$4,"一般送配電以外_種類",IF(B8=非_燃料種類_選択リスト!$I$5,"熱_種類",IF(B8=非_燃料種類_選択リスト!$I$6,"都市ガス_種類","")))))</f>
        <v/>
      </c>
      <c r="AB8" s="490" t="str">
        <f>IF(Z8&lt;&gt;"電気","",非_電気事業者!$S$4*1000)</f>
        <v/>
      </c>
      <c r="AC8" s="490" t="str">
        <f>IF(Z8&lt;&gt;"電気","",IF(ISERROR(VLOOKUP(D8&amp;F8,非_電気事業者!$R$9:$S$1500,2,FALSE)),"要記入",VLOOKUP(D8&amp;F8,非_電気事業者!$R$9:$S$1500,2,FALSE)*1000))</f>
        <v/>
      </c>
      <c r="AD8" s="490" t="str">
        <f>IF(Z8&lt;&gt;"熱","",非_熱供給事業者!$T$4)</f>
        <v/>
      </c>
      <c r="AE8" s="490" t="str">
        <f>IF(Z8&lt;&gt;"熱","",IF(ISERROR(VLOOKUP(D8&amp;F8,非_熱供給事業者!$S$8:$T$100,2,FALSE)),"要記入",VLOOKUP(D8&amp;F8,非_熱供給事業者!$S$8:$T$100,2,FALSE)))</f>
        <v/>
      </c>
      <c r="AF8" s="490" t="str">
        <f>IF(Z8&lt;&gt;"都市ガス","",非_都市ガス事業者!$AB$4)</f>
        <v/>
      </c>
      <c r="AG8" s="490" t="str">
        <f>IF(Z8&lt;&gt;"都市ガス","",IF(ISERROR(VLOOKUP(D8&amp;F8,非_都市ガス事業者!$AA$8:$AB$100,2,FALSE)),"要記入",VLOOKUP(D8&amp;F8,非_都市ガス事業者!$AA$8:$AB$100,2,FALSE)))</f>
        <v/>
      </c>
      <c r="AH8" s="490" t="str">
        <f t="shared" si="1"/>
        <v/>
      </c>
      <c r="AI8" s="490" t="str">
        <f t="shared" ref="AI8:AI36" si="11">IF(Z8="電気","t-CO2/千kWh",IF(Z8="熱","t-CO2/GJ",IF(Z8="都市ガス","t-CO2/千m3(SATP)","")))</f>
        <v/>
      </c>
      <c r="AJ8" s="490" t="b">
        <f t="shared" ref="AJ8:AJ71" si="12">_xlfn.ISFORMULA(L8)</f>
        <v>1</v>
      </c>
      <c r="AK8" s="490" t="str">
        <f>IF(Q8="","",VLOOKUP(Q8,非_単位補正換算!$B$3:$C$16,2,FALSE))</f>
        <v/>
      </c>
      <c r="AL8" s="490" t="str">
        <f>IF(Z8="","",IF(Z8&lt;&gt;"都市ガス",1,IF(G8="","",SUMIFS(非_単位補正換算!$D$52:$D$63,非_単位補正換算!$B$52:$B$63,"都市ガス"&amp;G8,非_単位補正換算!$C$52:$C$63,'13電気・熱_都市ガス'!Q8))))</f>
        <v/>
      </c>
      <c r="AM8" s="490" t="str">
        <f t="shared" ref="AM8:AM46" si="13">IF(AND(Q8&lt;&gt;"",T8&lt;&gt;"",AK8&lt;&gt;"",AL8&lt;&gt;""),T8/AK8*AL8,"")</f>
        <v/>
      </c>
      <c r="AN8" s="490" t="str">
        <f t="shared" si="2"/>
        <v/>
      </c>
      <c r="AO8" s="490" t="str">
        <f t="shared" si="3"/>
        <v/>
      </c>
      <c r="AP8" s="490" t="str">
        <f>IF(C8="","",VLOOKUP(C8,非_まとめ表行番号!$F$3:$H$12,2,FALSE))</f>
        <v/>
      </c>
      <c r="AQ8" s="490" t="b">
        <f t="shared" ref="AQ8:AQ71" si="14">_xlfn.ISFORMULA(I8)</f>
        <v>1</v>
      </c>
      <c r="AR8" s="490" t="str">
        <f>IF(Z8="","",IF(Z8&lt;&gt;"都市ガス",1,非_係数!$G$55))</f>
        <v/>
      </c>
      <c r="AS8" s="490" t="str">
        <f t="shared" ref="AS8:AS36" si="15">IF(AM8="","",AM8*AR8)</f>
        <v/>
      </c>
      <c r="AT8" s="490" t="str">
        <f t="shared" si="4"/>
        <v/>
      </c>
      <c r="AU8" s="490" t="str">
        <f>IF(C8="","",VLOOKUP(C8,非_係数!$B$42:$K$55,9,FALSE))</f>
        <v/>
      </c>
      <c r="AV8" s="490" t="str">
        <f t="shared" ref="AV8:AV72" si="16">IF(AND(AS8&lt;&gt;"",AU8&lt;&gt;""),IF(Z8&lt;&gt;"都市ガス",AS8*AU8,AT8*AU8*44/12),"")</f>
        <v/>
      </c>
      <c r="AW8" s="490" t="str">
        <f>IF(C8="","",VLOOKUP(C8,非_まとめ表行番号!$F$3:$H$12,3,FALSE))</f>
        <v/>
      </c>
      <c r="AX8" s="490" t="str">
        <f t="shared" si="5"/>
        <v/>
      </c>
      <c r="AZ8" s="490" t="str">
        <f>IF(AP8="","",VLOOKUP(AP8,非_まとめ表行番号!$U$3:$V$56,2,FALSE))</f>
        <v/>
      </c>
      <c r="BA8" s="490" t="str">
        <f t="shared" ref="BA8:BB46" si="17">IF(D8="","",D8)</f>
        <v/>
      </c>
      <c r="BB8" s="490" t="str">
        <f t="shared" si="17"/>
        <v/>
      </c>
      <c r="BC8" s="490" t="str">
        <f t="shared" ref="BC8:BC71" si="18">IF(H8&lt;&gt;"",H8,IF(J8&lt;&gt;"",J8,""))</f>
        <v/>
      </c>
      <c r="BD8" s="490" t="str">
        <f t="shared" ref="BD8:BD71" si="19">IF(I8="","",I8)</f>
        <v/>
      </c>
      <c r="BE8" s="490" t="str">
        <f t="shared" ref="BE8:BF46" si="20">IF(K8="","",K8)</f>
        <v/>
      </c>
      <c r="BF8" s="490" t="str">
        <f t="shared" si="20"/>
        <v/>
      </c>
      <c r="BG8" s="490" t="str">
        <f t="shared" ref="BG8:BG71" si="21">IF(U8="","",U8)</f>
        <v/>
      </c>
      <c r="BH8" s="490" t="str">
        <f t="shared" ref="BH8:BH71" si="22">IF(AO8="","",IF(AO8&gt;0,1,-1))</f>
        <v/>
      </c>
      <c r="BI8" s="84">
        <v>1</v>
      </c>
    </row>
    <row r="9" spans="1:63" ht="18.75" customHeight="1">
      <c r="A9" s="581"/>
      <c r="B9" s="523"/>
      <c r="C9" s="400"/>
      <c r="D9" s="400"/>
      <c r="E9" s="401"/>
      <c r="F9" s="400"/>
      <c r="G9" s="401"/>
      <c r="H9" s="179" t="str">
        <f>IF(Z9&lt;&gt;"都市ガス","",IF(ISERROR(VLOOKUP(D9,非_都市ガス事業者!$O$8:$P$100,2,FALSE)),"",VLOOKUP(D9,非_都市ガス事業者!$O$8:$P$100,2,FALSE)))</f>
        <v/>
      </c>
      <c r="I9" s="402" t="str">
        <f>IF(Z9&lt;&gt;"都市ガス","",非_都市ガス事業者!$P$4)</f>
        <v/>
      </c>
      <c r="J9" s="178" t="str">
        <f>IF(C9="","",IF(Z9&lt;&gt;"都市ガス",VLOOKUP(C9,非_係数!$B$42:$D$55,2,FALSE),""))</f>
        <v/>
      </c>
      <c r="K9" s="401"/>
      <c r="L9" s="503" t="str">
        <f t="shared" si="6"/>
        <v/>
      </c>
      <c r="M9" s="214" t="str">
        <f t="shared" si="7"/>
        <v/>
      </c>
      <c r="N9" s="400"/>
      <c r="O9" s="404"/>
      <c r="P9" s="401"/>
      <c r="Q9" s="400"/>
      <c r="R9" s="477"/>
      <c r="S9" s="509"/>
      <c r="T9" s="450" t="str">
        <f t="shared" ref="T9:T46" si="23">IF(R9="","",IF(S9="",R9,R9*S9))</f>
        <v/>
      </c>
      <c r="U9" s="459" t="str">
        <f t="shared" si="8"/>
        <v/>
      </c>
      <c r="V9" s="455" t="str">
        <f>IF(C9="","",VLOOKUP(C9,非_単位!$N$38:$O$53,2,FALSE))</f>
        <v/>
      </c>
      <c r="W9" s="450" t="str">
        <f t="shared" si="9"/>
        <v/>
      </c>
      <c r="X9" s="454" t="str">
        <f t="shared" si="10"/>
        <v/>
      </c>
      <c r="Z9" s="490" t="str">
        <f t="shared" si="0"/>
        <v/>
      </c>
      <c r="AA9" s="490" t="str">
        <f>IF(B9="","",IF(B9=非_燃料種類_選択リスト!$I$3,"一般送配電_種類",IF(B9=非_燃料種類_選択リスト!$I$4,"一般送配電以外_種類",IF(B9=非_燃料種類_選択リスト!$I$5,"熱_種類",IF(B9=非_燃料種類_選択リスト!$I$6,"都市ガス_種類","")))))</f>
        <v/>
      </c>
      <c r="AB9" s="490" t="str">
        <f>IF(Z9&lt;&gt;"電気","",非_電気事業者!$S$4*1000)</f>
        <v/>
      </c>
      <c r="AC9" s="490" t="str">
        <f>IF(Z9&lt;&gt;"電気","",IF(ISERROR(VLOOKUP(D9&amp;F9,非_電気事業者!$R$9:$S$1500,2,FALSE)),"要記入",VLOOKUP(D9&amp;F9,非_電気事業者!$R$9:$S$1500,2,FALSE)*1000))</f>
        <v/>
      </c>
      <c r="AD9" s="490" t="str">
        <f>IF(Z9&lt;&gt;"熱","",非_熱供給事業者!$T$4)</f>
        <v/>
      </c>
      <c r="AE9" s="490" t="str">
        <f>IF(Z9&lt;&gt;"熱","",IF(ISERROR(VLOOKUP(D9&amp;F9,非_熱供給事業者!$S$8:$T$100,2,FALSE)),"要記入",VLOOKUP(D9&amp;F9,非_熱供給事業者!$S$8:$T$100,2,FALSE)))</f>
        <v/>
      </c>
      <c r="AF9" s="490" t="str">
        <f>IF(Z9&lt;&gt;"都市ガス","",非_都市ガス事業者!$AB$4)</f>
        <v/>
      </c>
      <c r="AG9" s="490" t="str">
        <f>IF(Z9&lt;&gt;"都市ガス","",IF(ISERROR(VLOOKUP(D9&amp;F9,非_都市ガス事業者!$AA$8:$AB$100,2,FALSE)),"要記入",VLOOKUP(D9&amp;F9,非_都市ガス事業者!$AA$8:$AB$100,2,FALSE)))</f>
        <v/>
      </c>
      <c r="AH9" s="490" t="str">
        <f t="shared" si="1"/>
        <v/>
      </c>
      <c r="AI9" s="490" t="str">
        <f t="shared" si="11"/>
        <v/>
      </c>
      <c r="AJ9" s="490" t="b">
        <f t="shared" si="12"/>
        <v>1</v>
      </c>
      <c r="AK9" s="490" t="str">
        <f>IF(Q9="","",VLOOKUP(Q9,非_単位補正換算!$B$3:$C$16,2,FALSE))</f>
        <v/>
      </c>
      <c r="AL9" s="490" t="str">
        <f>IF(Z9="","",IF(Z9&lt;&gt;"都市ガス",1,IF(G9="","",SUMIFS(非_単位補正換算!$D$52:$D$63,非_単位補正換算!$B$52:$B$63,"都市ガス"&amp;G9,非_単位補正換算!$C$52:$C$63,'13電気・熱_都市ガス'!Q9))))</f>
        <v/>
      </c>
      <c r="AM9" s="490" t="str">
        <f t="shared" si="13"/>
        <v/>
      </c>
      <c r="AN9" s="490" t="str">
        <f t="shared" si="2"/>
        <v/>
      </c>
      <c r="AO9" s="490" t="str">
        <f t="shared" si="3"/>
        <v/>
      </c>
      <c r="AP9" s="490" t="str">
        <f>IF(C9="","",VLOOKUP(C9,非_まとめ表行番号!$F$3:$H$12,2,FALSE))</f>
        <v/>
      </c>
      <c r="AQ9" s="490" t="b">
        <f t="shared" si="14"/>
        <v>1</v>
      </c>
      <c r="AR9" s="490" t="str">
        <f>IF(Z9="","",IF(Z9&lt;&gt;"都市ガス",1,非_係数!$G$55))</f>
        <v/>
      </c>
      <c r="AS9" s="490" t="str">
        <f t="shared" si="15"/>
        <v/>
      </c>
      <c r="AT9" s="490" t="str">
        <f t="shared" si="4"/>
        <v/>
      </c>
      <c r="AU9" s="490" t="str">
        <f>IF(C9="","",VLOOKUP(C9,非_係数!$B$42:$K$55,9,FALSE))</f>
        <v/>
      </c>
      <c r="AV9" s="490" t="str">
        <f t="shared" si="16"/>
        <v/>
      </c>
      <c r="AW9" s="490" t="str">
        <f>IF(C9="","",VLOOKUP(C9,非_まとめ表行番号!$F$3:$H$12,3,FALSE))</f>
        <v/>
      </c>
      <c r="AX9" s="490" t="str">
        <f t="shared" si="5"/>
        <v/>
      </c>
      <c r="AZ9" s="490" t="str">
        <f>IF(AP9="","",VLOOKUP(AP9,非_まとめ表行番号!$U$3:$V$56,2,FALSE))</f>
        <v/>
      </c>
      <c r="BA9" s="490" t="str">
        <f t="shared" si="17"/>
        <v/>
      </c>
      <c r="BB9" s="490" t="str">
        <f t="shared" si="17"/>
        <v/>
      </c>
      <c r="BC9" s="490" t="str">
        <f t="shared" si="18"/>
        <v/>
      </c>
      <c r="BD9" s="490" t="str">
        <f t="shared" si="19"/>
        <v/>
      </c>
      <c r="BE9" s="490" t="str">
        <f t="shared" si="20"/>
        <v/>
      </c>
      <c r="BF9" s="490" t="str">
        <f t="shared" si="20"/>
        <v/>
      </c>
      <c r="BG9" s="490" t="str">
        <f t="shared" si="21"/>
        <v/>
      </c>
      <c r="BH9" s="490" t="str">
        <f t="shared" si="22"/>
        <v/>
      </c>
      <c r="BI9" s="84">
        <v>1</v>
      </c>
    </row>
    <row r="10" spans="1:63" ht="18.75" customHeight="1">
      <c r="A10" s="581"/>
      <c r="B10" s="523"/>
      <c r="C10" s="400"/>
      <c r="D10" s="400"/>
      <c r="E10" s="401"/>
      <c r="F10" s="400"/>
      <c r="G10" s="401"/>
      <c r="H10" s="179" t="str">
        <f>IF(Z10&lt;&gt;"都市ガス","",IF(ISERROR(VLOOKUP(D10,非_都市ガス事業者!$O$8:$P$100,2,FALSE)),"",VLOOKUP(D10,非_都市ガス事業者!$O$8:$P$100,2,FALSE)))</f>
        <v/>
      </c>
      <c r="I10" s="402" t="str">
        <f>IF(Z10&lt;&gt;"都市ガス","",非_都市ガス事業者!$P$4)</f>
        <v/>
      </c>
      <c r="J10" s="178" t="str">
        <f>IF(C10="","",IF(Z10&lt;&gt;"都市ガス",VLOOKUP(C10,非_係数!$B$42:$D$55,2,FALSE),""))</f>
        <v/>
      </c>
      <c r="K10" s="401"/>
      <c r="L10" s="503" t="str">
        <f t="shared" si="6"/>
        <v/>
      </c>
      <c r="M10" s="214" t="str">
        <f t="shared" si="7"/>
        <v/>
      </c>
      <c r="N10" s="400"/>
      <c r="O10" s="404"/>
      <c r="P10" s="401"/>
      <c r="Q10" s="400"/>
      <c r="R10" s="477"/>
      <c r="S10" s="509"/>
      <c r="T10" s="450" t="str">
        <f t="shared" si="23"/>
        <v/>
      </c>
      <c r="U10" s="459" t="str">
        <f t="shared" si="8"/>
        <v/>
      </c>
      <c r="V10" s="455" t="str">
        <f>IF(C10="","",VLOOKUP(C10,非_単位!$N$38:$O$53,2,FALSE))</f>
        <v/>
      </c>
      <c r="W10" s="450" t="str">
        <f t="shared" si="9"/>
        <v/>
      </c>
      <c r="X10" s="454" t="str">
        <f t="shared" si="10"/>
        <v/>
      </c>
      <c r="Z10" s="490" t="str">
        <f t="shared" si="0"/>
        <v/>
      </c>
      <c r="AA10" s="490" t="str">
        <f>IF(B10="","",IF(B10=非_燃料種類_選択リスト!$I$3,"一般送配電_種類",IF(B10=非_燃料種類_選択リスト!$I$4,"一般送配電以外_種類",IF(B10=非_燃料種類_選択リスト!$I$5,"熱_種類",IF(B10=非_燃料種類_選択リスト!$I$6,"都市ガス_種類","")))))</f>
        <v/>
      </c>
      <c r="AB10" s="490" t="str">
        <f>IF(Z10&lt;&gt;"電気","",非_電気事業者!$S$4*1000)</f>
        <v/>
      </c>
      <c r="AC10" s="490" t="str">
        <f>IF(Z10&lt;&gt;"電気","",IF(ISERROR(VLOOKUP(D10&amp;F10,非_電気事業者!$R$9:$S$1500,2,FALSE)),"要記入",VLOOKUP(D10&amp;F10,非_電気事業者!$R$9:$S$1500,2,FALSE)*1000))</f>
        <v/>
      </c>
      <c r="AD10" s="490" t="str">
        <f>IF(Z10&lt;&gt;"熱","",非_熱供給事業者!$T$4)</f>
        <v/>
      </c>
      <c r="AE10" s="490" t="str">
        <f>IF(Z10&lt;&gt;"熱","",IF(ISERROR(VLOOKUP(D10&amp;F10,非_熱供給事業者!$S$8:$T$100,2,FALSE)),"要記入",VLOOKUP(D10&amp;F10,非_熱供給事業者!$S$8:$T$100,2,FALSE)))</f>
        <v/>
      </c>
      <c r="AF10" s="490" t="str">
        <f>IF(Z10&lt;&gt;"都市ガス","",非_都市ガス事業者!$AB$4)</f>
        <v/>
      </c>
      <c r="AG10" s="490" t="str">
        <f>IF(Z10&lt;&gt;"都市ガス","",IF(ISERROR(VLOOKUP(D10&amp;F10,非_都市ガス事業者!$AA$8:$AB$100,2,FALSE)),"要記入",VLOOKUP(D10&amp;F10,非_都市ガス事業者!$AA$8:$AB$100,2,FALSE)))</f>
        <v/>
      </c>
      <c r="AH10" s="490" t="str">
        <f t="shared" si="1"/>
        <v/>
      </c>
      <c r="AI10" s="490" t="str">
        <f t="shared" si="11"/>
        <v/>
      </c>
      <c r="AJ10" s="490" t="b">
        <f t="shared" si="12"/>
        <v>1</v>
      </c>
      <c r="AK10" s="490" t="str">
        <f>IF(Q10="","",VLOOKUP(Q10,非_単位補正換算!$B$3:$C$16,2,FALSE))</f>
        <v/>
      </c>
      <c r="AL10" s="490" t="str">
        <f>IF(Z10="","",IF(Z10&lt;&gt;"都市ガス",1,IF(G10="","",SUMIFS(非_単位補正換算!$D$52:$D$63,非_単位補正換算!$B$52:$B$63,"都市ガス"&amp;G10,非_単位補正換算!$C$52:$C$63,'13電気・熱_都市ガス'!Q10))))</f>
        <v/>
      </c>
      <c r="AM10" s="490" t="str">
        <f t="shared" si="13"/>
        <v/>
      </c>
      <c r="AN10" s="490" t="str">
        <f t="shared" si="2"/>
        <v/>
      </c>
      <c r="AO10" s="490" t="str">
        <f t="shared" si="3"/>
        <v/>
      </c>
      <c r="AP10" s="490" t="str">
        <f>IF(C10="","",VLOOKUP(C10,非_まとめ表行番号!$F$3:$H$12,2,FALSE))</f>
        <v/>
      </c>
      <c r="AQ10" s="490" t="b">
        <f t="shared" si="14"/>
        <v>1</v>
      </c>
      <c r="AR10" s="490" t="str">
        <f>IF(Z10="","",IF(Z10&lt;&gt;"都市ガス",1,非_係数!$G$55))</f>
        <v/>
      </c>
      <c r="AS10" s="490" t="str">
        <f t="shared" si="15"/>
        <v/>
      </c>
      <c r="AT10" s="490" t="str">
        <f t="shared" si="4"/>
        <v/>
      </c>
      <c r="AU10" s="490" t="str">
        <f>IF(C10="","",VLOOKUP(C10,非_係数!$B$42:$K$55,9,FALSE))</f>
        <v/>
      </c>
      <c r="AV10" s="490" t="str">
        <f t="shared" si="16"/>
        <v/>
      </c>
      <c r="AW10" s="490" t="str">
        <f>IF(C10="","",VLOOKUP(C10,非_まとめ表行番号!$F$3:$H$12,3,FALSE))</f>
        <v/>
      </c>
      <c r="AX10" s="490" t="str">
        <f t="shared" si="5"/>
        <v/>
      </c>
      <c r="AZ10" s="490" t="str">
        <f>IF(AP10="","",VLOOKUP(AP10,非_まとめ表行番号!$U$3:$V$56,2,FALSE))</f>
        <v/>
      </c>
      <c r="BA10" s="490" t="str">
        <f t="shared" si="17"/>
        <v/>
      </c>
      <c r="BB10" s="490" t="str">
        <f t="shared" si="17"/>
        <v/>
      </c>
      <c r="BC10" s="490" t="str">
        <f t="shared" si="18"/>
        <v/>
      </c>
      <c r="BD10" s="490" t="str">
        <f t="shared" si="19"/>
        <v/>
      </c>
      <c r="BE10" s="490" t="str">
        <f t="shared" si="20"/>
        <v/>
      </c>
      <c r="BF10" s="490" t="str">
        <f t="shared" si="20"/>
        <v/>
      </c>
      <c r="BG10" s="490" t="str">
        <f t="shared" si="21"/>
        <v/>
      </c>
      <c r="BH10" s="490" t="str">
        <f t="shared" si="22"/>
        <v/>
      </c>
      <c r="BI10" s="84">
        <v>1</v>
      </c>
    </row>
    <row r="11" spans="1:63" ht="18.75" customHeight="1">
      <c r="A11" s="581"/>
      <c r="B11" s="523" t="s">
        <v>362</v>
      </c>
      <c r="C11" s="400" t="s">
        <v>211</v>
      </c>
      <c r="D11" s="400"/>
      <c r="E11" s="401"/>
      <c r="F11" s="400"/>
      <c r="G11" s="401" t="s">
        <v>1463</v>
      </c>
      <c r="H11" s="179" t="str">
        <f>IF(Z11&lt;&gt;"都市ガス","",IF(ISERROR(VLOOKUP(D11,非_都市ガス事業者!$O$8:$P$100,2,FALSE)),"",VLOOKUP(D11,非_都市ガス事業者!$O$8:$P$100,2,FALSE)))</f>
        <v/>
      </c>
      <c r="I11" s="402">
        <f>IF(Z11&lt;&gt;"都市ガス","",非_都市ガス事業者!$P$4)</f>
        <v>40</v>
      </c>
      <c r="J11" s="178" t="str">
        <f>IF(C11="","",IF(Z11&lt;&gt;"都市ガス",VLOOKUP(C11,非_係数!$B$42:$D$55,2,FALSE),""))</f>
        <v/>
      </c>
      <c r="K11" s="401" t="s">
        <v>1461</v>
      </c>
      <c r="L11" s="503">
        <f t="shared" si="6"/>
        <v>2.0499999999999998</v>
      </c>
      <c r="M11" s="214" t="str">
        <f t="shared" si="7"/>
        <v>t-CO2/千m3(SATP)</v>
      </c>
      <c r="N11" s="400" t="s">
        <v>367</v>
      </c>
      <c r="O11" s="404"/>
      <c r="P11" s="401"/>
      <c r="Q11" s="400" t="s">
        <v>375</v>
      </c>
      <c r="R11" s="477"/>
      <c r="S11" s="509"/>
      <c r="T11" s="450" t="str">
        <f t="shared" si="23"/>
        <v/>
      </c>
      <c r="U11" s="459" t="str">
        <f t="shared" si="8"/>
        <v/>
      </c>
      <c r="V11" s="455" t="str">
        <f>IF(C11="","",VLOOKUP(C11,非_単位!$N$38:$O$53,2,FALSE))</f>
        <v>千m3（SATP)</v>
      </c>
      <c r="W11" s="450" t="str">
        <f t="shared" si="9"/>
        <v/>
      </c>
      <c r="X11" s="454" t="str">
        <f t="shared" si="10"/>
        <v/>
      </c>
      <c r="Z11" s="490" t="str">
        <f t="shared" si="0"/>
        <v>都市ガス</v>
      </c>
      <c r="AA11" s="490" t="str">
        <f>IF(B11="","",IF(B11=非_燃料種類_選択リスト!$I$3,"一般送配電_種類",IF(B11=非_燃料種類_選択リスト!$I$4,"一般送配電以外_種類",IF(B11=非_燃料種類_選択リスト!$I$5,"熱_種類",IF(B11=非_燃料種類_選択リスト!$I$6,"都市ガス_種類","")))))</f>
        <v>都市ガス_種類</v>
      </c>
      <c r="AB11" s="490" t="str">
        <f>IF(Z11&lt;&gt;"電気","",非_電気事業者!$S$4*1000)</f>
        <v/>
      </c>
      <c r="AC11" s="490" t="str">
        <f>IF(Z11&lt;&gt;"電気","",IF(ISERROR(VLOOKUP(D11&amp;F11,非_電気事業者!$R$9:$S$1500,2,FALSE)),"要記入",VLOOKUP(D11&amp;F11,非_電気事業者!$R$9:$S$1500,2,FALSE)*1000))</f>
        <v/>
      </c>
      <c r="AD11" s="490" t="str">
        <f>IF(Z11&lt;&gt;"熱","",非_熱供給事業者!$T$4)</f>
        <v/>
      </c>
      <c r="AE11" s="490" t="str">
        <f>IF(Z11&lt;&gt;"熱","",IF(ISERROR(VLOOKUP(D11&amp;F11,非_熱供給事業者!$S$8:$T$100,2,FALSE)),"要記入",VLOOKUP(D11&amp;F11,非_熱供給事業者!$S$8:$T$100,2,FALSE)))</f>
        <v/>
      </c>
      <c r="AF11" s="490">
        <f>IF(Z11&lt;&gt;"都市ガス","",非_都市ガス事業者!$AB$4)</f>
        <v>2.0499999999999998</v>
      </c>
      <c r="AG11" s="490" t="str">
        <f>IF(Z11&lt;&gt;"都市ガス","",IF(ISERROR(VLOOKUP(D11&amp;F11,非_都市ガス事業者!$AA$8:$AB$100,2,FALSE)),"要記入",VLOOKUP(D11&amp;F11,非_都市ガス事業者!$AA$8:$AB$100,2,FALSE)))</f>
        <v>要記入</v>
      </c>
      <c r="AH11" s="490">
        <f t="shared" si="1"/>
        <v>2.0499999999999998</v>
      </c>
      <c r="AI11" s="490" t="str">
        <f t="shared" si="11"/>
        <v>t-CO2/千m3(SATP)</v>
      </c>
      <c r="AJ11" s="490" t="b">
        <f t="shared" si="12"/>
        <v>1</v>
      </c>
      <c r="AK11" s="490">
        <f>IF(Q11="","",VLOOKUP(Q11,非_単位補正換算!$B$3:$C$16,2,FALSE))</f>
        <v>1000</v>
      </c>
      <c r="AL11" s="490">
        <f>IF(Z11="","",IF(Z11&lt;&gt;"都市ガス",1,IF(G11="","",SUMIFS(非_単位補正換算!$D$52:$D$63,非_単位補正換算!$B$52:$B$63,"都市ガス"&amp;G11,非_単位補正換算!$C$52:$C$63,'13電気・熱_都市ガス'!Q11))))</f>
        <v>1.0691080600381746</v>
      </c>
      <c r="AM11" s="490" t="str">
        <f t="shared" si="13"/>
        <v/>
      </c>
      <c r="AN11" s="490" t="str">
        <f t="shared" si="2"/>
        <v/>
      </c>
      <c r="AO11" s="490" t="str">
        <f t="shared" si="3"/>
        <v/>
      </c>
      <c r="AP11" s="490">
        <f>IF(C11="","",VLOOKUP(C11,非_まとめ表行番号!$F$3:$H$12,2,FALSE))</f>
        <v>33</v>
      </c>
      <c r="AQ11" s="490" t="b">
        <f t="shared" si="14"/>
        <v>1</v>
      </c>
      <c r="AR11" s="490">
        <f>IF(Z11="","",IF(Z11&lt;&gt;"都市ガス",1,非_係数!$G$55))</f>
        <v>0.90416934530766024</v>
      </c>
      <c r="AS11" s="490" t="str">
        <f t="shared" si="15"/>
        <v/>
      </c>
      <c r="AT11" s="490" t="str">
        <f t="shared" si="4"/>
        <v/>
      </c>
      <c r="AU11" s="490">
        <f>IF(C11="","",VLOOKUP(C11,非_係数!$B$42:$K$55,9,FALSE))</f>
        <v>1.3599999999999999E-2</v>
      </c>
      <c r="AV11" s="490" t="str">
        <f t="shared" si="16"/>
        <v/>
      </c>
      <c r="AW11" s="490">
        <f>IF(C11="","",VLOOKUP(C11,非_まとめ表行番号!$F$3:$H$12,3,FALSE))</f>
        <v>29</v>
      </c>
      <c r="AX11" s="490" t="str">
        <f t="shared" si="5"/>
        <v/>
      </c>
      <c r="AZ11" s="490">
        <f>IF(AP11="","",VLOOKUP(AP11,非_まとめ表行番号!$U$3:$V$56,2,FALSE))</f>
        <v>28</v>
      </c>
      <c r="BA11" s="490" t="str">
        <f t="shared" si="17"/>
        <v/>
      </c>
      <c r="BB11" s="490" t="str">
        <f t="shared" si="17"/>
        <v/>
      </c>
      <c r="BC11" s="490" t="str">
        <f t="shared" si="18"/>
        <v/>
      </c>
      <c r="BD11" s="490">
        <f t="shared" si="19"/>
        <v>40</v>
      </c>
      <c r="BE11" s="490" t="str">
        <f t="shared" si="20"/>
        <v>国代替値</v>
      </c>
      <c r="BF11" s="490">
        <f t="shared" si="20"/>
        <v>2.0499999999999998</v>
      </c>
      <c r="BG11" s="490" t="str">
        <f t="shared" si="21"/>
        <v/>
      </c>
      <c r="BH11" s="490" t="str">
        <f t="shared" si="22"/>
        <v/>
      </c>
      <c r="BI11" s="84">
        <v>1</v>
      </c>
    </row>
    <row r="12" spans="1:63" ht="18.75" customHeight="1">
      <c r="A12" s="581"/>
      <c r="B12" s="523"/>
      <c r="C12" s="400"/>
      <c r="D12" s="400"/>
      <c r="E12" s="401"/>
      <c r="F12" s="400"/>
      <c r="G12" s="401"/>
      <c r="H12" s="179" t="str">
        <f>IF(Z12&lt;&gt;"都市ガス","",IF(ISERROR(VLOOKUP(D12,非_都市ガス事業者!$O$8:$P$100,2,FALSE)),"",VLOOKUP(D12,非_都市ガス事業者!$O$8:$P$100,2,FALSE)))</f>
        <v/>
      </c>
      <c r="I12" s="402" t="str">
        <f>IF(Z12&lt;&gt;"都市ガス","",非_都市ガス事業者!$P$4)</f>
        <v/>
      </c>
      <c r="J12" s="178" t="str">
        <f>IF(C12="","",IF(Z12&lt;&gt;"都市ガス",VLOOKUP(C12,非_係数!$B$42:$D$55,2,FALSE),""))</f>
        <v/>
      </c>
      <c r="K12" s="401"/>
      <c r="L12" s="503" t="str">
        <f t="shared" si="6"/>
        <v/>
      </c>
      <c r="M12" s="214" t="str">
        <f t="shared" si="7"/>
        <v/>
      </c>
      <c r="N12" s="400"/>
      <c r="O12" s="404"/>
      <c r="P12" s="401"/>
      <c r="Q12" s="400"/>
      <c r="R12" s="477"/>
      <c r="S12" s="509"/>
      <c r="T12" s="450" t="str">
        <f t="shared" si="23"/>
        <v/>
      </c>
      <c r="U12" s="459" t="str">
        <f t="shared" si="8"/>
        <v/>
      </c>
      <c r="V12" s="455" t="str">
        <f>IF(C12="","",VLOOKUP(C12,非_単位!$N$38:$O$53,2,FALSE))</f>
        <v/>
      </c>
      <c r="W12" s="450" t="str">
        <f t="shared" si="9"/>
        <v/>
      </c>
      <c r="X12" s="454" t="str">
        <f t="shared" si="10"/>
        <v/>
      </c>
      <c r="Z12" s="490" t="str">
        <f t="shared" si="0"/>
        <v/>
      </c>
      <c r="AA12" s="490" t="str">
        <f>IF(B12="","",IF(B12=非_燃料種類_選択リスト!$I$3,"一般送配電_種類",IF(B12=非_燃料種類_選択リスト!$I$4,"一般送配電以外_種類",IF(B12=非_燃料種類_選択リスト!$I$5,"熱_種類",IF(B12=非_燃料種類_選択リスト!$I$6,"都市ガス_種類","")))))</f>
        <v/>
      </c>
      <c r="AB12" s="490" t="str">
        <f>IF(Z12&lt;&gt;"電気","",非_電気事業者!$S$4*1000)</f>
        <v/>
      </c>
      <c r="AC12" s="490" t="str">
        <f>IF(Z12&lt;&gt;"電気","",IF(ISERROR(VLOOKUP(D12&amp;F12,非_電気事業者!$R$9:$S$1500,2,FALSE)),"要記入",VLOOKUP(D12&amp;F12,非_電気事業者!$R$9:$S$1500,2,FALSE)*1000))</f>
        <v/>
      </c>
      <c r="AD12" s="490" t="str">
        <f>IF(Z12&lt;&gt;"熱","",非_熱供給事業者!$T$4)</f>
        <v/>
      </c>
      <c r="AE12" s="490" t="str">
        <f>IF(Z12&lt;&gt;"熱","",IF(ISERROR(VLOOKUP(D12&amp;F12,非_熱供給事業者!$S$8:$T$100,2,FALSE)),"要記入",VLOOKUP(D12&amp;F12,非_熱供給事業者!$S$8:$T$100,2,FALSE)))</f>
        <v/>
      </c>
      <c r="AF12" s="490" t="str">
        <f>IF(Z12&lt;&gt;"都市ガス","",非_都市ガス事業者!$AB$4)</f>
        <v/>
      </c>
      <c r="AG12" s="490" t="str">
        <f>IF(Z12&lt;&gt;"都市ガス","",IF(ISERROR(VLOOKUP(D12&amp;F12,非_都市ガス事業者!$AA$8:$AB$100,2,FALSE)),"要記入",VLOOKUP(D12&amp;F12,非_都市ガス事業者!$AA$8:$AB$100,2,FALSE)))</f>
        <v/>
      </c>
      <c r="AH12" s="490" t="str">
        <f t="shared" si="1"/>
        <v/>
      </c>
      <c r="AI12" s="490" t="str">
        <f t="shared" si="11"/>
        <v/>
      </c>
      <c r="AJ12" s="490" t="b">
        <f t="shared" si="12"/>
        <v>1</v>
      </c>
      <c r="AK12" s="490" t="str">
        <f>IF(Q12="","",VLOOKUP(Q12,非_単位補正換算!$B$3:$C$16,2,FALSE))</f>
        <v/>
      </c>
      <c r="AL12" s="490" t="str">
        <f>IF(Z12="","",IF(Z12&lt;&gt;"都市ガス",1,IF(G12="","",SUMIFS(非_単位補正換算!$D$52:$D$63,非_単位補正換算!$B$52:$B$63,"都市ガス"&amp;G12,非_単位補正換算!$C$52:$C$63,'13電気・熱_都市ガス'!Q12))))</f>
        <v/>
      </c>
      <c r="AM12" s="490" t="str">
        <f t="shared" si="13"/>
        <v/>
      </c>
      <c r="AN12" s="490" t="str">
        <f t="shared" si="2"/>
        <v/>
      </c>
      <c r="AO12" s="490" t="str">
        <f t="shared" si="3"/>
        <v/>
      </c>
      <c r="AP12" s="490" t="str">
        <f>IF(C12="","",VLOOKUP(C12,非_まとめ表行番号!$F$3:$H$12,2,FALSE))</f>
        <v/>
      </c>
      <c r="AQ12" s="490" t="b">
        <f t="shared" si="14"/>
        <v>1</v>
      </c>
      <c r="AR12" s="490" t="str">
        <f>IF(Z12="","",IF(Z12&lt;&gt;"都市ガス",1,非_係数!$G$55))</f>
        <v/>
      </c>
      <c r="AS12" s="490" t="str">
        <f t="shared" si="15"/>
        <v/>
      </c>
      <c r="AT12" s="490" t="str">
        <f t="shared" si="4"/>
        <v/>
      </c>
      <c r="AU12" s="490" t="str">
        <f>IF(C12="","",VLOOKUP(C12,非_係数!$B$42:$K$55,9,FALSE))</f>
        <v/>
      </c>
      <c r="AV12" s="490" t="str">
        <f t="shared" si="16"/>
        <v/>
      </c>
      <c r="AW12" s="490" t="str">
        <f>IF(C12="","",VLOOKUP(C12,非_まとめ表行番号!$F$3:$H$12,3,FALSE))</f>
        <v/>
      </c>
      <c r="AX12" s="490" t="str">
        <f t="shared" si="5"/>
        <v/>
      </c>
      <c r="AZ12" s="490" t="str">
        <f>IF(AP12="","",VLOOKUP(AP12,非_まとめ表行番号!$U$3:$V$56,2,FALSE))</f>
        <v/>
      </c>
      <c r="BA12" s="490" t="str">
        <f t="shared" si="17"/>
        <v/>
      </c>
      <c r="BB12" s="490" t="str">
        <f t="shared" si="17"/>
        <v/>
      </c>
      <c r="BC12" s="490" t="str">
        <f t="shared" si="18"/>
        <v/>
      </c>
      <c r="BD12" s="490" t="str">
        <f t="shared" si="19"/>
        <v/>
      </c>
      <c r="BE12" s="490" t="str">
        <f t="shared" si="20"/>
        <v/>
      </c>
      <c r="BF12" s="490" t="str">
        <f t="shared" si="20"/>
        <v/>
      </c>
      <c r="BG12" s="490" t="str">
        <f t="shared" si="21"/>
        <v/>
      </c>
      <c r="BH12" s="490" t="str">
        <f t="shared" si="22"/>
        <v/>
      </c>
      <c r="BI12" s="84">
        <v>1</v>
      </c>
    </row>
    <row r="13" spans="1:63" ht="18.75" customHeight="1">
      <c r="A13" s="581"/>
      <c r="B13" s="523" t="s">
        <v>1476</v>
      </c>
      <c r="C13" s="400" t="s">
        <v>1487</v>
      </c>
      <c r="D13" s="400"/>
      <c r="E13" s="401"/>
      <c r="F13" s="400"/>
      <c r="G13" s="401"/>
      <c r="H13" s="179" t="str">
        <f>IF(Z13&lt;&gt;"都市ガス","",IF(ISERROR(VLOOKUP(D13,非_都市ガス事業者!$O$8:$P$100,2,FALSE)),"",VLOOKUP(D13,非_都市ガス事業者!$O$8:$P$100,2,FALSE)))</f>
        <v/>
      </c>
      <c r="I13" s="402" t="str">
        <f>IF(Z13&lt;&gt;"都市ガス","",非_都市ガス事業者!$P$4)</f>
        <v/>
      </c>
      <c r="J13" s="178">
        <f>IF(C13="","",IF(Z13&lt;&gt;"都市ガス",VLOOKUP(C13,非_係数!$B$42:$D$55,2,FALSE),""))</f>
        <v>8.64</v>
      </c>
      <c r="K13" s="401" t="s">
        <v>1460</v>
      </c>
      <c r="L13" s="503" t="str">
        <f t="shared" si="6"/>
        <v>要記入</v>
      </c>
      <c r="M13" s="214" t="str">
        <f t="shared" si="7"/>
        <v>t-CO2/千kWh</v>
      </c>
      <c r="N13" s="400" t="s">
        <v>367</v>
      </c>
      <c r="O13" s="404"/>
      <c r="P13" s="401" t="s">
        <v>365</v>
      </c>
      <c r="Q13" s="400"/>
      <c r="R13" s="477"/>
      <c r="S13" s="509"/>
      <c r="T13" s="450" t="str">
        <f t="shared" si="23"/>
        <v/>
      </c>
      <c r="U13" s="459" t="str">
        <f t="shared" si="8"/>
        <v/>
      </c>
      <c r="V13" s="455" t="str">
        <f>IF(C13="","",VLOOKUP(C13,非_単位!$N$38:$O$53,2,FALSE))</f>
        <v>千kWh</v>
      </c>
      <c r="W13" s="450" t="str">
        <f t="shared" si="9"/>
        <v/>
      </c>
      <c r="X13" s="454" t="str">
        <f t="shared" si="10"/>
        <v/>
      </c>
      <c r="Z13" s="490" t="str">
        <f t="shared" si="0"/>
        <v>電気</v>
      </c>
      <c r="AA13" s="490" t="str">
        <f>IF(B13="","",IF(B13=非_燃料種類_選択リスト!$I$3,"一般送配電_種類",IF(B13=非_燃料種類_選択リスト!$I$4,"一般送配電以外_種類",IF(B13=非_燃料種類_選択リスト!$I$5,"熱_種類",IF(B13=非_燃料種類_選択リスト!$I$6,"都市ガス_種類","")))))</f>
        <v>一般送配電以外_種類</v>
      </c>
      <c r="AB13" s="490">
        <f>IF(Z13&lt;&gt;"電気","",非_電気事業者!$S$4*1000)</f>
        <v>0.42199999999999999</v>
      </c>
      <c r="AC13" s="490" t="str">
        <f>IF(Z13&lt;&gt;"電気","",IF(ISERROR(VLOOKUP(D13&amp;F13,非_電気事業者!$R$9:$S$1500,2,FALSE)),"要記入",VLOOKUP(D13&amp;F13,非_電気事業者!$R$9:$S$1500,2,FALSE)*1000))</f>
        <v>要記入</v>
      </c>
      <c r="AD13" s="490" t="str">
        <f>IF(Z13&lt;&gt;"熱","",非_熱供給事業者!$T$4)</f>
        <v/>
      </c>
      <c r="AE13" s="490" t="str">
        <f>IF(Z13&lt;&gt;"熱","",IF(ISERROR(VLOOKUP(D13&amp;F13,非_熱供給事業者!$S$8:$T$100,2,FALSE)),"要記入",VLOOKUP(D13&amp;F13,非_熱供給事業者!$S$8:$T$100,2,FALSE)))</f>
        <v/>
      </c>
      <c r="AF13" s="490" t="str">
        <f>IF(Z13&lt;&gt;"都市ガス","",非_都市ガス事業者!$AB$4)</f>
        <v/>
      </c>
      <c r="AG13" s="490" t="str">
        <f>IF(Z13&lt;&gt;"都市ガス","",IF(ISERROR(VLOOKUP(D13&amp;F13,非_都市ガス事業者!$AA$8:$AB$100,2,FALSE)),"要記入",VLOOKUP(D13&amp;F13,非_都市ガス事業者!$AA$8:$AB$100,2,FALSE)))</f>
        <v/>
      </c>
      <c r="AH13" s="490" t="str">
        <f t="shared" si="1"/>
        <v>要記入</v>
      </c>
      <c r="AI13" s="490" t="str">
        <f t="shared" si="11"/>
        <v>t-CO2/千kWh</v>
      </c>
      <c r="AJ13" s="490" t="b">
        <f t="shared" si="12"/>
        <v>1</v>
      </c>
      <c r="AK13" s="490" t="str">
        <f>IF(Q13="","",VLOOKUP(Q13,非_単位補正換算!$B$3:$C$16,2,FALSE))</f>
        <v/>
      </c>
      <c r="AL13" s="490">
        <f>IF(Z13="","",IF(Z13&lt;&gt;"都市ガス",1,IF(G13="","",SUMIFS(非_単位補正換算!$D$52:$D$63,非_単位補正換算!$B$52:$B$63,"都市ガス"&amp;G13,非_単位補正換算!$C$52:$C$63,'13電気・熱_都市ガス'!Q13))))</f>
        <v>1</v>
      </c>
      <c r="AM13" s="490" t="str">
        <f t="shared" si="13"/>
        <v/>
      </c>
      <c r="AN13" s="490" t="str">
        <f t="shared" si="2"/>
        <v/>
      </c>
      <c r="AO13" s="490" t="str">
        <f t="shared" si="3"/>
        <v/>
      </c>
      <c r="AP13" s="490">
        <f>IF(C13="","",VLOOKUP(C13,非_まとめ表行番号!$F$3:$H$12,2,FALSE))</f>
        <v>47</v>
      </c>
      <c r="AQ13" s="490" t="b">
        <f t="shared" si="14"/>
        <v>1</v>
      </c>
      <c r="AR13" s="490">
        <f>IF(Z13="","",IF(Z13&lt;&gt;"都市ガス",1,非_係数!$G$55))</f>
        <v>1</v>
      </c>
      <c r="AS13" s="490" t="str">
        <f t="shared" si="15"/>
        <v/>
      </c>
      <c r="AT13" s="490" t="str">
        <f t="shared" si="4"/>
        <v/>
      </c>
      <c r="AU13" s="490">
        <f>IF(C13="","",VLOOKUP(C13,非_係数!$B$42:$K$55,9,FALSE))</f>
        <v>0.495</v>
      </c>
      <c r="AV13" s="490" t="str">
        <f t="shared" si="16"/>
        <v/>
      </c>
      <c r="AW13" s="490">
        <f>IF(C13="","",VLOOKUP(C13,非_まとめ表行番号!$F$3:$H$12,3,FALSE))</f>
        <v>43</v>
      </c>
      <c r="AX13" s="490" t="str">
        <f t="shared" si="5"/>
        <v>乗率_排出量</v>
      </c>
      <c r="AZ13" s="490">
        <f>IF(AP13="","",VLOOKUP(AP13,非_まとめ表行番号!$U$3:$V$56,2,FALSE))</f>
        <v>40</v>
      </c>
      <c r="BA13" s="490" t="str">
        <f t="shared" si="17"/>
        <v/>
      </c>
      <c r="BB13" s="490" t="str">
        <f t="shared" si="17"/>
        <v/>
      </c>
      <c r="BC13" s="490">
        <f t="shared" si="18"/>
        <v>8.64</v>
      </c>
      <c r="BD13" s="490" t="str">
        <f t="shared" si="19"/>
        <v/>
      </c>
      <c r="BE13" s="490" t="str">
        <f t="shared" si="20"/>
        <v>国公表値</v>
      </c>
      <c r="BF13" s="490" t="str">
        <f t="shared" si="20"/>
        <v>要記入</v>
      </c>
      <c r="BG13" s="490" t="str">
        <f t="shared" si="21"/>
        <v/>
      </c>
      <c r="BH13" s="490" t="str">
        <f t="shared" si="22"/>
        <v/>
      </c>
      <c r="BI13" s="84">
        <v>1</v>
      </c>
    </row>
    <row r="14" spans="1:63" ht="18.75" customHeight="1">
      <c r="A14" s="581"/>
      <c r="B14" s="523"/>
      <c r="C14" s="400"/>
      <c r="D14" s="400"/>
      <c r="E14" s="401"/>
      <c r="F14" s="400"/>
      <c r="G14" s="401"/>
      <c r="H14" s="179" t="str">
        <f>IF(Z14&lt;&gt;"都市ガス","",IF(ISERROR(VLOOKUP(D14,非_都市ガス事業者!$O$8:$P$100,2,FALSE)),"",VLOOKUP(D14,非_都市ガス事業者!$O$8:$P$100,2,FALSE)))</f>
        <v/>
      </c>
      <c r="I14" s="402" t="str">
        <f>IF(Z14&lt;&gt;"都市ガス","",非_都市ガス事業者!$P$4)</f>
        <v/>
      </c>
      <c r="J14" s="178" t="str">
        <f>IF(C14="","",IF(Z14&lt;&gt;"都市ガス",VLOOKUP(C14,非_係数!$B$42:$D$55,2,FALSE),""))</f>
        <v/>
      </c>
      <c r="K14" s="401"/>
      <c r="L14" s="503" t="str">
        <f t="shared" si="6"/>
        <v/>
      </c>
      <c r="M14" s="214" t="str">
        <f t="shared" si="7"/>
        <v/>
      </c>
      <c r="N14" s="400"/>
      <c r="O14" s="404"/>
      <c r="P14" s="401"/>
      <c r="Q14" s="400"/>
      <c r="R14" s="477"/>
      <c r="S14" s="509"/>
      <c r="T14" s="450" t="str">
        <f t="shared" si="23"/>
        <v/>
      </c>
      <c r="U14" s="459" t="str">
        <f t="shared" si="8"/>
        <v/>
      </c>
      <c r="V14" s="455" t="str">
        <f>IF(C14="","",VLOOKUP(C14,非_単位!$N$38:$O$53,2,FALSE))</f>
        <v/>
      </c>
      <c r="W14" s="450" t="str">
        <f t="shared" si="9"/>
        <v/>
      </c>
      <c r="X14" s="454" t="str">
        <f t="shared" si="10"/>
        <v/>
      </c>
      <c r="Z14" s="490" t="str">
        <f t="shared" si="0"/>
        <v/>
      </c>
      <c r="AA14" s="490" t="str">
        <f>IF(B14="","",IF(B14=非_燃料種類_選択リスト!$I$3,"一般送配電_種類",IF(B14=非_燃料種類_選択リスト!$I$4,"一般送配電以外_種類",IF(B14=非_燃料種類_選択リスト!$I$5,"熱_種類",IF(B14=非_燃料種類_選択リスト!$I$6,"都市ガス_種類","")))))</f>
        <v/>
      </c>
      <c r="AB14" s="490" t="str">
        <f>IF(Z14&lt;&gt;"電気","",非_電気事業者!$S$4*1000)</f>
        <v/>
      </c>
      <c r="AC14" s="490" t="str">
        <f>IF(Z14&lt;&gt;"電気","",IF(ISERROR(VLOOKUP(D14&amp;F14,非_電気事業者!$R$9:$S$1500,2,FALSE)),"要記入",VLOOKUP(D14&amp;F14,非_電気事業者!$R$9:$S$1500,2,FALSE)*1000))</f>
        <v/>
      </c>
      <c r="AD14" s="490" t="str">
        <f>IF(Z14&lt;&gt;"熱","",非_熱供給事業者!$T$4)</f>
        <v/>
      </c>
      <c r="AE14" s="490" t="str">
        <f>IF(Z14&lt;&gt;"熱","",IF(ISERROR(VLOOKUP(D14&amp;F14,非_熱供給事業者!$S$8:$T$100,2,FALSE)),"要記入",VLOOKUP(D14&amp;F14,非_熱供給事業者!$S$8:$T$100,2,FALSE)))</f>
        <v/>
      </c>
      <c r="AF14" s="490" t="str">
        <f>IF(Z14&lt;&gt;"都市ガス","",非_都市ガス事業者!$AB$4)</f>
        <v/>
      </c>
      <c r="AG14" s="490" t="str">
        <f>IF(Z14&lt;&gt;"都市ガス","",IF(ISERROR(VLOOKUP(D14&amp;F14,非_都市ガス事業者!$AA$8:$AB$100,2,FALSE)),"要記入",VLOOKUP(D14&amp;F14,非_都市ガス事業者!$AA$8:$AB$100,2,FALSE)))</f>
        <v/>
      </c>
      <c r="AH14" s="490" t="str">
        <f t="shared" si="1"/>
        <v/>
      </c>
      <c r="AI14" s="490" t="str">
        <f t="shared" si="11"/>
        <v/>
      </c>
      <c r="AJ14" s="490" t="b">
        <f t="shared" si="12"/>
        <v>1</v>
      </c>
      <c r="AK14" s="490" t="str">
        <f>IF(Q14="","",VLOOKUP(Q14,非_単位補正換算!$B$3:$C$16,2,FALSE))</f>
        <v/>
      </c>
      <c r="AL14" s="490" t="str">
        <f>IF(Z14="","",IF(Z14&lt;&gt;"都市ガス",1,IF(G14="","",SUMIFS(非_単位補正換算!$D$52:$D$63,非_単位補正換算!$B$52:$B$63,"都市ガス"&amp;G14,非_単位補正換算!$C$52:$C$63,'13電気・熱_都市ガス'!Q14))))</f>
        <v/>
      </c>
      <c r="AM14" s="490" t="str">
        <f t="shared" si="13"/>
        <v/>
      </c>
      <c r="AN14" s="490" t="str">
        <f t="shared" si="2"/>
        <v/>
      </c>
      <c r="AO14" s="490" t="str">
        <f t="shared" si="3"/>
        <v/>
      </c>
      <c r="AP14" s="490" t="str">
        <f>IF(C14="","",VLOOKUP(C14,非_まとめ表行番号!$F$3:$H$12,2,FALSE))</f>
        <v/>
      </c>
      <c r="AQ14" s="490" t="b">
        <f t="shared" si="14"/>
        <v>1</v>
      </c>
      <c r="AR14" s="490" t="str">
        <f>IF(Z14="","",IF(Z14&lt;&gt;"都市ガス",1,非_係数!$G$55))</f>
        <v/>
      </c>
      <c r="AS14" s="490" t="str">
        <f t="shared" si="15"/>
        <v/>
      </c>
      <c r="AT14" s="490" t="str">
        <f t="shared" si="4"/>
        <v/>
      </c>
      <c r="AU14" s="490" t="str">
        <f>IF(C14="","",VLOOKUP(C14,非_係数!$B$42:$K$55,9,FALSE))</f>
        <v/>
      </c>
      <c r="AV14" s="490" t="str">
        <f t="shared" si="16"/>
        <v/>
      </c>
      <c r="AW14" s="490" t="str">
        <f>IF(C14="","",VLOOKUP(C14,非_まとめ表行番号!$F$3:$H$12,3,FALSE))</f>
        <v/>
      </c>
      <c r="AX14" s="490" t="str">
        <f t="shared" si="5"/>
        <v/>
      </c>
      <c r="AZ14" s="490" t="str">
        <f>IF(AP14="","",VLOOKUP(AP14,非_まとめ表行番号!$U$3:$V$56,2,FALSE))</f>
        <v/>
      </c>
      <c r="BA14" s="490" t="str">
        <f t="shared" si="17"/>
        <v/>
      </c>
      <c r="BB14" s="490" t="str">
        <f t="shared" si="17"/>
        <v/>
      </c>
      <c r="BC14" s="490" t="str">
        <f t="shared" si="18"/>
        <v/>
      </c>
      <c r="BD14" s="490" t="str">
        <f t="shared" si="19"/>
        <v/>
      </c>
      <c r="BE14" s="490" t="str">
        <f t="shared" si="20"/>
        <v/>
      </c>
      <c r="BF14" s="490" t="str">
        <f t="shared" si="20"/>
        <v/>
      </c>
      <c r="BG14" s="490" t="str">
        <f t="shared" si="21"/>
        <v/>
      </c>
      <c r="BH14" s="490" t="str">
        <f t="shared" si="22"/>
        <v/>
      </c>
      <c r="BI14" s="84">
        <v>1</v>
      </c>
    </row>
    <row r="15" spans="1:63" ht="18.75" hidden="1" customHeight="1">
      <c r="A15" s="581"/>
      <c r="B15" s="523"/>
      <c r="C15" s="400"/>
      <c r="D15" s="400"/>
      <c r="E15" s="401"/>
      <c r="F15" s="400"/>
      <c r="G15" s="401"/>
      <c r="H15" s="179" t="str">
        <f>IF(Z15&lt;&gt;"都市ガス","",IF(ISERROR(VLOOKUP(D15,非_都市ガス事業者!$O$8:$P$100,2,FALSE)),"",VLOOKUP(D15,非_都市ガス事業者!$O$8:$P$100,2,FALSE)))</f>
        <v/>
      </c>
      <c r="I15" s="402" t="str">
        <f>IF(Z15&lt;&gt;"都市ガス","",非_都市ガス事業者!$P$4)</f>
        <v/>
      </c>
      <c r="J15" s="178" t="str">
        <f>IF(C15="","",IF(Z15&lt;&gt;"都市ガス",VLOOKUP(C15,非_係数!$B$42:$D$55,2,FALSE),""))</f>
        <v/>
      </c>
      <c r="K15" s="401"/>
      <c r="L15" s="503" t="str">
        <f t="shared" si="6"/>
        <v/>
      </c>
      <c r="M15" s="214" t="str">
        <f t="shared" si="7"/>
        <v/>
      </c>
      <c r="N15" s="400"/>
      <c r="O15" s="404"/>
      <c r="P15" s="401"/>
      <c r="Q15" s="400"/>
      <c r="R15" s="477"/>
      <c r="S15" s="509"/>
      <c r="T15" s="450" t="str">
        <f t="shared" si="23"/>
        <v/>
      </c>
      <c r="U15" s="459" t="str">
        <f t="shared" si="8"/>
        <v/>
      </c>
      <c r="V15" s="455" t="str">
        <f>IF(C15="","",VLOOKUP(C15,非_単位!$N$38:$O$53,2,FALSE))</f>
        <v/>
      </c>
      <c r="W15" s="450" t="str">
        <f t="shared" si="9"/>
        <v/>
      </c>
      <c r="X15" s="454" t="str">
        <f t="shared" si="10"/>
        <v/>
      </c>
      <c r="Z15" s="490" t="str">
        <f t="shared" si="0"/>
        <v/>
      </c>
      <c r="AA15" s="490" t="str">
        <f>IF(B15="","",IF(B15=非_燃料種類_選択リスト!$I$3,"一般送配電_種類",IF(B15=非_燃料種類_選択リスト!$I$4,"一般送配電以外_種類",IF(B15=非_燃料種類_選択リスト!$I$5,"熱_種類",IF(B15=非_燃料種類_選択リスト!$I$6,"都市ガス_種類","")))))</f>
        <v/>
      </c>
      <c r="AB15" s="490" t="str">
        <f>IF(Z15&lt;&gt;"電気","",非_電気事業者!$S$4*1000)</f>
        <v/>
      </c>
      <c r="AC15" s="490" t="str">
        <f>IF(Z15&lt;&gt;"電気","",IF(ISERROR(VLOOKUP(D15&amp;F15,非_電気事業者!$R$9:$S$1500,2,FALSE)),"要記入",VLOOKUP(D15&amp;F15,非_電気事業者!$R$9:$S$1500,2,FALSE)*1000))</f>
        <v/>
      </c>
      <c r="AD15" s="490" t="str">
        <f>IF(Z15&lt;&gt;"熱","",非_熱供給事業者!$T$4)</f>
        <v/>
      </c>
      <c r="AE15" s="490" t="str">
        <f>IF(Z15&lt;&gt;"熱","",IF(ISERROR(VLOOKUP(D15&amp;F15,非_熱供給事業者!$S$8:$T$100,2,FALSE)),"要記入",VLOOKUP(D15&amp;F15,非_熱供給事業者!$S$8:$T$100,2,FALSE)))</f>
        <v/>
      </c>
      <c r="AF15" s="490" t="str">
        <f>IF(Z15&lt;&gt;"都市ガス","",非_都市ガス事業者!$AB$4)</f>
        <v/>
      </c>
      <c r="AG15" s="490" t="str">
        <f>IF(Z15&lt;&gt;"都市ガス","",IF(ISERROR(VLOOKUP(D15&amp;F15,非_都市ガス事業者!$AA$8:$AB$100,2,FALSE)),"要記入",VLOOKUP(D15&amp;F15,非_都市ガス事業者!$AA$8:$AB$100,2,FALSE)))</f>
        <v/>
      </c>
      <c r="AH15" s="490" t="str">
        <f t="shared" si="1"/>
        <v/>
      </c>
      <c r="AI15" s="490" t="str">
        <f t="shared" si="11"/>
        <v/>
      </c>
      <c r="AJ15" s="490" t="b">
        <f t="shared" si="12"/>
        <v>1</v>
      </c>
      <c r="AK15" s="490" t="str">
        <f>IF(Q15="","",VLOOKUP(Q15,非_単位補正換算!$B$3:$C$16,2,FALSE))</f>
        <v/>
      </c>
      <c r="AL15" s="490" t="str">
        <f>IF(Z15="","",IF(Z15&lt;&gt;"都市ガス",1,IF(G15="","",SUMIFS(非_単位補正換算!$D$52:$D$63,非_単位補正換算!$B$52:$B$63,"都市ガス"&amp;G15,非_単位補正換算!$C$52:$C$63,'13電気・熱_都市ガス'!Q15))))</f>
        <v/>
      </c>
      <c r="AM15" s="490" t="str">
        <f t="shared" si="13"/>
        <v/>
      </c>
      <c r="AN15" s="490" t="str">
        <f t="shared" si="2"/>
        <v/>
      </c>
      <c r="AO15" s="490" t="str">
        <f t="shared" si="3"/>
        <v/>
      </c>
      <c r="AP15" s="490" t="str">
        <f>IF(C15="","",VLOOKUP(C15,非_まとめ表行番号!$F$3:$H$12,2,FALSE))</f>
        <v/>
      </c>
      <c r="AQ15" s="490" t="b">
        <f t="shared" si="14"/>
        <v>1</v>
      </c>
      <c r="AR15" s="490" t="str">
        <f>IF(Z15="","",IF(Z15&lt;&gt;"都市ガス",1,非_係数!$G$55))</f>
        <v/>
      </c>
      <c r="AS15" s="490" t="str">
        <f t="shared" si="15"/>
        <v/>
      </c>
      <c r="AT15" s="490" t="str">
        <f t="shared" si="4"/>
        <v/>
      </c>
      <c r="AU15" s="490" t="str">
        <f>IF(C15="","",VLOOKUP(C15,非_係数!$B$42:$K$55,9,FALSE))</f>
        <v/>
      </c>
      <c r="AV15" s="490" t="str">
        <f t="shared" si="16"/>
        <v/>
      </c>
      <c r="AW15" s="490" t="str">
        <f>IF(C15="","",VLOOKUP(C15,非_まとめ表行番号!$F$3:$H$12,3,FALSE))</f>
        <v/>
      </c>
      <c r="AX15" s="490" t="str">
        <f t="shared" si="5"/>
        <v/>
      </c>
      <c r="AZ15" s="490" t="str">
        <f>IF(AP15="","",VLOOKUP(AP15,非_まとめ表行番号!$U$3:$V$56,2,FALSE))</f>
        <v/>
      </c>
      <c r="BA15" s="490" t="str">
        <f t="shared" si="17"/>
        <v/>
      </c>
      <c r="BB15" s="490" t="str">
        <f t="shared" si="17"/>
        <v/>
      </c>
      <c r="BC15" s="490" t="str">
        <f t="shared" si="18"/>
        <v/>
      </c>
      <c r="BD15" s="490" t="str">
        <f t="shared" si="19"/>
        <v/>
      </c>
      <c r="BE15" s="490" t="str">
        <f t="shared" si="20"/>
        <v/>
      </c>
      <c r="BF15" s="490" t="str">
        <f t="shared" si="20"/>
        <v/>
      </c>
      <c r="BG15" s="490" t="str">
        <f t="shared" si="21"/>
        <v/>
      </c>
      <c r="BH15" s="490" t="str">
        <f t="shared" si="22"/>
        <v/>
      </c>
      <c r="BI15" s="84">
        <v>1</v>
      </c>
    </row>
    <row r="16" spans="1:63" ht="18.75" hidden="1" customHeight="1">
      <c r="A16" s="581"/>
      <c r="B16" s="523"/>
      <c r="C16" s="400"/>
      <c r="D16" s="400"/>
      <c r="E16" s="401"/>
      <c r="F16" s="400"/>
      <c r="G16" s="401"/>
      <c r="H16" s="179" t="str">
        <f>IF(Z16&lt;&gt;"都市ガス","",IF(ISERROR(VLOOKUP(D16,非_都市ガス事業者!$O$8:$P$100,2,FALSE)),"",VLOOKUP(D16,非_都市ガス事業者!$O$8:$P$100,2,FALSE)))</f>
        <v/>
      </c>
      <c r="I16" s="402" t="str">
        <f>IF(Z16&lt;&gt;"都市ガス","",非_都市ガス事業者!$P$4)</f>
        <v/>
      </c>
      <c r="J16" s="178" t="str">
        <f>IF(C16="","",IF(Z16&lt;&gt;"都市ガス",VLOOKUP(C16,非_係数!$B$42:$D$55,2,FALSE),""))</f>
        <v/>
      </c>
      <c r="K16" s="401"/>
      <c r="L16" s="503" t="str">
        <f t="shared" si="6"/>
        <v/>
      </c>
      <c r="M16" s="214" t="str">
        <f t="shared" si="7"/>
        <v/>
      </c>
      <c r="N16" s="400"/>
      <c r="O16" s="404"/>
      <c r="P16" s="401"/>
      <c r="Q16" s="400"/>
      <c r="R16" s="477"/>
      <c r="S16" s="509"/>
      <c r="T16" s="450" t="str">
        <f t="shared" si="23"/>
        <v/>
      </c>
      <c r="U16" s="459" t="str">
        <f t="shared" si="8"/>
        <v/>
      </c>
      <c r="V16" s="455" t="str">
        <f>IF(C16="","",VLOOKUP(C16,非_単位!$N$38:$O$53,2,FALSE))</f>
        <v/>
      </c>
      <c r="W16" s="450" t="str">
        <f t="shared" si="9"/>
        <v/>
      </c>
      <c r="X16" s="454" t="str">
        <f t="shared" si="10"/>
        <v/>
      </c>
      <c r="Z16" s="490" t="str">
        <f t="shared" si="0"/>
        <v/>
      </c>
      <c r="AA16" s="490" t="str">
        <f>IF(B16="","",IF(B16=非_燃料種類_選択リスト!$I$3,"一般送配電_種類",IF(B16=非_燃料種類_選択リスト!$I$4,"一般送配電以外_種類",IF(B16=非_燃料種類_選択リスト!$I$5,"熱_種類",IF(B16=非_燃料種類_選択リスト!$I$6,"都市ガス_種類","")))))</f>
        <v/>
      </c>
      <c r="AB16" s="490" t="str">
        <f>IF(Z16&lt;&gt;"電気","",非_電気事業者!$S$4*1000)</f>
        <v/>
      </c>
      <c r="AC16" s="490" t="str">
        <f>IF(Z16&lt;&gt;"電気","",IF(ISERROR(VLOOKUP(D16&amp;F16,非_電気事業者!$R$9:$S$1500,2,FALSE)),"要記入",VLOOKUP(D16&amp;F16,非_電気事業者!$R$9:$S$1500,2,FALSE)*1000))</f>
        <v/>
      </c>
      <c r="AD16" s="490" t="str">
        <f>IF(Z16&lt;&gt;"熱","",非_熱供給事業者!$T$4)</f>
        <v/>
      </c>
      <c r="AE16" s="490" t="str">
        <f>IF(Z16&lt;&gt;"熱","",IF(ISERROR(VLOOKUP(D16&amp;F16,非_熱供給事業者!$S$8:$T$100,2,FALSE)),"要記入",VLOOKUP(D16&amp;F16,非_熱供給事業者!$S$8:$T$100,2,FALSE)))</f>
        <v/>
      </c>
      <c r="AF16" s="490" t="str">
        <f>IF(Z16&lt;&gt;"都市ガス","",非_都市ガス事業者!$AB$4)</f>
        <v/>
      </c>
      <c r="AG16" s="490" t="str">
        <f>IF(Z16&lt;&gt;"都市ガス","",IF(ISERROR(VLOOKUP(D16&amp;F16,非_都市ガス事業者!$AA$8:$AB$100,2,FALSE)),"要記入",VLOOKUP(D16&amp;F16,非_都市ガス事業者!$AA$8:$AB$100,2,FALSE)))</f>
        <v/>
      </c>
      <c r="AH16" s="490" t="str">
        <f t="shared" si="1"/>
        <v/>
      </c>
      <c r="AI16" s="490" t="str">
        <f t="shared" si="11"/>
        <v/>
      </c>
      <c r="AJ16" s="490" t="b">
        <f t="shared" si="12"/>
        <v>1</v>
      </c>
      <c r="AK16" s="490" t="str">
        <f>IF(Q16="","",VLOOKUP(Q16,非_単位補正換算!$B$3:$C$16,2,FALSE))</f>
        <v/>
      </c>
      <c r="AL16" s="490" t="str">
        <f>IF(Z16="","",IF(Z16&lt;&gt;"都市ガス",1,IF(G16="","",SUMIFS(非_単位補正換算!$D$52:$D$63,非_単位補正換算!$B$52:$B$63,"都市ガス"&amp;G16,非_単位補正換算!$C$52:$C$63,'13電気・熱_都市ガス'!Q16))))</f>
        <v/>
      </c>
      <c r="AM16" s="490" t="str">
        <f t="shared" si="13"/>
        <v/>
      </c>
      <c r="AN16" s="490" t="str">
        <f t="shared" si="2"/>
        <v/>
      </c>
      <c r="AO16" s="490" t="str">
        <f t="shared" si="3"/>
        <v/>
      </c>
      <c r="AP16" s="490" t="str">
        <f>IF(C16="","",VLOOKUP(C16,非_まとめ表行番号!$F$3:$H$12,2,FALSE))</f>
        <v/>
      </c>
      <c r="AQ16" s="490" t="b">
        <f t="shared" si="14"/>
        <v>1</v>
      </c>
      <c r="AR16" s="490" t="str">
        <f>IF(Z16="","",IF(Z16&lt;&gt;"都市ガス",1,非_係数!$G$55))</f>
        <v/>
      </c>
      <c r="AS16" s="490" t="str">
        <f t="shared" si="15"/>
        <v/>
      </c>
      <c r="AT16" s="490" t="str">
        <f t="shared" si="4"/>
        <v/>
      </c>
      <c r="AU16" s="490" t="str">
        <f>IF(C16="","",VLOOKUP(C16,非_係数!$B$42:$K$55,9,FALSE))</f>
        <v/>
      </c>
      <c r="AV16" s="490" t="str">
        <f t="shared" si="16"/>
        <v/>
      </c>
      <c r="AW16" s="490" t="str">
        <f>IF(C16="","",VLOOKUP(C16,非_まとめ表行番号!$F$3:$H$12,3,FALSE))</f>
        <v/>
      </c>
      <c r="AX16" s="490" t="str">
        <f t="shared" si="5"/>
        <v/>
      </c>
      <c r="AZ16" s="490" t="str">
        <f>IF(AP16="","",VLOOKUP(AP16,非_まとめ表行番号!$U$3:$V$56,2,FALSE))</f>
        <v/>
      </c>
      <c r="BA16" s="490" t="str">
        <f t="shared" si="17"/>
        <v/>
      </c>
      <c r="BB16" s="490" t="str">
        <f t="shared" si="17"/>
        <v/>
      </c>
      <c r="BC16" s="490" t="str">
        <f t="shared" si="18"/>
        <v/>
      </c>
      <c r="BD16" s="490" t="str">
        <f t="shared" si="19"/>
        <v/>
      </c>
      <c r="BE16" s="490" t="str">
        <f t="shared" si="20"/>
        <v/>
      </c>
      <c r="BF16" s="490" t="str">
        <f t="shared" si="20"/>
        <v/>
      </c>
      <c r="BG16" s="490" t="str">
        <f t="shared" si="21"/>
        <v/>
      </c>
      <c r="BH16" s="490" t="str">
        <f t="shared" si="22"/>
        <v/>
      </c>
      <c r="BI16" s="84">
        <v>1</v>
      </c>
    </row>
    <row r="17" spans="1:61" ht="18.75" hidden="1" customHeight="1">
      <c r="A17" s="581"/>
      <c r="B17" s="523"/>
      <c r="C17" s="400"/>
      <c r="D17" s="400"/>
      <c r="E17" s="401"/>
      <c r="F17" s="400"/>
      <c r="G17" s="401"/>
      <c r="H17" s="179" t="str">
        <f>IF(Z17&lt;&gt;"都市ガス","",IF(ISERROR(VLOOKUP(D17,非_都市ガス事業者!$O$8:$P$100,2,FALSE)),"",VLOOKUP(D17,非_都市ガス事業者!$O$8:$P$100,2,FALSE)))</f>
        <v/>
      </c>
      <c r="I17" s="402" t="str">
        <f>IF(Z17&lt;&gt;"都市ガス","",非_都市ガス事業者!$P$4)</f>
        <v/>
      </c>
      <c r="J17" s="178" t="str">
        <f>IF(C17="","",IF(Z17&lt;&gt;"都市ガス",VLOOKUP(C17,非_係数!$B$42:$D$55,2,FALSE),""))</f>
        <v/>
      </c>
      <c r="K17" s="401"/>
      <c r="L17" s="503" t="str">
        <f t="shared" si="6"/>
        <v/>
      </c>
      <c r="M17" s="214" t="str">
        <f t="shared" si="7"/>
        <v/>
      </c>
      <c r="N17" s="400"/>
      <c r="O17" s="404"/>
      <c r="P17" s="401"/>
      <c r="Q17" s="400"/>
      <c r="R17" s="477"/>
      <c r="S17" s="509"/>
      <c r="T17" s="450" t="str">
        <f t="shared" si="23"/>
        <v/>
      </c>
      <c r="U17" s="459" t="str">
        <f t="shared" si="8"/>
        <v/>
      </c>
      <c r="V17" s="455" t="str">
        <f>IF(C17="","",VLOOKUP(C17,非_単位!$N$38:$O$53,2,FALSE))</f>
        <v/>
      </c>
      <c r="W17" s="450" t="str">
        <f t="shared" si="9"/>
        <v/>
      </c>
      <c r="X17" s="454" t="str">
        <f t="shared" si="10"/>
        <v/>
      </c>
      <c r="Z17" s="490" t="str">
        <f t="shared" si="0"/>
        <v/>
      </c>
      <c r="AA17" s="490" t="str">
        <f>IF(B17="","",IF(B17=非_燃料種類_選択リスト!$I$3,"一般送配電_種類",IF(B17=非_燃料種類_選択リスト!$I$4,"一般送配電以外_種類",IF(B17=非_燃料種類_選択リスト!$I$5,"熱_種類",IF(B17=非_燃料種類_選択リスト!$I$6,"都市ガス_種類","")))))</f>
        <v/>
      </c>
      <c r="AB17" s="490" t="str">
        <f>IF(Z17&lt;&gt;"電気","",非_電気事業者!$S$4*1000)</f>
        <v/>
      </c>
      <c r="AC17" s="490" t="str">
        <f>IF(Z17&lt;&gt;"電気","",IF(ISERROR(VLOOKUP(D17&amp;F17,非_電気事業者!$R$9:$S$1500,2,FALSE)),"要記入",VLOOKUP(D17&amp;F17,非_電気事業者!$R$9:$S$1500,2,FALSE)*1000))</f>
        <v/>
      </c>
      <c r="AD17" s="490" t="str">
        <f>IF(Z17&lt;&gt;"熱","",非_熱供給事業者!$T$4)</f>
        <v/>
      </c>
      <c r="AE17" s="490" t="str">
        <f>IF(Z17&lt;&gt;"熱","",IF(ISERROR(VLOOKUP(D17&amp;F17,非_熱供給事業者!$S$8:$T$100,2,FALSE)),"要記入",VLOOKUP(D17&amp;F17,非_熱供給事業者!$S$8:$T$100,2,FALSE)))</f>
        <v/>
      </c>
      <c r="AF17" s="490" t="str">
        <f>IF(Z17&lt;&gt;"都市ガス","",非_都市ガス事業者!$AB$4)</f>
        <v/>
      </c>
      <c r="AG17" s="490" t="str">
        <f>IF(Z17&lt;&gt;"都市ガス","",IF(ISERROR(VLOOKUP(D17&amp;F17,非_都市ガス事業者!$AA$8:$AB$100,2,FALSE)),"要記入",VLOOKUP(D17&amp;F17,非_都市ガス事業者!$AA$8:$AB$100,2,FALSE)))</f>
        <v/>
      </c>
      <c r="AH17" s="490" t="str">
        <f t="shared" si="1"/>
        <v/>
      </c>
      <c r="AI17" s="490" t="str">
        <f t="shared" si="11"/>
        <v/>
      </c>
      <c r="AJ17" s="490" t="b">
        <f t="shared" si="12"/>
        <v>1</v>
      </c>
      <c r="AK17" s="490" t="str">
        <f>IF(Q17="","",VLOOKUP(Q17,非_単位補正換算!$B$3:$C$16,2,FALSE))</f>
        <v/>
      </c>
      <c r="AL17" s="490" t="str">
        <f>IF(Z17="","",IF(Z17&lt;&gt;"都市ガス",1,IF(G17="","",SUMIFS(非_単位補正換算!$D$52:$D$63,非_単位補正換算!$B$52:$B$63,"都市ガス"&amp;G17,非_単位補正換算!$C$52:$C$63,'13電気・熱_都市ガス'!Q17))))</f>
        <v/>
      </c>
      <c r="AM17" s="490" t="str">
        <f t="shared" si="13"/>
        <v/>
      </c>
      <c r="AN17" s="490" t="str">
        <f t="shared" si="2"/>
        <v/>
      </c>
      <c r="AO17" s="490" t="str">
        <f t="shared" si="3"/>
        <v/>
      </c>
      <c r="AP17" s="490" t="str">
        <f>IF(C17="","",VLOOKUP(C17,非_まとめ表行番号!$F$3:$H$12,2,FALSE))</f>
        <v/>
      </c>
      <c r="AQ17" s="490" t="b">
        <f t="shared" si="14"/>
        <v>1</v>
      </c>
      <c r="AR17" s="490" t="str">
        <f>IF(Z17="","",IF(Z17&lt;&gt;"都市ガス",1,非_係数!$G$55))</f>
        <v/>
      </c>
      <c r="AS17" s="490" t="str">
        <f t="shared" si="15"/>
        <v/>
      </c>
      <c r="AT17" s="490" t="str">
        <f t="shared" si="4"/>
        <v/>
      </c>
      <c r="AU17" s="490" t="str">
        <f>IF(C17="","",VLOOKUP(C17,非_係数!$B$42:$K$55,9,FALSE))</f>
        <v/>
      </c>
      <c r="AV17" s="490" t="str">
        <f t="shared" si="16"/>
        <v/>
      </c>
      <c r="AW17" s="490" t="str">
        <f>IF(C17="","",VLOOKUP(C17,非_まとめ表行番号!$F$3:$H$12,3,FALSE))</f>
        <v/>
      </c>
      <c r="AX17" s="490" t="str">
        <f t="shared" si="5"/>
        <v/>
      </c>
      <c r="AZ17" s="490" t="str">
        <f>IF(AP17="","",VLOOKUP(AP17,非_まとめ表行番号!$U$3:$V$56,2,FALSE))</f>
        <v/>
      </c>
      <c r="BA17" s="490" t="str">
        <f t="shared" si="17"/>
        <v/>
      </c>
      <c r="BB17" s="490" t="str">
        <f t="shared" si="17"/>
        <v/>
      </c>
      <c r="BC17" s="490" t="str">
        <f t="shared" si="18"/>
        <v/>
      </c>
      <c r="BD17" s="490" t="str">
        <f t="shared" si="19"/>
        <v/>
      </c>
      <c r="BE17" s="490" t="str">
        <f t="shared" si="20"/>
        <v/>
      </c>
      <c r="BF17" s="490" t="str">
        <f t="shared" si="20"/>
        <v/>
      </c>
      <c r="BG17" s="490" t="str">
        <f t="shared" si="21"/>
        <v/>
      </c>
      <c r="BH17" s="490" t="str">
        <f t="shared" si="22"/>
        <v/>
      </c>
      <c r="BI17" s="84">
        <v>1</v>
      </c>
    </row>
    <row r="18" spans="1:61" ht="18.75" hidden="1" customHeight="1">
      <c r="A18" s="581"/>
      <c r="B18" s="523"/>
      <c r="C18" s="400"/>
      <c r="D18" s="400"/>
      <c r="E18" s="401"/>
      <c r="F18" s="400"/>
      <c r="G18" s="401"/>
      <c r="H18" s="179" t="str">
        <f>IF(Z18&lt;&gt;"都市ガス","",IF(ISERROR(VLOOKUP(D18,非_都市ガス事業者!$O$8:$P$100,2,FALSE)),"",VLOOKUP(D18,非_都市ガス事業者!$O$8:$P$100,2,FALSE)))</f>
        <v/>
      </c>
      <c r="I18" s="402" t="str">
        <f>IF(Z18&lt;&gt;"都市ガス","",非_都市ガス事業者!$P$4)</f>
        <v/>
      </c>
      <c r="J18" s="178" t="str">
        <f>IF(C18="","",IF(Z18&lt;&gt;"都市ガス",VLOOKUP(C18,非_係数!$B$42:$D$55,2,FALSE),""))</f>
        <v/>
      </c>
      <c r="K18" s="401"/>
      <c r="L18" s="503" t="str">
        <f t="shared" si="6"/>
        <v/>
      </c>
      <c r="M18" s="214" t="str">
        <f t="shared" si="7"/>
        <v/>
      </c>
      <c r="N18" s="400"/>
      <c r="O18" s="404"/>
      <c r="P18" s="401"/>
      <c r="Q18" s="400"/>
      <c r="R18" s="477"/>
      <c r="S18" s="509"/>
      <c r="T18" s="450" t="str">
        <f t="shared" si="23"/>
        <v/>
      </c>
      <c r="U18" s="459" t="str">
        <f t="shared" si="8"/>
        <v/>
      </c>
      <c r="V18" s="455" t="str">
        <f>IF(C18="","",VLOOKUP(C18,非_単位!$N$38:$O$53,2,FALSE))</f>
        <v/>
      </c>
      <c r="W18" s="450" t="str">
        <f t="shared" si="9"/>
        <v/>
      </c>
      <c r="X18" s="454" t="str">
        <f t="shared" si="10"/>
        <v/>
      </c>
      <c r="Z18" s="490" t="str">
        <f t="shared" si="0"/>
        <v/>
      </c>
      <c r="AA18" s="490" t="str">
        <f>IF(B18="","",IF(B18=非_燃料種類_選択リスト!$I$3,"一般送配電_種類",IF(B18=非_燃料種類_選択リスト!$I$4,"一般送配電以外_種類",IF(B18=非_燃料種類_選択リスト!$I$5,"熱_種類",IF(B18=非_燃料種類_選択リスト!$I$6,"都市ガス_種類","")))))</f>
        <v/>
      </c>
      <c r="AB18" s="490" t="str">
        <f>IF(Z18&lt;&gt;"電気","",非_電気事業者!$S$4*1000)</f>
        <v/>
      </c>
      <c r="AC18" s="490" t="str">
        <f>IF(Z18&lt;&gt;"電気","",IF(ISERROR(VLOOKUP(D18&amp;F18,非_電気事業者!$R$9:$S$1500,2,FALSE)),"要記入",VLOOKUP(D18&amp;F18,非_電気事業者!$R$9:$S$1500,2,FALSE)*1000))</f>
        <v/>
      </c>
      <c r="AD18" s="490" t="str">
        <f>IF(Z18&lt;&gt;"熱","",非_熱供給事業者!$T$4)</f>
        <v/>
      </c>
      <c r="AE18" s="490" t="str">
        <f>IF(Z18&lt;&gt;"熱","",IF(ISERROR(VLOOKUP(D18&amp;F18,非_熱供給事業者!$S$8:$T$100,2,FALSE)),"要記入",VLOOKUP(D18&amp;F18,非_熱供給事業者!$S$8:$T$100,2,FALSE)))</f>
        <v/>
      </c>
      <c r="AF18" s="490" t="str">
        <f>IF(Z18&lt;&gt;"都市ガス","",非_都市ガス事業者!$AB$4)</f>
        <v/>
      </c>
      <c r="AG18" s="490" t="str">
        <f>IF(Z18&lt;&gt;"都市ガス","",IF(ISERROR(VLOOKUP(D18&amp;F18,非_都市ガス事業者!$AA$8:$AB$100,2,FALSE)),"要記入",VLOOKUP(D18&amp;F18,非_都市ガス事業者!$AA$8:$AB$100,2,FALSE)))</f>
        <v/>
      </c>
      <c r="AH18" s="490" t="str">
        <f t="shared" si="1"/>
        <v/>
      </c>
      <c r="AI18" s="490" t="str">
        <f t="shared" si="11"/>
        <v/>
      </c>
      <c r="AJ18" s="490" t="b">
        <f t="shared" si="12"/>
        <v>1</v>
      </c>
      <c r="AK18" s="490" t="str">
        <f>IF(Q18="","",VLOOKUP(Q18,非_単位補正換算!$B$3:$C$16,2,FALSE))</f>
        <v/>
      </c>
      <c r="AL18" s="490" t="str">
        <f>IF(Z18="","",IF(Z18&lt;&gt;"都市ガス",1,IF(G18="","",SUMIFS(非_単位補正換算!$D$52:$D$63,非_単位補正換算!$B$52:$B$63,"都市ガス"&amp;G18,非_単位補正換算!$C$52:$C$63,'13電気・熱_都市ガス'!Q18))))</f>
        <v/>
      </c>
      <c r="AM18" s="490" t="str">
        <f t="shared" si="13"/>
        <v/>
      </c>
      <c r="AN18" s="490" t="str">
        <f t="shared" si="2"/>
        <v/>
      </c>
      <c r="AO18" s="490" t="str">
        <f t="shared" si="3"/>
        <v/>
      </c>
      <c r="AP18" s="490" t="str">
        <f>IF(C18="","",VLOOKUP(C18,非_まとめ表行番号!$F$3:$H$12,2,FALSE))</f>
        <v/>
      </c>
      <c r="AQ18" s="490" t="b">
        <f t="shared" si="14"/>
        <v>1</v>
      </c>
      <c r="AR18" s="490" t="str">
        <f>IF(Z18="","",IF(Z18&lt;&gt;"都市ガス",1,非_係数!$G$55))</f>
        <v/>
      </c>
      <c r="AS18" s="490" t="str">
        <f t="shared" si="15"/>
        <v/>
      </c>
      <c r="AT18" s="490" t="str">
        <f t="shared" si="4"/>
        <v/>
      </c>
      <c r="AU18" s="490" t="str">
        <f>IF(C18="","",VLOOKUP(C18,非_係数!$B$42:$K$55,9,FALSE))</f>
        <v/>
      </c>
      <c r="AV18" s="490" t="str">
        <f t="shared" si="16"/>
        <v/>
      </c>
      <c r="AW18" s="490" t="str">
        <f>IF(C18="","",VLOOKUP(C18,非_まとめ表行番号!$F$3:$H$12,3,FALSE))</f>
        <v/>
      </c>
      <c r="AX18" s="490" t="str">
        <f t="shared" si="5"/>
        <v/>
      </c>
      <c r="AZ18" s="490" t="str">
        <f>IF(AP18="","",VLOOKUP(AP18,非_まとめ表行番号!$U$3:$V$56,2,FALSE))</f>
        <v/>
      </c>
      <c r="BA18" s="490" t="str">
        <f t="shared" si="17"/>
        <v/>
      </c>
      <c r="BB18" s="490" t="str">
        <f t="shared" si="17"/>
        <v/>
      </c>
      <c r="BC18" s="490" t="str">
        <f t="shared" si="18"/>
        <v/>
      </c>
      <c r="BD18" s="490" t="str">
        <f t="shared" si="19"/>
        <v/>
      </c>
      <c r="BE18" s="490" t="str">
        <f t="shared" si="20"/>
        <v/>
      </c>
      <c r="BF18" s="490" t="str">
        <f t="shared" si="20"/>
        <v/>
      </c>
      <c r="BG18" s="490" t="str">
        <f t="shared" si="21"/>
        <v/>
      </c>
      <c r="BH18" s="490" t="str">
        <f t="shared" si="22"/>
        <v/>
      </c>
      <c r="BI18" s="84">
        <v>1</v>
      </c>
    </row>
    <row r="19" spans="1:61" ht="18.75" hidden="1" customHeight="1">
      <c r="A19" s="581"/>
      <c r="B19" s="523"/>
      <c r="C19" s="400"/>
      <c r="D19" s="400"/>
      <c r="E19" s="401"/>
      <c r="F19" s="400"/>
      <c r="G19" s="401"/>
      <c r="H19" s="179" t="str">
        <f>IF(Z19&lt;&gt;"都市ガス","",IF(ISERROR(VLOOKUP(D19,非_都市ガス事業者!$O$8:$P$100,2,FALSE)),"",VLOOKUP(D19,非_都市ガス事業者!$O$8:$P$100,2,FALSE)))</f>
        <v/>
      </c>
      <c r="I19" s="402" t="str">
        <f>IF(Z19&lt;&gt;"都市ガス","",非_都市ガス事業者!$P$4)</f>
        <v/>
      </c>
      <c r="J19" s="178" t="str">
        <f>IF(C19="","",IF(Z19&lt;&gt;"都市ガス",VLOOKUP(C19,非_係数!$B$42:$D$55,2,FALSE),""))</f>
        <v/>
      </c>
      <c r="K19" s="401"/>
      <c r="L19" s="503" t="str">
        <f t="shared" si="6"/>
        <v/>
      </c>
      <c r="M19" s="214" t="str">
        <f t="shared" ref="M19:M26" si="24">AI19</f>
        <v/>
      </c>
      <c r="N19" s="400"/>
      <c r="O19" s="404"/>
      <c r="P19" s="401"/>
      <c r="Q19" s="400"/>
      <c r="R19" s="477"/>
      <c r="S19" s="509"/>
      <c r="T19" s="450" t="str">
        <f t="shared" si="23"/>
        <v/>
      </c>
      <c r="U19" s="459" t="str">
        <f t="shared" ref="U19:U26" si="25">AM19</f>
        <v/>
      </c>
      <c r="V19" s="455" t="str">
        <f>IF(C19="","",VLOOKUP(C19,非_単位!$N$38:$O$53,2,FALSE))</f>
        <v/>
      </c>
      <c r="W19" s="450" t="str">
        <f t="shared" ref="W19:W26" si="26">AN19</f>
        <v/>
      </c>
      <c r="X19" s="454" t="str">
        <f t="shared" ref="X19:X26" si="27">AO19</f>
        <v/>
      </c>
      <c r="Z19" s="490" t="str">
        <f t="shared" si="0"/>
        <v/>
      </c>
      <c r="AA19" s="490" t="str">
        <f>IF(B19="","",IF(B19=非_燃料種類_選択リスト!$I$3,"一般送配電_種類",IF(B19=非_燃料種類_選択リスト!$I$4,"一般送配電以外_種類",IF(B19=非_燃料種類_選択リスト!$I$5,"熱_種類",IF(B19=非_燃料種類_選択リスト!$I$6,"都市ガス_種類","")))))</f>
        <v/>
      </c>
      <c r="AB19" s="490" t="str">
        <f>IF(Z19&lt;&gt;"電気","",非_電気事業者!$S$4*1000)</f>
        <v/>
      </c>
      <c r="AC19" s="490" t="str">
        <f>IF(Z19&lt;&gt;"電気","",IF(ISERROR(VLOOKUP(D19&amp;F19,非_電気事業者!$R$9:$S$1500,2,FALSE)),"要記入",VLOOKUP(D19&amp;F19,非_電気事業者!$R$9:$S$1500,2,FALSE)*1000))</f>
        <v/>
      </c>
      <c r="AD19" s="490" t="str">
        <f>IF(Z19&lt;&gt;"熱","",非_熱供給事業者!$T$4)</f>
        <v/>
      </c>
      <c r="AE19" s="490" t="str">
        <f>IF(Z19&lt;&gt;"熱","",IF(ISERROR(VLOOKUP(D19&amp;F19,非_熱供給事業者!$S$8:$T$100,2,FALSE)),"要記入",VLOOKUP(D19&amp;F19,非_熱供給事業者!$S$8:$T$100,2,FALSE)))</f>
        <v/>
      </c>
      <c r="AF19" s="490" t="str">
        <f>IF(Z19&lt;&gt;"都市ガス","",非_都市ガス事業者!$AB$4)</f>
        <v/>
      </c>
      <c r="AG19" s="490" t="str">
        <f>IF(Z19&lt;&gt;"都市ガス","",IF(ISERROR(VLOOKUP(D19&amp;F19,非_都市ガス事業者!$AA$8:$AB$100,2,FALSE)),"要記入",VLOOKUP(D19&amp;F19,非_都市ガス事業者!$AA$8:$AB$100,2,FALSE)))</f>
        <v/>
      </c>
      <c r="AH19" s="490" t="str">
        <f t="shared" si="1"/>
        <v/>
      </c>
      <c r="AI19" s="490" t="str">
        <f t="shared" si="11"/>
        <v/>
      </c>
      <c r="AJ19" s="490" t="b">
        <f t="shared" si="12"/>
        <v>1</v>
      </c>
      <c r="AK19" s="490" t="str">
        <f>IF(Q19="","",VLOOKUP(Q19,非_単位補正換算!$B$3:$C$16,2,FALSE))</f>
        <v/>
      </c>
      <c r="AL19" s="490" t="str">
        <f>IF(Z19="","",IF(Z19&lt;&gt;"都市ガス",1,IF(G19="","",SUMIFS(非_単位補正換算!$D$52:$D$63,非_単位補正換算!$B$52:$B$63,"都市ガス"&amp;G19,非_単位補正換算!$C$52:$C$63,'13電気・熱_都市ガス'!Q19))))</f>
        <v/>
      </c>
      <c r="AM19" s="490" t="str">
        <f t="shared" si="13"/>
        <v/>
      </c>
      <c r="AN19" s="490" t="str">
        <f t="shared" si="2"/>
        <v/>
      </c>
      <c r="AO19" s="490" t="str">
        <f t="shared" si="3"/>
        <v/>
      </c>
      <c r="AP19" s="490" t="str">
        <f>IF(C19="","",VLOOKUP(C19,非_まとめ表行番号!$F$3:$H$12,2,FALSE))</f>
        <v/>
      </c>
      <c r="AQ19" s="490" t="b">
        <f t="shared" si="14"/>
        <v>1</v>
      </c>
      <c r="AR19" s="490" t="str">
        <f>IF(Z19="","",IF(Z19&lt;&gt;"都市ガス",1,非_係数!$G$55))</f>
        <v/>
      </c>
      <c r="AS19" s="490" t="str">
        <f t="shared" ref="AS19:AS26" si="28">IF(AM19="","",AM19*AR19)</f>
        <v/>
      </c>
      <c r="AT19" s="490" t="str">
        <f t="shared" si="4"/>
        <v/>
      </c>
      <c r="AU19" s="490" t="str">
        <f>IF(C19="","",VLOOKUP(C19,非_係数!$B$42:$K$55,9,FALSE))</f>
        <v/>
      </c>
      <c r="AV19" s="490" t="str">
        <f t="shared" si="16"/>
        <v/>
      </c>
      <c r="AW19" s="490" t="str">
        <f>IF(C19="","",VLOOKUP(C19,非_まとめ表行番号!$F$3:$H$12,3,FALSE))</f>
        <v/>
      </c>
      <c r="AX19" s="490" t="str">
        <f t="shared" si="5"/>
        <v/>
      </c>
      <c r="AZ19" s="490" t="str">
        <f>IF(AP19="","",VLOOKUP(AP19,非_まとめ表行番号!$U$3:$V$56,2,FALSE))</f>
        <v/>
      </c>
      <c r="BA19" s="490" t="str">
        <f t="shared" si="17"/>
        <v/>
      </c>
      <c r="BB19" s="490" t="str">
        <f t="shared" si="17"/>
        <v/>
      </c>
      <c r="BC19" s="490" t="str">
        <f t="shared" si="18"/>
        <v/>
      </c>
      <c r="BD19" s="490" t="str">
        <f t="shared" si="19"/>
        <v/>
      </c>
      <c r="BE19" s="490" t="str">
        <f t="shared" si="20"/>
        <v/>
      </c>
      <c r="BF19" s="490" t="str">
        <f t="shared" si="20"/>
        <v/>
      </c>
      <c r="BG19" s="490" t="str">
        <f t="shared" si="21"/>
        <v/>
      </c>
      <c r="BH19" s="490" t="str">
        <f t="shared" si="22"/>
        <v/>
      </c>
      <c r="BI19" s="84">
        <v>1</v>
      </c>
    </row>
    <row r="20" spans="1:61" ht="18.75" hidden="1" customHeight="1">
      <c r="A20" s="581"/>
      <c r="B20" s="523"/>
      <c r="C20" s="400"/>
      <c r="D20" s="400"/>
      <c r="E20" s="401"/>
      <c r="F20" s="400"/>
      <c r="G20" s="401"/>
      <c r="H20" s="179" t="str">
        <f>IF(Z20&lt;&gt;"都市ガス","",IF(ISERROR(VLOOKUP(D20,非_都市ガス事業者!$O$8:$P$100,2,FALSE)),"",VLOOKUP(D20,非_都市ガス事業者!$O$8:$P$100,2,FALSE)))</f>
        <v/>
      </c>
      <c r="I20" s="402" t="str">
        <f>IF(Z20&lt;&gt;"都市ガス","",非_都市ガス事業者!$P$4)</f>
        <v/>
      </c>
      <c r="J20" s="178" t="str">
        <f>IF(C20="","",IF(Z20&lt;&gt;"都市ガス",VLOOKUP(C20,非_係数!$B$42:$D$55,2,FALSE),""))</f>
        <v/>
      </c>
      <c r="K20" s="401"/>
      <c r="L20" s="503" t="str">
        <f t="shared" si="6"/>
        <v/>
      </c>
      <c r="M20" s="214" t="str">
        <f t="shared" ref="M20:M24" si="29">AI20</f>
        <v/>
      </c>
      <c r="N20" s="400"/>
      <c r="O20" s="404"/>
      <c r="P20" s="401"/>
      <c r="Q20" s="400"/>
      <c r="R20" s="477"/>
      <c r="S20" s="509"/>
      <c r="T20" s="450" t="str">
        <f t="shared" si="23"/>
        <v/>
      </c>
      <c r="U20" s="459" t="str">
        <f t="shared" ref="U20:U24" si="30">AM20</f>
        <v/>
      </c>
      <c r="V20" s="455" t="str">
        <f>IF(C20="","",VLOOKUP(C20,非_単位!$N$38:$O$53,2,FALSE))</f>
        <v/>
      </c>
      <c r="W20" s="450" t="str">
        <f t="shared" ref="W20:W24" si="31">AN20</f>
        <v/>
      </c>
      <c r="X20" s="454" t="str">
        <f t="shared" ref="X20:X24" si="32">AO20</f>
        <v/>
      </c>
      <c r="Z20" s="490" t="str">
        <f t="shared" si="0"/>
        <v/>
      </c>
      <c r="AA20" s="490" t="str">
        <f>IF(B20="","",IF(B20=非_燃料種類_選択リスト!$I$3,"一般送配電_種類",IF(B20=非_燃料種類_選択リスト!$I$4,"一般送配電以外_種類",IF(B20=非_燃料種類_選択リスト!$I$5,"熱_種類",IF(B20=非_燃料種類_選択リスト!$I$6,"都市ガス_種類","")))))</f>
        <v/>
      </c>
      <c r="AB20" s="490" t="str">
        <f>IF(Z20&lt;&gt;"電気","",非_電気事業者!$S$4*1000)</f>
        <v/>
      </c>
      <c r="AC20" s="490" t="str">
        <f>IF(Z20&lt;&gt;"電気","",IF(ISERROR(VLOOKUP(D20&amp;F20,非_電気事業者!$R$9:$S$1500,2,FALSE)),"要記入",VLOOKUP(D20&amp;F20,非_電気事業者!$R$9:$S$1500,2,FALSE)*1000))</f>
        <v/>
      </c>
      <c r="AD20" s="490" t="str">
        <f>IF(Z20&lt;&gt;"熱","",非_熱供給事業者!$T$4)</f>
        <v/>
      </c>
      <c r="AE20" s="490" t="str">
        <f>IF(Z20&lt;&gt;"熱","",IF(ISERROR(VLOOKUP(D20&amp;F20,非_熱供給事業者!$S$8:$T$100,2,FALSE)),"要記入",VLOOKUP(D20&amp;F20,非_熱供給事業者!$S$8:$T$100,2,FALSE)))</f>
        <v/>
      </c>
      <c r="AF20" s="490" t="str">
        <f>IF(Z20&lt;&gt;"都市ガス","",非_都市ガス事業者!$AB$4)</f>
        <v/>
      </c>
      <c r="AG20" s="490" t="str">
        <f>IF(Z20&lt;&gt;"都市ガス","",IF(ISERROR(VLOOKUP(D20&amp;F20,非_都市ガス事業者!$AA$8:$AB$100,2,FALSE)),"要記入",VLOOKUP(D20&amp;F20,非_都市ガス事業者!$AA$8:$AB$100,2,FALSE)))</f>
        <v/>
      </c>
      <c r="AH20" s="490" t="str">
        <f t="shared" si="1"/>
        <v/>
      </c>
      <c r="AI20" s="490" t="str">
        <f t="shared" si="11"/>
        <v/>
      </c>
      <c r="AJ20" s="490" t="b">
        <f t="shared" si="12"/>
        <v>1</v>
      </c>
      <c r="AK20" s="490" t="str">
        <f>IF(Q20="","",VLOOKUP(Q20,非_単位補正換算!$B$3:$C$16,2,FALSE))</f>
        <v/>
      </c>
      <c r="AL20" s="490" t="str">
        <f>IF(Z20="","",IF(Z20&lt;&gt;"都市ガス",1,IF(G20="","",SUMIFS(非_単位補正換算!$D$52:$D$63,非_単位補正換算!$B$52:$B$63,"都市ガス"&amp;G20,非_単位補正換算!$C$52:$C$63,'13電気・熱_都市ガス'!Q20))))</f>
        <v/>
      </c>
      <c r="AM20" s="490" t="str">
        <f t="shared" si="13"/>
        <v/>
      </c>
      <c r="AN20" s="490" t="str">
        <f t="shared" si="2"/>
        <v/>
      </c>
      <c r="AO20" s="490" t="str">
        <f t="shared" si="3"/>
        <v/>
      </c>
      <c r="AP20" s="490" t="str">
        <f>IF(C20="","",VLOOKUP(C20,非_まとめ表行番号!$F$3:$H$12,2,FALSE))</f>
        <v/>
      </c>
      <c r="AQ20" s="490" t="b">
        <f t="shared" si="14"/>
        <v>1</v>
      </c>
      <c r="AR20" s="490" t="str">
        <f>IF(Z20="","",IF(Z20&lt;&gt;"都市ガス",1,非_係数!$G$55))</f>
        <v/>
      </c>
      <c r="AS20" s="490" t="str">
        <f t="shared" ref="AS20:AS24" si="33">IF(AM20="","",AM20*AR20)</f>
        <v/>
      </c>
      <c r="AT20" s="490" t="str">
        <f t="shared" si="4"/>
        <v/>
      </c>
      <c r="AU20" s="490" t="str">
        <f>IF(C20="","",VLOOKUP(C20,非_係数!$B$42:$K$55,9,FALSE))</f>
        <v/>
      </c>
      <c r="AV20" s="490" t="str">
        <f t="shared" si="16"/>
        <v/>
      </c>
      <c r="AW20" s="490" t="str">
        <f>IF(C20="","",VLOOKUP(C20,非_まとめ表行番号!$F$3:$H$12,3,FALSE))</f>
        <v/>
      </c>
      <c r="AX20" s="490" t="str">
        <f t="shared" si="5"/>
        <v/>
      </c>
      <c r="AZ20" s="490" t="str">
        <f>IF(AP20="","",VLOOKUP(AP20,非_まとめ表行番号!$U$3:$V$56,2,FALSE))</f>
        <v/>
      </c>
      <c r="BA20" s="490" t="str">
        <f t="shared" si="17"/>
        <v/>
      </c>
      <c r="BB20" s="490" t="str">
        <f t="shared" si="17"/>
        <v/>
      </c>
      <c r="BC20" s="490" t="str">
        <f t="shared" si="18"/>
        <v/>
      </c>
      <c r="BD20" s="490" t="str">
        <f t="shared" si="19"/>
        <v/>
      </c>
      <c r="BE20" s="490" t="str">
        <f t="shared" si="20"/>
        <v/>
      </c>
      <c r="BF20" s="490" t="str">
        <f t="shared" si="20"/>
        <v/>
      </c>
      <c r="BG20" s="490" t="str">
        <f t="shared" si="21"/>
        <v/>
      </c>
      <c r="BH20" s="490" t="str">
        <f t="shared" si="22"/>
        <v/>
      </c>
      <c r="BI20" s="84">
        <v>1</v>
      </c>
    </row>
    <row r="21" spans="1:61" ht="18.75" hidden="1" customHeight="1">
      <c r="A21" s="581"/>
      <c r="B21" s="523"/>
      <c r="C21" s="400"/>
      <c r="D21" s="400"/>
      <c r="E21" s="401"/>
      <c r="F21" s="400"/>
      <c r="G21" s="401"/>
      <c r="H21" s="179" t="str">
        <f>IF(Z21&lt;&gt;"都市ガス","",IF(ISERROR(VLOOKUP(D21,非_都市ガス事業者!$O$8:$P$100,2,FALSE)),"",VLOOKUP(D21,非_都市ガス事業者!$O$8:$P$100,2,FALSE)))</f>
        <v/>
      </c>
      <c r="I21" s="402" t="str">
        <f>IF(Z21&lt;&gt;"都市ガス","",非_都市ガス事業者!$P$4)</f>
        <v/>
      </c>
      <c r="J21" s="178" t="str">
        <f>IF(C21="","",IF(Z21&lt;&gt;"都市ガス",VLOOKUP(C21,非_係数!$B$42:$D$55,2,FALSE),""))</f>
        <v/>
      </c>
      <c r="K21" s="401"/>
      <c r="L21" s="503" t="str">
        <f t="shared" si="6"/>
        <v/>
      </c>
      <c r="M21" s="214" t="str">
        <f t="shared" si="29"/>
        <v/>
      </c>
      <c r="N21" s="400"/>
      <c r="O21" s="404"/>
      <c r="P21" s="401"/>
      <c r="Q21" s="400"/>
      <c r="R21" s="477"/>
      <c r="S21" s="509"/>
      <c r="T21" s="450" t="str">
        <f t="shared" si="23"/>
        <v/>
      </c>
      <c r="U21" s="459" t="str">
        <f t="shared" si="30"/>
        <v/>
      </c>
      <c r="V21" s="455" t="str">
        <f>IF(C21="","",VLOOKUP(C21,非_単位!$N$38:$O$53,2,FALSE))</f>
        <v/>
      </c>
      <c r="W21" s="450" t="str">
        <f t="shared" si="31"/>
        <v/>
      </c>
      <c r="X21" s="454" t="str">
        <f t="shared" si="32"/>
        <v/>
      </c>
      <c r="Z21" s="490" t="str">
        <f t="shared" si="0"/>
        <v/>
      </c>
      <c r="AA21" s="490" t="str">
        <f>IF(B21="","",IF(B21=非_燃料種類_選択リスト!$I$3,"一般送配電_種類",IF(B21=非_燃料種類_選択リスト!$I$4,"一般送配電以外_種類",IF(B21=非_燃料種類_選択リスト!$I$5,"熱_種類",IF(B21=非_燃料種類_選択リスト!$I$6,"都市ガス_種類","")))))</f>
        <v/>
      </c>
      <c r="AB21" s="490" t="str">
        <f>IF(Z21&lt;&gt;"電気","",非_電気事業者!$S$4*1000)</f>
        <v/>
      </c>
      <c r="AC21" s="490" t="str">
        <f>IF(Z21&lt;&gt;"電気","",IF(ISERROR(VLOOKUP(D21&amp;F21,非_電気事業者!$R$9:$S$1500,2,FALSE)),"要記入",VLOOKUP(D21&amp;F21,非_電気事業者!$R$9:$S$1500,2,FALSE)*1000))</f>
        <v/>
      </c>
      <c r="AD21" s="490" t="str">
        <f>IF(Z21&lt;&gt;"熱","",非_熱供給事業者!$T$4)</f>
        <v/>
      </c>
      <c r="AE21" s="490" t="str">
        <f>IF(Z21&lt;&gt;"熱","",IF(ISERROR(VLOOKUP(D21&amp;F21,非_熱供給事業者!$S$8:$T$100,2,FALSE)),"要記入",VLOOKUP(D21&amp;F21,非_熱供給事業者!$S$8:$T$100,2,FALSE)))</f>
        <v/>
      </c>
      <c r="AF21" s="490" t="str">
        <f>IF(Z21&lt;&gt;"都市ガス","",非_都市ガス事業者!$AB$4)</f>
        <v/>
      </c>
      <c r="AG21" s="490" t="str">
        <f>IF(Z21&lt;&gt;"都市ガス","",IF(ISERROR(VLOOKUP(D21&amp;F21,非_都市ガス事業者!$AA$8:$AB$100,2,FALSE)),"要記入",VLOOKUP(D21&amp;F21,非_都市ガス事業者!$AA$8:$AB$100,2,FALSE)))</f>
        <v/>
      </c>
      <c r="AH21" s="490" t="str">
        <f t="shared" si="1"/>
        <v/>
      </c>
      <c r="AI21" s="490" t="str">
        <f t="shared" si="11"/>
        <v/>
      </c>
      <c r="AJ21" s="490" t="b">
        <f t="shared" si="12"/>
        <v>1</v>
      </c>
      <c r="AK21" s="490" t="str">
        <f>IF(Q21="","",VLOOKUP(Q21,非_単位補正換算!$B$3:$C$16,2,FALSE))</f>
        <v/>
      </c>
      <c r="AL21" s="490" t="str">
        <f>IF(Z21="","",IF(Z21&lt;&gt;"都市ガス",1,IF(G21="","",SUMIFS(非_単位補正換算!$D$52:$D$63,非_単位補正換算!$B$52:$B$63,"都市ガス"&amp;G21,非_単位補正換算!$C$52:$C$63,'13電気・熱_都市ガス'!Q21))))</f>
        <v/>
      </c>
      <c r="AM21" s="490" t="str">
        <f t="shared" si="13"/>
        <v/>
      </c>
      <c r="AN21" s="490" t="str">
        <f t="shared" si="2"/>
        <v/>
      </c>
      <c r="AO21" s="490" t="str">
        <f t="shared" si="3"/>
        <v/>
      </c>
      <c r="AP21" s="490" t="str">
        <f>IF(C21="","",VLOOKUP(C21,非_まとめ表行番号!$F$3:$H$12,2,FALSE))</f>
        <v/>
      </c>
      <c r="AQ21" s="490" t="b">
        <f t="shared" si="14"/>
        <v>1</v>
      </c>
      <c r="AR21" s="490" t="str">
        <f>IF(Z21="","",IF(Z21&lt;&gt;"都市ガス",1,非_係数!$G$55))</f>
        <v/>
      </c>
      <c r="AS21" s="490" t="str">
        <f t="shared" si="33"/>
        <v/>
      </c>
      <c r="AT21" s="490" t="str">
        <f t="shared" si="4"/>
        <v/>
      </c>
      <c r="AU21" s="490" t="str">
        <f>IF(C21="","",VLOOKUP(C21,非_係数!$B$42:$K$55,9,FALSE))</f>
        <v/>
      </c>
      <c r="AV21" s="490" t="str">
        <f t="shared" si="16"/>
        <v/>
      </c>
      <c r="AW21" s="490" t="str">
        <f>IF(C21="","",VLOOKUP(C21,非_まとめ表行番号!$F$3:$H$12,3,FALSE))</f>
        <v/>
      </c>
      <c r="AX21" s="490" t="str">
        <f t="shared" si="5"/>
        <v/>
      </c>
      <c r="AZ21" s="490" t="str">
        <f>IF(AP21="","",VLOOKUP(AP21,非_まとめ表行番号!$U$3:$V$56,2,FALSE))</f>
        <v/>
      </c>
      <c r="BA21" s="490" t="str">
        <f t="shared" si="17"/>
        <v/>
      </c>
      <c r="BB21" s="490" t="str">
        <f t="shared" si="17"/>
        <v/>
      </c>
      <c r="BC21" s="490" t="str">
        <f t="shared" si="18"/>
        <v/>
      </c>
      <c r="BD21" s="490" t="str">
        <f t="shared" si="19"/>
        <v/>
      </c>
      <c r="BE21" s="490" t="str">
        <f t="shared" si="20"/>
        <v/>
      </c>
      <c r="BF21" s="490" t="str">
        <f t="shared" si="20"/>
        <v/>
      </c>
      <c r="BG21" s="490" t="str">
        <f t="shared" si="21"/>
        <v/>
      </c>
      <c r="BH21" s="490" t="str">
        <f t="shared" si="22"/>
        <v/>
      </c>
      <c r="BI21" s="84">
        <v>1</v>
      </c>
    </row>
    <row r="22" spans="1:61" ht="18.75" hidden="1" customHeight="1">
      <c r="A22" s="581"/>
      <c r="B22" s="523"/>
      <c r="C22" s="400"/>
      <c r="D22" s="400"/>
      <c r="E22" s="401"/>
      <c r="F22" s="400"/>
      <c r="G22" s="401"/>
      <c r="H22" s="179" t="str">
        <f>IF(Z22&lt;&gt;"都市ガス","",IF(ISERROR(VLOOKUP(D22,非_都市ガス事業者!$O$8:$P$100,2,FALSE)),"",VLOOKUP(D22,非_都市ガス事業者!$O$8:$P$100,2,FALSE)))</f>
        <v/>
      </c>
      <c r="I22" s="402" t="str">
        <f>IF(Z22&lt;&gt;"都市ガス","",非_都市ガス事業者!$P$4)</f>
        <v/>
      </c>
      <c r="J22" s="178" t="str">
        <f>IF(C22="","",IF(Z22&lt;&gt;"都市ガス",VLOOKUP(C22,非_係数!$B$42:$D$55,2,FALSE),""))</f>
        <v/>
      </c>
      <c r="K22" s="401"/>
      <c r="L22" s="503" t="str">
        <f t="shared" si="6"/>
        <v/>
      </c>
      <c r="M22" s="214" t="str">
        <f t="shared" si="29"/>
        <v/>
      </c>
      <c r="N22" s="400"/>
      <c r="O22" s="404"/>
      <c r="P22" s="401"/>
      <c r="Q22" s="400"/>
      <c r="R22" s="477"/>
      <c r="S22" s="509"/>
      <c r="T22" s="450" t="str">
        <f t="shared" si="23"/>
        <v/>
      </c>
      <c r="U22" s="459" t="str">
        <f t="shared" si="30"/>
        <v/>
      </c>
      <c r="V22" s="455" t="str">
        <f>IF(C22="","",VLOOKUP(C22,非_単位!$N$38:$O$53,2,FALSE))</f>
        <v/>
      </c>
      <c r="W22" s="450" t="str">
        <f t="shared" si="31"/>
        <v/>
      </c>
      <c r="X22" s="454" t="str">
        <f t="shared" si="32"/>
        <v/>
      </c>
      <c r="Z22" s="490" t="str">
        <f t="shared" si="0"/>
        <v/>
      </c>
      <c r="AA22" s="490" t="str">
        <f>IF(B22="","",IF(B22=非_燃料種類_選択リスト!$I$3,"一般送配電_種類",IF(B22=非_燃料種類_選択リスト!$I$4,"一般送配電以外_種類",IF(B22=非_燃料種類_選択リスト!$I$5,"熱_種類",IF(B22=非_燃料種類_選択リスト!$I$6,"都市ガス_種類","")))))</f>
        <v/>
      </c>
      <c r="AB22" s="490" t="str">
        <f>IF(Z22&lt;&gt;"電気","",非_電気事業者!$S$4*1000)</f>
        <v/>
      </c>
      <c r="AC22" s="490" t="str">
        <f>IF(Z22&lt;&gt;"電気","",IF(ISERROR(VLOOKUP(D22&amp;F22,非_電気事業者!$R$9:$S$1500,2,FALSE)),"要記入",VLOOKUP(D22&amp;F22,非_電気事業者!$R$9:$S$1500,2,FALSE)*1000))</f>
        <v/>
      </c>
      <c r="AD22" s="490" t="str">
        <f>IF(Z22&lt;&gt;"熱","",非_熱供給事業者!$T$4)</f>
        <v/>
      </c>
      <c r="AE22" s="490" t="str">
        <f>IF(Z22&lt;&gt;"熱","",IF(ISERROR(VLOOKUP(D22&amp;F22,非_熱供給事業者!$S$8:$T$100,2,FALSE)),"要記入",VLOOKUP(D22&amp;F22,非_熱供給事業者!$S$8:$T$100,2,FALSE)))</f>
        <v/>
      </c>
      <c r="AF22" s="490" t="str">
        <f>IF(Z22&lt;&gt;"都市ガス","",非_都市ガス事業者!$AB$4)</f>
        <v/>
      </c>
      <c r="AG22" s="490" t="str">
        <f>IF(Z22&lt;&gt;"都市ガス","",IF(ISERROR(VLOOKUP(D22&amp;F22,非_都市ガス事業者!$AA$8:$AB$100,2,FALSE)),"要記入",VLOOKUP(D22&amp;F22,非_都市ガス事業者!$AA$8:$AB$100,2,FALSE)))</f>
        <v/>
      </c>
      <c r="AH22" s="490" t="str">
        <f t="shared" si="1"/>
        <v/>
      </c>
      <c r="AI22" s="490" t="str">
        <f t="shared" si="11"/>
        <v/>
      </c>
      <c r="AJ22" s="490" t="b">
        <f t="shared" si="12"/>
        <v>1</v>
      </c>
      <c r="AK22" s="490" t="str">
        <f>IF(Q22="","",VLOOKUP(Q22,非_単位補正換算!$B$3:$C$16,2,FALSE))</f>
        <v/>
      </c>
      <c r="AL22" s="490" t="str">
        <f>IF(Z22="","",IF(Z22&lt;&gt;"都市ガス",1,IF(G22="","",SUMIFS(非_単位補正換算!$D$52:$D$63,非_単位補正換算!$B$52:$B$63,"都市ガス"&amp;G22,非_単位補正換算!$C$52:$C$63,'13電気・熱_都市ガス'!Q22))))</f>
        <v/>
      </c>
      <c r="AM22" s="490" t="str">
        <f t="shared" si="13"/>
        <v/>
      </c>
      <c r="AN22" s="490" t="str">
        <f t="shared" si="2"/>
        <v/>
      </c>
      <c r="AO22" s="490" t="str">
        <f t="shared" si="3"/>
        <v/>
      </c>
      <c r="AP22" s="490" t="str">
        <f>IF(C22="","",VLOOKUP(C22,非_まとめ表行番号!$F$3:$H$12,2,FALSE))</f>
        <v/>
      </c>
      <c r="AQ22" s="490" t="b">
        <f t="shared" si="14"/>
        <v>1</v>
      </c>
      <c r="AR22" s="490" t="str">
        <f>IF(Z22="","",IF(Z22&lt;&gt;"都市ガス",1,非_係数!$G$55))</f>
        <v/>
      </c>
      <c r="AS22" s="490" t="str">
        <f t="shared" si="33"/>
        <v/>
      </c>
      <c r="AT22" s="490" t="str">
        <f t="shared" si="4"/>
        <v/>
      </c>
      <c r="AU22" s="490" t="str">
        <f>IF(C22="","",VLOOKUP(C22,非_係数!$B$42:$K$55,9,FALSE))</f>
        <v/>
      </c>
      <c r="AV22" s="490" t="str">
        <f t="shared" si="16"/>
        <v/>
      </c>
      <c r="AW22" s="490" t="str">
        <f>IF(C22="","",VLOOKUP(C22,非_まとめ表行番号!$F$3:$H$12,3,FALSE))</f>
        <v/>
      </c>
      <c r="AX22" s="490" t="str">
        <f t="shared" si="5"/>
        <v/>
      </c>
      <c r="AZ22" s="490" t="str">
        <f>IF(AP22="","",VLOOKUP(AP22,非_まとめ表行番号!$U$3:$V$56,2,FALSE))</f>
        <v/>
      </c>
      <c r="BA22" s="490" t="str">
        <f t="shared" si="17"/>
        <v/>
      </c>
      <c r="BB22" s="490" t="str">
        <f t="shared" si="17"/>
        <v/>
      </c>
      <c r="BC22" s="490" t="str">
        <f t="shared" si="18"/>
        <v/>
      </c>
      <c r="BD22" s="490" t="str">
        <f t="shared" si="19"/>
        <v/>
      </c>
      <c r="BE22" s="490" t="str">
        <f t="shared" si="20"/>
        <v/>
      </c>
      <c r="BF22" s="490" t="str">
        <f t="shared" si="20"/>
        <v/>
      </c>
      <c r="BG22" s="490" t="str">
        <f t="shared" si="21"/>
        <v/>
      </c>
      <c r="BH22" s="490" t="str">
        <f t="shared" si="22"/>
        <v/>
      </c>
      <c r="BI22" s="84">
        <v>1</v>
      </c>
    </row>
    <row r="23" spans="1:61" ht="18.75" hidden="1" customHeight="1">
      <c r="A23" s="581"/>
      <c r="B23" s="523"/>
      <c r="C23" s="400"/>
      <c r="D23" s="400"/>
      <c r="E23" s="401"/>
      <c r="F23" s="400"/>
      <c r="G23" s="401"/>
      <c r="H23" s="179" t="str">
        <f>IF(Z23&lt;&gt;"都市ガス","",IF(ISERROR(VLOOKUP(D23,非_都市ガス事業者!$O$8:$P$100,2,FALSE)),"",VLOOKUP(D23,非_都市ガス事業者!$O$8:$P$100,2,FALSE)))</f>
        <v/>
      </c>
      <c r="I23" s="402" t="str">
        <f>IF(Z23&lt;&gt;"都市ガス","",非_都市ガス事業者!$P$4)</f>
        <v/>
      </c>
      <c r="J23" s="178" t="str">
        <f>IF(C23="","",IF(Z23&lt;&gt;"都市ガス",VLOOKUP(C23,非_係数!$B$42:$D$55,2,FALSE),""))</f>
        <v/>
      </c>
      <c r="K23" s="401"/>
      <c r="L23" s="503" t="str">
        <f t="shared" si="6"/>
        <v/>
      </c>
      <c r="M23" s="214" t="str">
        <f t="shared" si="29"/>
        <v/>
      </c>
      <c r="N23" s="400"/>
      <c r="O23" s="404"/>
      <c r="P23" s="401"/>
      <c r="Q23" s="400"/>
      <c r="R23" s="477"/>
      <c r="S23" s="509"/>
      <c r="T23" s="450" t="str">
        <f t="shared" si="23"/>
        <v/>
      </c>
      <c r="U23" s="459" t="str">
        <f t="shared" si="30"/>
        <v/>
      </c>
      <c r="V23" s="455" t="str">
        <f>IF(C23="","",VLOOKUP(C23,非_単位!$N$38:$O$53,2,FALSE))</f>
        <v/>
      </c>
      <c r="W23" s="450" t="str">
        <f t="shared" si="31"/>
        <v/>
      </c>
      <c r="X23" s="454" t="str">
        <f t="shared" si="32"/>
        <v/>
      </c>
      <c r="Z23" s="490" t="str">
        <f t="shared" si="0"/>
        <v/>
      </c>
      <c r="AA23" s="490" t="str">
        <f>IF(B23="","",IF(B23=非_燃料種類_選択リスト!$I$3,"一般送配電_種類",IF(B23=非_燃料種類_選択リスト!$I$4,"一般送配電以外_種類",IF(B23=非_燃料種類_選択リスト!$I$5,"熱_種類",IF(B23=非_燃料種類_選択リスト!$I$6,"都市ガス_種類","")))))</f>
        <v/>
      </c>
      <c r="AB23" s="490" t="str">
        <f>IF(Z23&lt;&gt;"電気","",非_電気事業者!$S$4*1000)</f>
        <v/>
      </c>
      <c r="AC23" s="490" t="str">
        <f>IF(Z23&lt;&gt;"電気","",IF(ISERROR(VLOOKUP(D23&amp;F23,非_電気事業者!$R$9:$S$1500,2,FALSE)),"要記入",VLOOKUP(D23&amp;F23,非_電気事業者!$R$9:$S$1500,2,FALSE)*1000))</f>
        <v/>
      </c>
      <c r="AD23" s="490" t="str">
        <f>IF(Z23&lt;&gt;"熱","",非_熱供給事業者!$T$4)</f>
        <v/>
      </c>
      <c r="AE23" s="490" t="str">
        <f>IF(Z23&lt;&gt;"熱","",IF(ISERROR(VLOOKUP(D23&amp;F23,非_熱供給事業者!$S$8:$T$100,2,FALSE)),"要記入",VLOOKUP(D23&amp;F23,非_熱供給事業者!$S$8:$T$100,2,FALSE)))</f>
        <v/>
      </c>
      <c r="AF23" s="490" t="str">
        <f>IF(Z23&lt;&gt;"都市ガス","",非_都市ガス事業者!$AB$4)</f>
        <v/>
      </c>
      <c r="AG23" s="490" t="str">
        <f>IF(Z23&lt;&gt;"都市ガス","",IF(ISERROR(VLOOKUP(D23&amp;F23,非_都市ガス事業者!$AA$8:$AB$100,2,FALSE)),"要記入",VLOOKUP(D23&amp;F23,非_都市ガス事業者!$AA$8:$AB$100,2,FALSE)))</f>
        <v/>
      </c>
      <c r="AH23" s="490" t="str">
        <f t="shared" si="1"/>
        <v/>
      </c>
      <c r="AI23" s="490" t="str">
        <f t="shared" si="11"/>
        <v/>
      </c>
      <c r="AJ23" s="490" t="b">
        <f t="shared" si="12"/>
        <v>1</v>
      </c>
      <c r="AK23" s="490" t="str">
        <f>IF(Q23="","",VLOOKUP(Q23,非_単位補正換算!$B$3:$C$16,2,FALSE))</f>
        <v/>
      </c>
      <c r="AL23" s="490" t="str">
        <f>IF(Z23="","",IF(Z23&lt;&gt;"都市ガス",1,IF(G23="","",SUMIFS(非_単位補正換算!$D$52:$D$63,非_単位補正換算!$B$52:$B$63,"都市ガス"&amp;G23,非_単位補正換算!$C$52:$C$63,'13電気・熱_都市ガス'!Q23))))</f>
        <v/>
      </c>
      <c r="AM23" s="490" t="str">
        <f t="shared" si="13"/>
        <v/>
      </c>
      <c r="AN23" s="490" t="str">
        <f t="shared" si="2"/>
        <v/>
      </c>
      <c r="AO23" s="490" t="str">
        <f t="shared" si="3"/>
        <v/>
      </c>
      <c r="AP23" s="490" t="str">
        <f>IF(C23="","",VLOOKUP(C23,非_まとめ表行番号!$F$3:$H$12,2,FALSE))</f>
        <v/>
      </c>
      <c r="AQ23" s="490" t="b">
        <f t="shared" si="14"/>
        <v>1</v>
      </c>
      <c r="AR23" s="490" t="str">
        <f>IF(Z23="","",IF(Z23&lt;&gt;"都市ガス",1,非_係数!$G$55))</f>
        <v/>
      </c>
      <c r="AS23" s="490" t="str">
        <f t="shared" si="33"/>
        <v/>
      </c>
      <c r="AT23" s="490" t="str">
        <f t="shared" si="4"/>
        <v/>
      </c>
      <c r="AU23" s="490" t="str">
        <f>IF(C23="","",VLOOKUP(C23,非_係数!$B$42:$K$55,9,FALSE))</f>
        <v/>
      </c>
      <c r="AV23" s="490" t="str">
        <f t="shared" si="16"/>
        <v/>
      </c>
      <c r="AW23" s="490" t="str">
        <f>IF(C23="","",VLOOKUP(C23,非_まとめ表行番号!$F$3:$H$12,3,FALSE))</f>
        <v/>
      </c>
      <c r="AX23" s="490" t="str">
        <f t="shared" si="5"/>
        <v/>
      </c>
      <c r="AZ23" s="490" t="str">
        <f>IF(AP23="","",VLOOKUP(AP23,非_まとめ表行番号!$U$3:$V$56,2,FALSE))</f>
        <v/>
      </c>
      <c r="BA23" s="490" t="str">
        <f t="shared" si="17"/>
        <v/>
      </c>
      <c r="BB23" s="490" t="str">
        <f t="shared" si="17"/>
        <v/>
      </c>
      <c r="BC23" s="490" t="str">
        <f t="shared" si="18"/>
        <v/>
      </c>
      <c r="BD23" s="490" t="str">
        <f t="shared" si="19"/>
        <v/>
      </c>
      <c r="BE23" s="490" t="str">
        <f t="shared" si="20"/>
        <v/>
      </c>
      <c r="BF23" s="490" t="str">
        <f t="shared" si="20"/>
        <v/>
      </c>
      <c r="BG23" s="490" t="str">
        <f t="shared" si="21"/>
        <v/>
      </c>
      <c r="BH23" s="490" t="str">
        <f t="shared" si="22"/>
        <v/>
      </c>
      <c r="BI23" s="84">
        <v>1</v>
      </c>
    </row>
    <row r="24" spans="1:61" ht="18.75" customHeight="1" thickBot="1">
      <c r="A24" s="628"/>
      <c r="B24" s="610"/>
      <c r="C24" s="611"/>
      <c r="D24" s="611"/>
      <c r="E24" s="618"/>
      <c r="F24" s="611"/>
      <c r="G24" s="401"/>
      <c r="H24" s="179" t="str">
        <f>IF(Z24&lt;&gt;"都市ガス","",IF(ISERROR(VLOOKUP(D24,非_都市ガス事業者!$O$8:$P$100,2,FALSE)),"",VLOOKUP(D24,非_都市ガス事業者!$O$8:$P$100,2,FALSE)))</f>
        <v/>
      </c>
      <c r="I24" s="402" t="str">
        <f>IF(Z24&lt;&gt;"都市ガス","",非_都市ガス事業者!$P$4)</f>
        <v/>
      </c>
      <c r="J24" s="178" t="str">
        <f>IF(C24="","",IF(Z24&lt;&gt;"都市ガス",VLOOKUP(C24,非_係数!$B$42:$D$55,2,FALSE),""))</f>
        <v/>
      </c>
      <c r="K24" s="618"/>
      <c r="L24" s="664" t="str">
        <f t="shared" si="6"/>
        <v/>
      </c>
      <c r="M24" s="639" t="str">
        <f t="shared" si="29"/>
        <v/>
      </c>
      <c r="N24" s="611"/>
      <c r="O24" s="404"/>
      <c r="P24" s="401"/>
      <c r="Q24" s="611"/>
      <c r="R24" s="640"/>
      <c r="S24" s="509"/>
      <c r="T24" s="642" t="str">
        <f t="shared" si="23"/>
        <v/>
      </c>
      <c r="U24" s="676" t="str">
        <f t="shared" si="30"/>
        <v/>
      </c>
      <c r="V24" s="677" t="str">
        <f>IF(C24="","",VLOOKUP(C24,非_単位!$N$38:$O$53,2,FALSE))</f>
        <v/>
      </c>
      <c r="W24" s="642" t="str">
        <f t="shared" si="31"/>
        <v/>
      </c>
      <c r="X24" s="644" t="str">
        <f t="shared" si="32"/>
        <v/>
      </c>
      <c r="Z24" s="577" t="str">
        <f t="shared" si="0"/>
        <v/>
      </c>
      <c r="AA24" s="577" t="str">
        <f>IF(B24="","",IF(B24=非_燃料種類_選択リスト!$I$3,"一般送配電_種類",IF(B24=非_燃料種類_選択リスト!$I$4,"一般送配電以外_種類",IF(B24=非_燃料種類_選択リスト!$I$5,"熱_種類",IF(B24=非_燃料種類_選択リスト!$I$6,"都市ガス_種類","")))))</f>
        <v/>
      </c>
      <c r="AB24" s="577" t="str">
        <f>IF(Z24&lt;&gt;"電気","",非_電気事業者!$S$4*1000)</f>
        <v/>
      </c>
      <c r="AC24" s="577" t="str">
        <f>IF(Z24&lt;&gt;"電気","",IF(ISERROR(VLOOKUP(D24&amp;F24,非_電気事業者!$R$9:$S$1500,2,FALSE)),"要記入",VLOOKUP(D24&amp;F24,非_電気事業者!$R$9:$S$1500,2,FALSE)*1000))</f>
        <v/>
      </c>
      <c r="AD24" s="577" t="str">
        <f>IF(Z24&lt;&gt;"熱","",非_熱供給事業者!$T$4)</f>
        <v/>
      </c>
      <c r="AE24" s="577" t="str">
        <f>IF(Z24&lt;&gt;"熱","",IF(ISERROR(VLOOKUP(D24&amp;F24,非_熱供給事業者!$S$8:$T$100,2,FALSE)),"要記入",VLOOKUP(D24&amp;F24,非_熱供給事業者!$S$8:$T$100,2,FALSE)))</f>
        <v/>
      </c>
      <c r="AF24" s="577" t="str">
        <f>IF(Z24&lt;&gt;"都市ガス","",非_都市ガス事業者!$AB$4)</f>
        <v/>
      </c>
      <c r="AG24" s="577" t="str">
        <f>IF(Z24&lt;&gt;"都市ガス","",IF(ISERROR(VLOOKUP(D24&amp;F24,非_都市ガス事業者!$AA$8:$AB$100,2,FALSE)),"要記入",VLOOKUP(D24&amp;F24,非_都市ガス事業者!$AA$8:$AB$100,2,FALSE)))</f>
        <v/>
      </c>
      <c r="AH24" s="577" t="str">
        <f t="shared" si="1"/>
        <v/>
      </c>
      <c r="AI24" s="577" t="str">
        <f t="shared" si="11"/>
        <v/>
      </c>
      <c r="AJ24" s="577" t="b">
        <f t="shared" si="12"/>
        <v>1</v>
      </c>
      <c r="AK24" s="577" t="str">
        <f>IF(Q24="","",VLOOKUP(Q24,非_単位補正換算!$B$3:$C$16,2,FALSE))</f>
        <v/>
      </c>
      <c r="AL24" s="577" t="str">
        <f>IF(Z24="","",IF(Z24&lt;&gt;"都市ガス",1,IF(G24="","",SUMIFS(非_単位補正換算!$D$52:$D$63,非_単位補正換算!$B$52:$B$63,"都市ガス"&amp;G24,非_単位補正換算!$C$52:$C$63,'13電気・熱_都市ガス'!Q24))))</f>
        <v/>
      </c>
      <c r="AM24" s="577" t="str">
        <f t="shared" si="13"/>
        <v/>
      </c>
      <c r="AN24" s="577" t="str">
        <f t="shared" si="2"/>
        <v/>
      </c>
      <c r="AO24" s="577" t="str">
        <f t="shared" si="3"/>
        <v/>
      </c>
      <c r="AP24" s="577" t="str">
        <f>IF(C24="","",VLOOKUP(C24,非_まとめ表行番号!$F$3:$H$12,2,FALSE))</f>
        <v/>
      </c>
      <c r="AQ24" s="577" t="b">
        <f t="shared" si="14"/>
        <v>1</v>
      </c>
      <c r="AR24" s="577" t="str">
        <f>IF(Z24="","",IF(Z24&lt;&gt;"都市ガス",1,非_係数!$G$55))</f>
        <v/>
      </c>
      <c r="AS24" s="577" t="str">
        <f t="shared" si="33"/>
        <v/>
      </c>
      <c r="AT24" s="577" t="str">
        <f t="shared" si="4"/>
        <v/>
      </c>
      <c r="AU24" s="577" t="str">
        <f>IF(C24="","",VLOOKUP(C24,非_係数!$B$42:$K$55,9,FALSE))</f>
        <v/>
      </c>
      <c r="AV24" s="577" t="str">
        <f t="shared" si="16"/>
        <v/>
      </c>
      <c r="AW24" s="577" t="str">
        <f>IF(C24="","",VLOOKUP(C24,非_まとめ表行番号!$F$3:$H$12,3,FALSE))</f>
        <v/>
      </c>
      <c r="AX24" s="577" t="str">
        <f t="shared" si="5"/>
        <v/>
      </c>
      <c r="AZ24" s="577" t="str">
        <f>IF(AP24="","",VLOOKUP(AP24,非_まとめ表行番号!$U$3:$V$56,2,FALSE))</f>
        <v/>
      </c>
      <c r="BA24" s="577" t="str">
        <f t="shared" si="17"/>
        <v/>
      </c>
      <c r="BB24" s="577" t="str">
        <f t="shared" si="17"/>
        <v/>
      </c>
      <c r="BC24" s="577" t="str">
        <f t="shared" si="18"/>
        <v/>
      </c>
      <c r="BD24" s="577" t="str">
        <f t="shared" si="19"/>
        <v/>
      </c>
      <c r="BE24" s="577" t="str">
        <f t="shared" si="20"/>
        <v/>
      </c>
      <c r="BF24" s="577" t="str">
        <f t="shared" si="20"/>
        <v/>
      </c>
      <c r="BG24" s="577" t="str">
        <f t="shared" si="21"/>
        <v/>
      </c>
      <c r="BH24" s="577" t="str">
        <f t="shared" si="22"/>
        <v/>
      </c>
      <c r="BI24" s="708">
        <v>1</v>
      </c>
    </row>
    <row r="25" spans="1:61" ht="18.75" customHeight="1" thickTop="1">
      <c r="A25" s="629" t="s">
        <v>2053</v>
      </c>
      <c r="B25" s="612" t="s">
        <v>1467</v>
      </c>
      <c r="C25" s="613" t="s">
        <v>1487</v>
      </c>
      <c r="D25" s="613"/>
      <c r="E25" s="619"/>
      <c r="F25" s="613"/>
      <c r="G25" s="401"/>
      <c r="H25" s="179" t="str">
        <f>IF(Z25&lt;&gt;"都市ガス","",IF(ISERROR(VLOOKUP(D25,非_都市ガス事業者!$O$8:$P$100,2,FALSE)),"",VLOOKUP(D25,非_都市ガス事業者!$O$8:$P$100,2,FALSE)))</f>
        <v/>
      </c>
      <c r="I25" s="402" t="str">
        <f>IF(Z25&lt;&gt;"都市ガス","",非_都市ガス事業者!$P$4)</f>
        <v/>
      </c>
      <c r="J25" s="178">
        <f>IF(C25="","",IF(Z25&lt;&gt;"都市ガス",VLOOKUP(C25,非_係数!$B$42:$D$55,2,FALSE),""))</f>
        <v>8.64</v>
      </c>
      <c r="K25" s="619" t="s">
        <v>1460</v>
      </c>
      <c r="L25" s="648" t="str">
        <f t="shared" si="6"/>
        <v>要記入</v>
      </c>
      <c r="M25" s="213" t="str">
        <f t="shared" si="24"/>
        <v>t-CO2/千kWh</v>
      </c>
      <c r="N25" s="613" t="s">
        <v>367</v>
      </c>
      <c r="O25" s="404"/>
      <c r="P25" s="401"/>
      <c r="Q25" s="613" t="s">
        <v>370</v>
      </c>
      <c r="R25" s="649"/>
      <c r="S25" s="509"/>
      <c r="T25" s="650" t="str">
        <f t="shared" si="23"/>
        <v/>
      </c>
      <c r="U25" s="456" t="str">
        <f t="shared" si="25"/>
        <v/>
      </c>
      <c r="V25" s="652" t="str">
        <f>IF(C25="","",VLOOKUP(C25,非_単位!$N$38:$O$53,2,FALSE))</f>
        <v>千kWh</v>
      </c>
      <c r="W25" s="650" t="str">
        <f t="shared" si="26"/>
        <v/>
      </c>
      <c r="X25" s="650" t="str">
        <f t="shared" si="27"/>
        <v/>
      </c>
      <c r="Z25" s="662" t="str">
        <f t="shared" si="0"/>
        <v>電気</v>
      </c>
      <c r="AA25" s="662" t="str">
        <f>IF(B25="","",IF(B25=非_燃料種類_選択リスト!$I$3,"一般送配電_種類",IF(B25=非_燃料種類_選択リスト!$I$4,"一般送配電以外_種類",IF(B25=非_燃料種類_選択リスト!$I$5,"熱_種類",IF(B25=非_燃料種類_選択リスト!$I$6,"都市ガス_種類","")))))</f>
        <v>一般送配電_種類</v>
      </c>
      <c r="AB25" s="662">
        <f>IF(Z25&lt;&gt;"電気","",非_電気事業者!$S$4*1000)</f>
        <v>0.42199999999999999</v>
      </c>
      <c r="AC25" s="662" t="str">
        <f>IF(Z25&lt;&gt;"電気","",IF(ISERROR(VLOOKUP(D25&amp;F25,非_電気事業者!$R$9:$S$1500,2,FALSE)),"要記入",VLOOKUP(D25&amp;F25,非_電気事業者!$R$9:$S$1500,2,FALSE)*1000))</f>
        <v>要記入</v>
      </c>
      <c r="AD25" s="662" t="str">
        <f>IF(Z25&lt;&gt;"熱","",非_熱供給事業者!$T$4)</f>
        <v/>
      </c>
      <c r="AE25" s="662" t="str">
        <f>IF(Z25&lt;&gt;"熱","",IF(ISERROR(VLOOKUP(D25&amp;F25,非_熱供給事業者!$S$8:$T$100,2,FALSE)),"要記入",VLOOKUP(D25&amp;F25,非_熱供給事業者!$S$8:$T$100,2,FALSE)))</f>
        <v/>
      </c>
      <c r="AF25" s="662" t="str">
        <f>IF(Z25&lt;&gt;"都市ガス","",非_都市ガス事業者!$AB$4)</f>
        <v/>
      </c>
      <c r="AG25" s="662" t="str">
        <f>IF(Z25&lt;&gt;"都市ガス","",IF(ISERROR(VLOOKUP(D25&amp;F25,非_都市ガス事業者!$AA$8:$AB$100,2,FALSE)),"要記入",VLOOKUP(D25&amp;F25,非_都市ガス事業者!$AA$8:$AB$100,2,FALSE)))</f>
        <v/>
      </c>
      <c r="AH25" s="662" t="str">
        <f t="shared" si="1"/>
        <v>要記入</v>
      </c>
      <c r="AI25" s="662" t="str">
        <f t="shared" si="11"/>
        <v>t-CO2/千kWh</v>
      </c>
      <c r="AJ25" s="662" t="b">
        <f t="shared" si="12"/>
        <v>1</v>
      </c>
      <c r="AK25" s="662">
        <f>IF(Q25="","",VLOOKUP(Q25,非_単位補正換算!$B$3:$C$16,2,FALSE))</f>
        <v>1000</v>
      </c>
      <c r="AL25" s="662">
        <f>IF(Z25="","",IF(Z25&lt;&gt;"都市ガス",1,IF(G25="","",SUMIFS(非_単位補正換算!$D$52:$D$63,非_単位補正換算!$B$52:$B$63,"都市ガス"&amp;G25,非_単位補正換算!$C$52:$C$63,'13電気・熱_都市ガス'!Q25))))</f>
        <v>1</v>
      </c>
      <c r="AM25" s="662" t="str">
        <f t="shared" si="13"/>
        <v/>
      </c>
      <c r="AN25" s="662" t="str">
        <f t="shared" si="2"/>
        <v/>
      </c>
      <c r="AO25" s="662" t="str">
        <f t="shared" si="3"/>
        <v/>
      </c>
      <c r="AP25" s="662">
        <f>IF(C25="","",VLOOKUP(C25,非_まとめ表行番号!$F$3:$H$12,2,FALSE))</f>
        <v>47</v>
      </c>
      <c r="AQ25" s="662" t="b">
        <f t="shared" si="14"/>
        <v>1</v>
      </c>
      <c r="AR25" s="662">
        <f>IF(Z25="","",IF(Z25&lt;&gt;"都市ガス",1,非_係数!$G$55))</f>
        <v>1</v>
      </c>
      <c r="AS25" s="662" t="str">
        <f t="shared" si="28"/>
        <v/>
      </c>
      <c r="AT25" s="662" t="str">
        <f t="shared" si="4"/>
        <v/>
      </c>
      <c r="AU25" s="662">
        <f>IF(C25="","",VLOOKUP(C25,非_係数!$B$42:$K$55,9,FALSE))</f>
        <v>0.495</v>
      </c>
      <c r="AV25" s="662" t="str">
        <f t="shared" si="16"/>
        <v/>
      </c>
      <c r="AW25" s="662">
        <f>IF(C25="","",VLOOKUP(C25,非_まとめ表行番号!$F$3:$H$12,3,FALSE))</f>
        <v>43</v>
      </c>
      <c r="AX25" s="662" t="str">
        <f t="shared" si="5"/>
        <v/>
      </c>
      <c r="AZ25" s="662">
        <f>IF(AP25="","",VLOOKUP(AP25,非_まとめ表行番号!$U$3:$V$56,2,FALSE))</f>
        <v>40</v>
      </c>
      <c r="BA25" s="662" t="str">
        <f t="shared" si="17"/>
        <v/>
      </c>
      <c r="BB25" s="662" t="str">
        <f t="shared" si="17"/>
        <v/>
      </c>
      <c r="BC25" s="662">
        <f t="shared" si="18"/>
        <v>8.64</v>
      </c>
      <c r="BD25" s="662" t="str">
        <f t="shared" si="19"/>
        <v/>
      </c>
      <c r="BE25" s="662" t="str">
        <f t="shared" si="20"/>
        <v>国公表値</v>
      </c>
      <c r="BF25" s="662" t="str">
        <f t="shared" si="20"/>
        <v>要記入</v>
      </c>
      <c r="BG25" s="662" t="str">
        <f t="shared" si="21"/>
        <v/>
      </c>
      <c r="BH25" s="662" t="str">
        <f t="shared" si="22"/>
        <v/>
      </c>
      <c r="BI25" s="84">
        <v>2</v>
      </c>
    </row>
    <row r="26" spans="1:61" ht="18.75" customHeight="1">
      <c r="A26" s="629"/>
      <c r="B26" s="614"/>
      <c r="C26" s="615"/>
      <c r="D26" s="615"/>
      <c r="E26" s="620"/>
      <c r="F26" s="615"/>
      <c r="G26" s="401"/>
      <c r="H26" s="179" t="str">
        <f>IF(Z26&lt;&gt;"都市ガス","",IF(ISERROR(VLOOKUP(D26,非_都市ガス事業者!$O$8:$P$100,2,FALSE)),"",VLOOKUP(D26,非_都市ガス事業者!$O$8:$P$100,2,FALSE)))</f>
        <v/>
      </c>
      <c r="I26" s="402" t="str">
        <f>IF(Z26&lt;&gt;"都市ガス","",非_都市ガス事業者!$P$4)</f>
        <v/>
      </c>
      <c r="J26" s="178" t="str">
        <f>IF(C26="","",IF(Z26&lt;&gt;"都市ガス",VLOOKUP(C26,非_係数!$B$42:$D$55,2,FALSE),""))</f>
        <v/>
      </c>
      <c r="K26" s="620"/>
      <c r="L26" s="503" t="str">
        <f t="shared" si="6"/>
        <v/>
      </c>
      <c r="M26" s="214" t="str">
        <f t="shared" si="24"/>
        <v/>
      </c>
      <c r="N26" s="615"/>
      <c r="O26" s="404"/>
      <c r="P26" s="401"/>
      <c r="Q26" s="615"/>
      <c r="R26" s="477"/>
      <c r="S26" s="509"/>
      <c r="T26" s="450" t="str">
        <f t="shared" si="23"/>
        <v/>
      </c>
      <c r="U26" s="459" t="str">
        <f t="shared" si="25"/>
        <v/>
      </c>
      <c r="V26" s="455" t="str">
        <f>IF(C26="","",VLOOKUP(C26,非_単位!$N$38:$O$53,2,FALSE))</f>
        <v/>
      </c>
      <c r="W26" s="450" t="str">
        <f t="shared" si="26"/>
        <v/>
      </c>
      <c r="X26" s="450" t="str">
        <f t="shared" si="27"/>
        <v/>
      </c>
      <c r="Z26" s="490" t="str">
        <f t="shared" si="0"/>
        <v/>
      </c>
      <c r="AA26" s="490" t="str">
        <f>IF(B26="","",IF(B26=非_燃料種類_選択リスト!$I$3,"一般送配電_種類",IF(B26=非_燃料種類_選択リスト!$I$4,"一般送配電以外_種類",IF(B26=非_燃料種類_選択リスト!$I$5,"熱_種類",IF(B26=非_燃料種類_選択リスト!$I$6,"都市ガス_種類","")))))</f>
        <v/>
      </c>
      <c r="AB26" s="490" t="str">
        <f>IF(Z26&lt;&gt;"電気","",非_電気事業者!$S$4*1000)</f>
        <v/>
      </c>
      <c r="AC26" s="490" t="str">
        <f>IF(Z26&lt;&gt;"電気","",IF(ISERROR(VLOOKUP(D26&amp;F26,非_電気事業者!$R$9:$S$1500,2,FALSE)),"要記入",VLOOKUP(D26&amp;F26,非_電気事業者!$R$9:$S$1500,2,FALSE)*1000))</f>
        <v/>
      </c>
      <c r="AD26" s="490" t="str">
        <f>IF(Z26&lt;&gt;"熱","",非_熱供給事業者!$T$4)</f>
        <v/>
      </c>
      <c r="AE26" s="490" t="str">
        <f>IF(Z26&lt;&gt;"熱","",IF(ISERROR(VLOOKUP(D26&amp;F26,非_熱供給事業者!$S$8:$T$100,2,FALSE)),"要記入",VLOOKUP(D26&amp;F26,非_熱供給事業者!$S$8:$T$100,2,FALSE)))</f>
        <v/>
      </c>
      <c r="AF26" s="490" t="str">
        <f>IF(Z26&lt;&gt;"都市ガス","",非_都市ガス事業者!$AB$4)</f>
        <v/>
      </c>
      <c r="AG26" s="490" t="str">
        <f>IF(Z26&lt;&gt;"都市ガス","",IF(ISERROR(VLOOKUP(D26&amp;F26,非_都市ガス事業者!$AA$8:$AB$100,2,FALSE)),"要記入",VLOOKUP(D26&amp;F26,非_都市ガス事業者!$AA$8:$AB$100,2,FALSE)))</f>
        <v/>
      </c>
      <c r="AH26" s="490" t="str">
        <f t="shared" si="1"/>
        <v/>
      </c>
      <c r="AI26" s="490" t="str">
        <f t="shared" si="11"/>
        <v/>
      </c>
      <c r="AJ26" s="490" t="b">
        <f t="shared" si="12"/>
        <v>1</v>
      </c>
      <c r="AK26" s="490" t="str">
        <f>IF(Q26="","",VLOOKUP(Q26,非_単位補正換算!$B$3:$C$16,2,FALSE))</f>
        <v/>
      </c>
      <c r="AL26" s="490" t="str">
        <f>IF(Z26="","",IF(Z26&lt;&gt;"都市ガス",1,IF(G26="","",SUMIFS(非_単位補正換算!$D$52:$D$63,非_単位補正換算!$B$52:$B$63,"都市ガス"&amp;G26,非_単位補正換算!$C$52:$C$63,'13電気・熱_都市ガス'!Q26))))</f>
        <v/>
      </c>
      <c r="AM26" s="490" t="str">
        <f t="shared" si="13"/>
        <v/>
      </c>
      <c r="AN26" s="490" t="str">
        <f t="shared" si="2"/>
        <v/>
      </c>
      <c r="AO26" s="490" t="str">
        <f t="shared" si="3"/>
        <v/>
      </c>
      <c r="AP26" s="490" t="str">
        <f>IF(C26="","",VLOOKUP(C26,非_まとめ表行番号!$F$3:$H$12,2,FALSE))</f>
        <v/>
      </c>
      <c r="AQ26" s="490" t="b">
        <f t="shared" si="14"/>
        <v>1</v>
      </c>
      <c r="AR26" s="490" t="str">
        <f>IF(Z26="","",IF(Z26&lt;&gt;"都市ガス",1,非_係数!$G$55))</f>
        <v/>
      </c>
      <c r="AS26" s="490" t="str">
        <f t="shared" si="28"/>
        <v/>
      </c>
      <c r="AT26" s="490" t="str">
        <f t="shared" si="4"/>
        <v/>
      </c>
      <c r="AU26" s="490" t="str">
        <f>IF(C26="","",VLOOKUP(C26,非_係数!$B$42:$K$55,9,FALSE))</f>
        <v/>
      </c>
      <c r="AV26" s="490" t="str">
        <f t="shared" si="16"/>
        <v/>
      </c>
      <c r="AW26" s="490" t="str">
        <f>IF(C26="","",VLOOKUP(C26,非_まとめ表行番号!$F$3:$H$12,3,FALSE))</f>
        <v/>
      </c>
      <c r="AX26" s="490" t="str">
        <f t="shared" si="5"/>
        <v/>
      </c>
      <c r="AZ26" s="490" t="str">
        <f>IF(AP26="","",VLOOKUP(AP26,非_まとめ表行番号!$U$3:$V$56,2,FALSE))</f>
        <v/>
      </c>
      <c r="BA26" s="490" t="str">
        <f t="shared" si="17"/>
        <v/>
      </c>
      <c r="BB26" s="490" t="str">
        <f t="shared" si="17"/>
        <v/>
      </c>
      <c r="BC26" s="490" t="str">
        <f t="shared" si="18"/>
        <v/>
      </c>
      <c r="BD26" s="490" t="str">
        <f t="shared" si="19"/>
        <v/>
      </c>
      <c r="BE26" s="490" t="str">
        <f t="shared" si="20"/>
        <v/>
      </c>
      <c r="BF26" s="490" t="str">
        <f t="shared" si="20"/>
        <v/>
      </c>
      <c r="BG26" s="490" t="str">
        <f t="shared" si="21"/>
        <v/>
      </c>
      <c r="BH26" s="490" t="str">
        <f t="shared" si="22"/>
        <v/>
      </c>
      <c r="BI26" s="84">
        <v>2</v>
      </c>
    </row>
    <row r="27" spans="1:61" ht="18.75" hidden="1" customHeight="1">
      <c r="A27" s="629"/>
      <c r="B27" s="614"/>
      <c r="C27" s="615"/>
      <c r="D27" s="615"/>
      <c r="E27" s="620"/>
      <c r="F27" s="615"/>
      <c r="G27" s="401"/>
      <c r="H27" s="179" t="str">
        <f>IF(Z27&lt;&gt;"都市ガス","",IF(ISERROR(VLOOKUP(D27,非_都市ガス事業者!$O$8:$P$100,2,FALSE)),"",VLOOKUP(D27,非_都市ガス事業者!$O$8:$P$100,2,FALSE)))</f>
        <v/>
      </c>
      <c r="I27" s="402" t="str">
        <f>IF(Z27&lt;&gt;"都市ガス","",非_都市ガス事業者!$P$4)</f>
        <v/>
      </c>
      <c r="J27" s="178" t="str">
        <f>IF(C27="","",IF(Z27&lt;&gt;"都市ガス",VLOOKUP(C27,非_係数!$B$42:$D$55,2,FALSE),""))</f>
        <v/>
      </c>
      <c r="K27" s="620"/>
      <c r="L27" s="503" t="str">
        <f t="shared" si="6"/>
        <v/>
      </c>
      <c r="M27" s="214" t="str">
        <f t="shared" ref="M27" si="34">AI27</f>
        <v/>
      </c>
      <c r="N27" s="615"/>
      <c r="O27" s="404"/>
      <c r="P27" s="401"/>
      <c r="Q27" s="615"/>
      <c r="R27" s="477"/>
      <c r="S27" s="509"/>
      <c r="T27" s="450" t="str">
        <f t="shared" si="23"/>
        <v/>
      </c>
      <c r="U27" s="459" t="str">
        <f t="shared" ref="U27" si="35">AM27</f>
        <v/>
      </c>
      <c r="V27" s="455" t="str">
        <f>IF(C27="","",VLOOKUP(C27,非_単位!$N$38:$O$53,2,FALSE))</f>
        <v/>
      </c>
      <c r="W27" s="450" t="str">
        <f t="shared" ref="W27" si="36">AN27</f>
        <v/>
      </c>
      <c r="X27" s="450" t="str">
        <f t="shared" ref="X27" si="37">AO27</f>
        <v/>
      </c>
      <c r="Z27" s="490" t="str">
        <f t="shared" si="0"/>
        <v/>
      </c>
      <c r="AA27" s="490" t="str">
        <f>IF(B27="","",IF(B27=非_燃料種類_選択リスト!$I$3,"一般送配電_種類",IF(B27=非_燃料種類_選択リスト!$I$4,"一般送配電以外_種類",IF(B27=非_燃料種類_選択リスト!$I$5,"熱_種類",IF(B27=非_燃料種類_選択リスト!$I$6,"都市ガス_種類","")))))</f>
        <v/>
      </c>
      <c r="AB27" s="490" t="str">
        <f>IF(Z27&lt;&gt;"電気","",非_電気事業者!$S$4*1000)</f>
        <v/>
      </c>
      <c r="AC27" s="490" t="str">
        <f>IF(Z27&lt;&gt;"電気","",IF(ISERROR(VLOOKUP(D27&amp;F27,非_電気事業者!$R$9:$S$1500,2,FALSE)),"要記入",VLOOKUP(D27&amp;F27,非_電気事業者!$R$9:$S$1500,2,FALSE)*1000))</f>
        <v/>
      </c>
      <c r="AD27" s="490" t="str">
        <f>IF(Z27&lt;&gt;"熱","",非_熱供給事業者!$T$4)</f>
        <v/>
      </c>
      <c r="AE27" s="490" t="str">
        <f>IF(Z27&lt;&gt;"熱","",IF(ISERROR(VLOOKUP(D27&amp;F27,非_熱供給事業者!$S$8:$T$100,2,FALSE)),"要記入",VLOOKUP(D27&amp;F27,非_熱供給事業者!$S$8:$T$100,2,FALSE)))</f>
        <v/>
      </c>
      <c r="AF27" s="490" t="str">
        <f>IF(Z27&lt;&gt;"都市ガス","",非_都市ガス事業者!$AB$4)</f>
        <v/>
      </c>
      <c r="AG27" s="490" t="str">
        <f>IF(Z27&lt;&gt;"都市ガス","",IF(ISERROR(VLOOKUP(D27&amp;F27,非_都市ガス事業者!$AA$8:$AB$100,2,FALSE)),"要記入",VLOOKUP(D27&amp;F27,非_都市ガス事業者!$AA$8:$AB$100,2,FALSE)))</f>
        <v/>
      </c>
      <c r="AH27" s="490" t="str">
        <f t="shared" si="1"/>
        <v/>
      </c>
      <c r="AI27" s="490" t="str">
        <f t="shared" si="11"/>
        <v/>
      </c>
      <c r="AJ27" s="490" t="b">
        <f t="shared" si="12"/>
        <v>1</v>
      </c>
      <c r="AK27" s="490" t="str">
        <f>IF(Q27="","",VLOOKUP(Q27,非_単位補正換算!$B$3:$C$16,2,FALSE))</f>
        <v/>
      </c>
      <c r="AL27" s="490" t="str">
        <f>IF(Z27="","",IF(Z27&lt;&gt;"都市ガス",1,IF(G27="","",SUMIFS(非_単位補正換算!$D$52:$D$63,非_単位補正換算!$B$52:$B$63,"都市ガス"&amp;G27,非_単位補正換算!$C$52:$C$63,'13電気・熱_都市ガス'!Q27))))</f>
        <v/>
      </c>
      <c r="AM27" s="490" t="str">
        <f t="shared" si="13"/>
        <v/>
      </c>
      <c r="AN27" s="490" t="str">
        <f t="shared" si="2"/>
        <v/>
      </c>
      <c r="AO27" s="490" t="str">
        <f t="shared" si="3"/>
        <v/>
      </c>
      <c r="AP27" s="490" t="str">
        <f>IF(C27="","",VLOOKUP(C27,非_まとめ表行番号!$F$3:$H$12,2,FALSE))</f>
        <v/>
      </c>
      <c r="AQ27" s="490" t="b">
        <f t="shared" si="14"/>
        <v>1</v>
      </c>
      <c r="AR27" s="490" t="str">
        <f>IF(Z27="","",IF(Z27&lt;&gt;"都市ガス",1,非_係数!$G$55))</f>
        <v/>
      </c>
      <c r="AS27" s="490" t="str">
        <f t="shared" ref="AS27" si="38">IF(AM27="","",AM27*AR27)</f>
        <v/>
      </c>
      <c r="AT27" s="490" t="str">
        <f t="shared" si="4"/>
        <v/>
      </c>
      <c r="AU27" s="490" t="str">
        <f>IF(C27="","",VLOOKUP(C27,非_係数!$B$42:$K$55,9,FALSE))</f>
        <v/>
      </c>
      <c r="AV27" s="490" t="str">
        <f t="shared" si="16"/>
        <v/>
      </c>
      <c r="AW27" s="490" t="str">
        <f>IF(C27="","",VLOOKUP(C27,非_まとめ表行番号!$F$3:$H$12,3,FALSE))</f>
        <v/>
      </c>
      <c r="AX27" s="490" t="str">
        <f t="shared" si="5"/>
        <v/>
      </c>
      <c r="AZ27" s="490" t="str">
        <f>IF(AP27="","",VLOOKUP(AP27,非_まとめ表行番号!$U$3:$V$56,2,FALSE))</f>
        <v/>
      </c>
      <c r="BA27" s="490" t="str">
        <f t="shared" si="17"/>
        <v/>
      </c>
      <c r="BB27" s="490" t="str">
        <f t="shared" si="17"/>
        <v/>
      </c>
      <c r="BC27" s="490" t="str">
        <f t="shared" si="18"/>
        <v/>
      </c>
      <c r="BD27" s="490" t="str">
        <f t="shared" si="19"/>
        <v/>
      </c>
      <c r="BE27" s="490" t="str">
        <f t="shared" si="20"/>
        <v/>
      </c>
      <c r="BF27" s="490" t="str">
        <f t="shared" si="20"/>
        <v/>
      </c>
      <c r="BG27" s="490" t="str">
        <f t="shared" si="21"/>
        <v/>
      </c>
      <c r="BH27" s="490" t="str">
        <f t="shared" si="22"/>
        <v/>
      </c>
      <c r="BI27" s="84">
        <v>2</v>
      </c>
    </row>
    <row r="28" spans="1:61" ht="18.75" hidden="1" customHeight="1">
      <c r="A28" s="629"/>
      <c r="B28" s="614"/>
      <c r="C28" s="615"/>
      <c r="D28" s="615"/>
      <c r="E28" s="620"/>
      <c r="F28" s="615"/>
      <c r="G28" s="401"/>
      <c r="H28" s="179" t="str">
        <f>IF(Z28&lt;&gt;"都市ガス","",IF(ISERROR(VLOOKUP(D28,非_都市ガス事業者!$O$8:$P$100,2,FALSE)),"",VLOOKUP(D28,非_都市ガス事業者!$O$8:$P$100,2,FALSE)))</f>
        <v/>
      </c>
      <c r="I28" s="402" t="str">
        <f>IF(Z28&lt;&gt;"都市ガス","",非_都市ガス事業者!$P$4)</f>
        <v/>
      </c>
      <c r="J28" s="178" t="str">
        <f>IF(C28="","",IF(Z28&lt;&gt;"都市ガス",VLOOKUP(C28,非_係数!$B$42:$D$55,2,FALSE),""))</f>
        <v/>
      </c>
      <c r="K28" s="620"/>
      <c r="L28" s="503" t="str">
        <f t="shared" si="6"/>
        <v/>
      </c>
      <c r="M28" s="214" t="str">
        <f t="shared" si="7"/>
        <v/>
      </c>
      <c r="N28" s="615"/>
      <c r="O28" s="404"/>
      <c r="P28" s="401"/>
      <c r="Q28" s="615"/>
      <c r="R28" s="477"/>
      <c r="S28" s="509"/>
      <c r="T28" s="450" t="str">
        <f t="shared" si="23"/>
        <v/>
      </c>
      <c r="U28" s="459" t="str">
        <f t="shared" si="8"/>
        <v/>
      </c>
      <c r="V28" s="455" t="str">
        <f>IF(C28="","",VLOOKUP(C28,非_単位!$N$38:$O$53,2,FALSE))</f>
        <v/>
      </c>
      <c r="W28" s="450" t="str">
        <f t="shared" si="9"/>
        <v/>
      </c>
      <c r="X28" s="450" t="str">
        <f t="shared" si="10"/>
        <v/>
      </c>
      <c r="Z28" s="490" t="str">
        <f t="shared" si="0"/>
        <v/>
      </c>
      <c r="AA28" s="490" t="str">
        <f>IF(B28="","",IF(B28=非_燃料種類_選択リスト!$I$3,"一般送配電_種類",IF(B28=非_燃料種類_選択リスト!$I$4,"一般送配電以外_種類",IF(B28=非_燃料種類_選択リスト!$I$5,"熱_種類",IF(B28=非_燃料種類_選択リスト!$I$6,"都市ガス_種類","")))))</f>
        <v/>
      </c>
      <c r="AB28" s="490" t="str">
        <f>IF(Z28&lt;&gt;"電気","",非_電気事業者!$S$4*1000)</f>
        <v/>
      </c>
      <c r="AC28" s="490" t="str">
        <f>IF(Z28&lt;&gt;"電気","",IF(ISERROR(VLOOKUP(D28&amp;F28,非_電気事業者!$R$9:$S$1500,2,FALSE)),"要記入",VLOOKUP(D28&amp;F28,非_電気事業者!$R$9:$S$1500,2,FALSE)*1000))</f>
        <v/>
      </c>
      <c r="AD28" s="490" t="str">
        <f>IF(Z28&lt;&gt;"熱","",非_熱供給事業者!$T$4)</f>
        <v/>
      </c>
      <c r="AE28" s="490" t="str">
        <f>IF(Z28&lt;&gt;"熱","",IF(ISERROR(VLOOKUP(D28&amp;F28,非_熱供給事業者!$S$8:$T$100,2,FALSE)),"要記入",VLOOKUP(D28&amp;F28,非_熱供給事業者!$S$8:$T$100,2,FALSE)))</f>
        <v/>
      </c>
      <c r="AF28" s="490" t="str">
        <f>IF(Z28&lt;&gt;"都市ガス","",非_都市ガス事業者!$AB$4)</f>
        <v/>
      </c>
      <c r="AG28" s="490" t="str">
        <f>IF(Z28&lt;&gt;"都市ガス","",IF(ISERROR(VLOOKUP(D28&amp;F28,非_都市ガス事業者!$AA$8:$AB$100,2,FALSE)),"要記入",VLOOKUP(D28&amp;F28,非_都市ガス事業者!$AA$8:$AB$100,2,FALSE)))</f>
        <v/>
      </c>
      <c r="AH28" s="490" t="str">
        <f t="shared" si="1"/>
        <v/>
      </c>
      <c r="AI28" s="490" t="str">
        <f t="shared" si="11"/>
        <v/>
      </c>
      <c r="AJ28" s="490" t="b">
        <f t="shared" si="12"/>
        <v>1</v>
      </c>
      <c r="AK28" s="490" t="str">
        <f>IF(Q28="","",VLOOKUP(Q28,非_単位補正換算!$B$3:$C$16,2,FALSE))</f>
        <v/>
      </c>
      <c r="AL28" s="490" t="str">
        <f>IF(Z28="","",IF(Z28&lt;&gt;"都市ガス",1,IF(G28="","",SUMIFS(非_単位補正換算!$D$52:$D$63,非_単位補正換算!$B$52:$B$63,"都市ガス"&amp;G28,非_単位補正換算!$C$52:$C$63,'13電気・熱_都市ガス'!Q28))))</f>
        <v/>
      </c>
      <c r="AM28" s="490" t="str">
        <f t="shared" si="13"/>
        <v/>
      </c>
      <c r="AN28" s="490" t="str">
        <f t="shared" si="2"/>
        <v/>
      </c>
      <c r="AO28" s="490" t="str">
        <f t="shared" si="3"/>
        <v/>
      </c>
      <c r="AP28" s="490" t="str">
        <f>IF(C28="","",VLOOKUP(C28,非_まとめ表行番号!$F$3:$H$12,2,FALSE))</f>
        <v/>
      </c>
      <c r="AQ28" s="490" t="b">
        <f t="shared" si="14"/>
        <v>1</v>
      </c>
      <c r="AR28" s="490" t="str">
        <f>IF(Z28="","",IF(Z28&lt;&gt;"都市ガス",1,非_係数!$G$55))</f>
        <v/>
      </c>
      <c r="AS28" s="490" t="str">
        <f t="shared" si="15"/>
        <v/>
      </c>
      <c r="AT28" s="490" t="str">
        <f t="shared" si="4"/>
        <v/>
      </c>
      <c r="AU28" s="490" t="str">
        <f>IF(C28="","",VLOOKUP(C28,非_係数!$B$42:$K$55,9,FALSE))</f>
        <v/>
      </c>
      <c r="AV28" s="490" t="str">
        <f t="shared" si="16"/>
        <v/>
      </c>
      <c r="AW28" s="490" t="str">
        <f>IF(C28="","",VLOOKUP(C28,非_まとめ表行番号!$F$3:$H$12,3,FALSE))</f>
        <v/>
      </c>
      <c r="AX28" s="490" t="str">
        <f t="shared" si="5"/>
        <v/>
      </c>
      <c r="AZ28" s="490" t="str">
        <f>IF(AP28="","",VLOOKUP(AP28,非_まとめ表行番号!$U$3:$V$56,2,FALSE))</f>
        <v/>
      </c>
      <c r="BA28" s="490" t="str">
        <f t="shared" si="17"/>
        <v/>
      </c>
      <c r="BB28" s="490" t="str">
        <f t="shared" si="17"/>
        <v/>
      </c>
      <c r="BC28" s="490" t="str">
        <f t="shared" si="18"/>
        <v/>
      </c>
      <c r="BD28" s="490" t="str">
        <f t="shared" si="19"/>
        <v/>
      </c>
      <c r="BE28" s="490" t="str">
        <f t="shared" si="20"/>
        <v/>
      </c>
      <c r="BF28" s="490" t="str">
        <f t="shared" si="20"/>
        <v/>
      </c>
      <c r="BG28" s="490" t="str">
        <f t="shared" si="21"/>
        <v/>
      </c>
      <c r="BH28" s="490" t="str">
        <f t="shared" si="22"/>
        <v/>
      </c>
      <c r="BI28" s="84">
        <v>2</v>
      </c>
    </row>
    <row r="29" spans="1:61" ht="18.75" hidden="1" customHeight="1">
      <c r="A29" s="629"/>
      <c r="B29" s="614"/>
      <c r="C29" s="615"/>
      <c r="D29" s="615"/>
      <c r="E29" s="620"/>
      <c r="F29" s="615"/>
      <c r="G29" s="401"/>
      <c r="H29" s="179" t="str">
        <f>IF(Z29&lt;&gt;"都市ガス","",IF(ISERROR(VLOOKUP(D29,非_都市ガス事業者!$O$8:$P$100,2,FALSE)),"",VLOOKUP(D29,非_都市ガス事業者!$O$8:$P$100,2,FALSE)))</f>
        <v/>
      </c>
      <c r="I29" s="402" t="str">
        <f>IF(Z29&lt;&gt;"都市ガス","",非_都市ガス事業者!$P$4)</f>
        <v/>
      </c>
      <c r="J29" s="178" t="str">
        <f>IF(C29="","",IF(Z29&lt;&gt;"都市ガス",VLOOKUP(C29,非_係数!$B$42:$D$55,2,FALSE),""))</f>
        <v/>
      </c>
      <c r="K29" s="620"/>
      <c r="L29" s="503" t="str">
        <f t="shared" si="6"/>
        <v/>
      </c>
      <c r="M29" s="214" t="str">
        <f t="shared" si="7"/>
        <v/>
      </c>
      <c r="N29" s="615"/>
      <c r="O29" s="404"/>
      <c r="P29" s="401"/>
      <c r="Q29" s="615"/>
      <c r="R29" s="477"/>
      <c r="S29" s="509"/>
      <c r="T29" s="450" t="str">
        <f t="shared" si="23"/>
        <v/>
      </c>
      <c r="U29" s="459" t="str">
        <f t="shared" si="8"/>
        <v/>
      </c>
      <c r="V29" s="455" t="str">
        <f>IF(C29="","",VLOOKUP(C29,非_単位!$N$38:$O$53,2,FALSE))</f>
        <v/>
      </c>
      <c r="W29" s="450" t="str">
        <f t="shared" si="9"/>
        <v/>
      </c>
      <c r="X29" s="450" t="str">
        <f t="shared" si="10"/>
        <v/>
      </c>
      <c r="Z29" s="490" t="str">
        <f t="shared" si="0"/>
        <v/>
      </c>
      <c r="AA29" s="490" t="str">
        <f>IF(B29="","",IF(B29=非_燃料種類_選択リスト!$I$3,"一般送配電_種類",IF(B29=非_燃料種類_選択リスト!$I$4,"一般送配電以外_種類",IF(B29=非_燃料種類_選択リスト!$I$5,"熱_種類",IF(B29=非_燃料種類_選択リスト!$I$6,"都市ガス_種類","")))))</f>
        <v/>
      </c>
      <c r="AB29" s="490" t="str">
        <f>IF(Z29&lt;&gt;"電気","",非_電気事業者!$S$4*1000)</f>
        <v/>
      </c>
      <c r="AC29" s="490" t="str">
        <f>IF(Z29&lt;&gt;"電気","",IF(ISERROR(VLOOKUP(D29&amp;F29,非_電気事業者!$R$9:$S$1500,2,FALSE)),"要記入",VLOOKUP(D29&amp;F29,非_電気事業者!$R$9:$S$1500,2,FALSE)*1000))</f>
        <v/>
      </c>
      <c r="AD29" s="490" t="str">
        <f>IF(Z29&lt;&gt;"熱","",非_熱供給事業者!$T$4)</f>
        <v/>
      </c>
      <c r="AE29" s="490" t="str">
        <f>IF(Z29&lt;&gt;"熱","",IF(ISERROR(VLOOKUP(D29&amp;F29,非_熱供給事業者!$S$8:$T$100,2,FALSE)),"要記入",VLOOKUP(D29&amp;F29,非_熱供給事業者!$S$8:$T$100,2,FALSE)))</f>
        <v/>
      </c>
      <c r="AF29" s="490" t="str">
        <f>IF(Z29&lt;&gt;"都市ガス","",非_都市ガス事業者!$AB$4)</f>
        <v/>
      </c>
      <c r="AG29" s="490" t="str">
        <f>IF(Z29&lt;&gt;"都市ガス","",IF(ISERROR(VLOOKUP(D29&amp;F29,非_都市ガス事業者!$AA$8:$AB$100,2,FALSE)),"要記入",VLOOKUP(D29&amp;F29,非_都市ガス事業者!$AA$8:$AB$100,2,FALSE)))</f>
        <v/>
      </c>
      <c r="AH29" s="490" t="str">
        <f t="shared" si="1"/>
        <v/>
      </c>
      <c r="AI29" s="490" t="str">
        <f t="shared" si="11"/>
        <v/>
      </c>
      <c r="AJ29" s="490" t="b">
        <f t="shared" si="12"/>
        <v>1</v>
      </c>
      <c r="AK29" s="490" t="str">
        <f>IF(Q29="","",VLOOKUP(Q29,非_単位補正換算!$B$3:$C$16,2,FALSE))</f>
        <v/>
      </c>
      <c r="AL29" s="490" t="str">
        <f>IF(Z29="","",IF(Z29&lt;&gt;"都市ガス",1,IF(G29="","",SUMIFS(非_単位補正換算!$D$52:$D$63,非_単位補正換算!$B$52:$B$63,"都市ガス"&amp;G29,非_単位補正換算!$C$52:$C$63,'13電気・熱_都市ガス'!Q29))))</f>
        <v/>
      </c>
      <c r="AM29" s="490" t="str">
        <f t="shared" si="13"/>
        <v/>
      </c>
      <c r="AN29" s="490" t="str">
        <f t="shared" si="2"/>
        <v/>
      </c>
      <c r="AO29" s="490" t="str">
        <f t="shared" si="3"/>
        <v/>
      </c>
      <c r="AP29" s="490" t="str">
        <f>IF(C29="","",VLOOKUP(C29,非_まとめ表行番号!$F$3:$H$12,2,FALSE))</f>
        <v/>
      </c>
      <c r="AQ29" s="490" t="b">
        <f t="shared" si="14"/>
        <v>1</v>
      </c>
      <c r="AR29" s="490" t="str">
        <f>IF(Z29="","",IF(Z29&lt;&gt;"都市ガス",1,非_係数!$G$55))</f>
        <v/>
      </c>
      <c r="AS29" s="490" t="str">
        <f t="shared" si="15"/>
        <v/>
      </c>
      <c r="AT29" s="490" t="str">
        <f t="shared" si="4"/>
        <v/>
      </c>
      <c r="AU29" s="490" t="str">
        <f>IF(C29="","",VLOOKUP(C29,非_係数!$B$42:$K$55,9,FALSE))</f>
        <v/>
      </c>
      <c r="AV29" s="490" t="str">
        <f t="shared" si="16"/>
        <v/>
      </c>
      <c r="AW29" s="490" t="str">
        <f>IF(C29="","",VLOOKUP(C29,非_まとめ表行番号!$F$3:$H$12,3,FALSE))</f>
        <v/>
      </c>
      <c r="AX29" s="490" t="str">
        <f t="shared" si="5"/>
        <v/>
      </c>
      <c r="AZ29" s="490" t="str">
        <f>IF(AP29="","",VLOOKUP(AP29,非_まとめ表行番号!$U$3:$V$56,2,FALSE))</f>
        <v/>
      </c>
      <c r="BA29" s="490" t="str">
        <f t="shared" si="17"/>
        <v/>
      </c>
      <c r="BB29" s="490" t="str">
        <f t="shared" si="17"/>
        <v/>
      </c>
      <c r="BC29" s="490" t="str">
        <f t="shared" si="18"/>
        <v/>
      </c>
      <c r="BD29" s="490" t="str">
        <f t="shared" si="19"/>
        <v/>
      </c>
      <c r="BE29" s="490" t="str">
        <f t="shared" si="20"/>
        <v/>
      </c>
      <c r="BF29" s="490" t="str">
        <f t="shared" si="20"/>
        <v/>
      </c>
      <c r="BG29" s="490" t="str">
        <f t="shared" si="21"/>
        <v/>
      </c>
      <c r="BH29" s="490" t="str">
        <f t="shared" si="22"/>
        <v/>
      </c>
      <c r="BI29" s="84">
        <v>2</v>
      </c>
    </row>
    <row r="30" spans="1:61" ht="18.75" hidden="1" customHeight="1">
      <c r="A30" s="629"/>
      <c r="B30" s="614"/>
      <c r="C30" s="615"/>
      <c r="D30" s="615"/>
      <c r="E30" s="620"/>
      <c r="F30" s="615"/>
      <c r="G30" s="401"/>
      <c r="H30" s="179" t="str">
        <f>IF(Z30&lt;&gt;"都市ガス","",IF(ISERROR(VLOOKUP(D30,非_都市ガス事業者!$O$8:$P$100,2,FALSE)),"",VLOOKUP(D30,非_都市ガス事業者!$O$8:$P$100,2,FALSE)))</f>
        <v/>
      </c>
      <c r="I30" s="402" t="str">
        <f>IF(Z30&lt;&gt;"都市ガス","",非_都市ガス事業者!$P$4)</f>
        <v/>
      </c>
      <c r="J30" s="178" t="str">
        <f>IF(C30="","",IF(Z30&lt;&gt;"都市ガス",VLOOKUP(C30,非_係数!$B$42:$D$55,2,FALSE),""))</f>
        <v/>
      </c>
      <c r="K30" s="620"/>
      <c r="L30" s="503" t="str">
        <f t="shared" si="6"/>
        <v/>
      </c>
      <c r="M30" s="214" t="str">
        <f t="shared" si="7"/>
        <v/>
      </c>
      <c r="N30" s="615"/>
      <c r="O30" s="404"/>
      <c r="P30" s="401"/>
      <c r="Q30" s="615"/>
      <c r="R30" s="477"/>
      <c r="S30" s="509"/>
      <c r="T30" s="450" t="str">
        <f t="shared" si="23"/>
        <v/>
      </c>
      <c r="U30" s="459" t="str">
        <f t="shared" si="8"/>
        <v/>
      </c>
      <c r="V30" s="455" t="str">
        <f>IF(C30="","",VLOOKUP(C30,非_単位!$N$38:$O$53,2,FALSE))</f>
        <v/>
      </c>
      <c r="W30" s="450" t="str">
        <f t="shared" si="9"/>
        <v/>
      </c>
      <c r="X30" s="450" t="str">
        <f t="shared" si="10"/>
        <v/>
      </c>
      <c r="Z30" s="490" t="str">
        <f t="shared" si="0"/>
        <v/>
      </c>
      <c r="AA30" s="490" t="str">
        <f>IF(B30="","",IF(B30=非_燃料種類_選択リスト!$I$3,"一般送配電_種類",IF(B30=非_燃料種類_選択リスト!$I$4,"一般送配電以外_種類",IF(B30=非_燃料種類_選択リスト!$I$5,"熱_種類",IF(B30=非_燃料種類_選択リスト!$I$6,"都市ガス_種類","")))))</f>
        <v/>
      </c>
      <c r="AB30" s="490" t="str">
        <f>IF(Z30&lt;&gt;"電気","",非_電気事業者!$S$4*1000)</f>
        <v/>
      </c>
      <c r="AC30" s="490" t="str">
        <f>IF(Z30&lt;&gt;"電気","",IF(ISERROR(VLOOKUP(D30&amp;F30,非_電気事業者!$R$9:$S$1500,2,FALSE)),"要記入",VLOOKUP(D30&amp;F30,非_電気事業者!$R$9:$S$1500,2,FALSE)*1000))</f>
        <v/>
      </c>
      <c r="AD30" s="490" t="str">
        <f>IF(Z30&lt;&gt;"熱","",非_熱供給事業者!$T$4)</f>
        <v/>
      </c>
      <c r="AE30" s="490" t="str">
        <f>IF(Z30&lt;&gt;"熱","",IF(ISERROR(VLOOKUP(D30&amp;F30,非_熱供給事業者!$S$8:$T$100,2,FALSE)),"要記入",VLOOKUP(D30&amp;F30,非_熱供給事業者!$S$8:$T$100,2,FALSE)))</f>
        <v/>
      </c>
      <c r="AF30" s="490" t="str">
        <f>IF(Z30&lt;&gt;"都市ガス","",非_都市ガス事業者!$AB$4)</f>
        <v/>
      </c>
      <c r="AG30" s="490" t="str">
        <f>IF(Z30&lt;&gt;"都市ガス","",IF(ISERROR(VLOOKUP(D30&amp;F30,非_都市ガス事業者!$AA$8:$AB$100,2,FALSE)),"要記入",VLOOKUP(D30&amp;F30,非_都市ガス事業者!$AA$8:$AB$100,2,FALSE)))</f>
        <v/>
      </c>
      <c r="AH30" s="490" t="str">
        <f t="shared" si="1"/>
        <v/>
      </c>
      <c r="AI30" s="490" t="str">
        <f t="shared" si="11"/>
        <v/>
      </c>
      <c r="AJ30" s="490" t="b">
        <f t="shared" si="12"/>
        <v>1</v>
      </c>
      <c r="AK30" s="490" t="str">
        <f>IF(Q30="","",VLOOKUP(Q30,非_単位補正換算!$B$3:$C$16,2,FALSE))</f>
        <v/>
      </c>
      <c r="AL30" s="490" t="str">
        <f>IF(Z30="","",IF(Z30&lt;&gt;"都市ガス",1,IF(G30="","",SUMIFS(非_単位補正換算!$D$52:$D$63,非_単位補正換算!$B$52:$B$63,"都市ガス"&amp;G30,非_単位補正換算!$C$52:$C$63,'13電気・熱_都市ガス'!Q30))))</f>
        <v/>
      </c>
      <c r="AM30" s="490" t="str">
        <f t="shared" si="13"/>
        <v/>
      </c>
      <c r="AN30" s="490" t="str">
        <f t="shared" si="2"/>
        <v/>
      </c>
      <c r="AO30" s="490" t="str">
        <f t="shared" si="3"/>
        <v/>
      </c>
      <c r="AP30" s="490" t="str">
        <f>IF(C30="","",VLOOKUP(C30,非_まとめ表行番号!$F$3:$H$12,2,FALSE))</f>
        <v/>
      </c>
      <c r="AQ30" s="490" t="b">
        <f t="shared" si="14"/>
        <v>1</v>
      </c>
      <c r="AR30" s="490" t="str">
        <f>IF(Z30="","",IF(Z30&lt;&gt;"都市ガス",1,非_係数!$G$55))</f>
        <v/>
      </c>
      <c r="AS30" s="490" t="str">
        <f t="shared" si="15"/>
        <v/>
      </c>
      <c r="AT30" s="490" t="str">
        <f t="shared" si="4"/>
        <v/>
      </c>
      <c r="AU30" s="490" t="str">
        <f>IF(C30="","",VLOOKUP(C30,非_係数!$B$42:$K$55,9,FALSE))</f>
        <v/>
      </c>
      <c r="AV30" s="490" t="str">
        <f t="shared" si="16"/>
        <v/>
      </c>
      <c r="AW30" s="490" t="str">
        <f>IF(C30="","",VLOOKUP(C30,非_まとめ表行番号!$F$3:$H$12,3,FALSE))</f>
        <v/>
      </c>
      <c r="AX30" s="490" t="str">
        <f t="shared" si="5"/>
        <v/>
      </c>
      <c r="AZ30" s="490" t="str">
        <f>IF(AP30="","",VLOOKUP(AP30,非_まとめ表行番号!$U$3:$V$56,2,FALSE))</f>
        <v/>
      </c>
      <c r="BA30" s="490" t="str">
        <f t="shared" si="17"/>
        <v/>
      </c>
      <c r="BB30" s="490" t="str">
        <f t="shared" si="17"/>
        <v/>
      </c>
      <c r="BC30" s="490" t="str">
        <f t="shared" si="18"/>
        <v/>
      </c>
      <c r="BD30" s="490" t="str">
        <f t="shared" si="19"/>
        <v/>
      </c>
      <c r="BE30" s="490" t="str">
        <f t="shared" si="20"/>
        <v/>
      </c>
      <c r="BF30" s="490" t="str">
        <f t="shared" si="20"/>
        <v/>
      </c>
      <c r="BG30" s="490" t="str">
        <f t="shared" si="21"/>
        <v/>
      </c>
      <c r="BH30" s="490" t="str">
        <f t="shared" si="22"/>
        <v/>
      </c>
      <c r="BI30" s="84">
        <v>2</v>
      </c>
    </row>
    <row r="31" spans="1:61" ht="18.75" hidden="1" customHeight="1">
      <c r="A31" s="629"/>
      <c r="B31" s="614"/>
      <c r="C31" s="615"/>
      <c r="D31" s="615"/>
      <c r="E31" s="620"/>
      <c r="F31" s="615"/>
      <c r="G31" s="401"/>
      <c r="H31" s="179" t="str">
        <f>IF(Z31&lt;&gt;"都市ガス","",IF(ISERROR(VLOOKUP(D31,非_都市ガス事業者!$O$8:$P$100,2,FALSE)),"",VLOOKUP(D31,非_都市ガス事業者!$O$8:$P$100,2,FALSE)))</f>
        <v/>
      </c>
      <c r="I31" s="402" t="str">
        <f>IF(Z31&lt;&gt;"都市ガス","",非_都市ガス事業者!$P$4)</f>
        <v/>
      </c>
      <c r="J31" s="178" t="str">
        <f>IF(C31="","",IF(Z31&lt;&gt;"都市ガス",VLOOKUP(C31,非_係数!$B$42:$D$55,2,FALSE),""))</f>
        <v/>
      </c>
      <c r="K31" s="620"/>
      <c r="L31" s="503" t="str">
        <f t="shared" si="6"/>
        <v/>
      </c>
      <c r="M31" s="214" t="str">
        <f t="shared" si="7"/>
        <v/>
      </c>
      <c r="N31" s="615"/>
      <c r="O31" s="404"/>
      <c r="P31" s="401"/>
      <c r="Q31" s="615"/>
      <c r="R31" s="477"/>
      <c r="S31" s="509"/>
      <c r="T31" s="450" t="str">
        <f t="shared" si="23"/>
        <v/>
      </c>
      <c r="U31" s="459" t="str">
        <f t="shared" si="8"/>
        <v/>
      </c>
      <c r="V31" s="455" t="str">
        <f>IF(C31="","",VLOOKUP(C31,非_単位!$N$38:$O$53,2,FALSE))</f>
        <v/>
      </c>
      <c r="W31" s="450" t="str">
        <f t="shared" si="9"/>
        <v/>
      </c>
      <c r="X31" s="450" t="str">
        <f t="shared" si="10"/>
        <v/>
      </c>
      <c r="Z31" s="490" t="str">
        <f t="shared" si="0"/>
        <v/>
      </c>
      <c r="AA31" s="490" t="str">
        <f>IF(B31="","",IF(B31=非_燃料種類_選択リスト!$I$3,"一般送配電_種類",IF(B31=非_燃料種類_選択リスト!$I$4,"一般送配電以外_種類",IF(B31=非_燃料種類_選択リスト!$I$5,"熱_種類",IF(B31=非_燃料種類_選択リスト!$I$6,"都市ガス_種類","")))))</f>
        <v/>
      </c>
      <c r="AB31" s="490" t="str">
        <f>IF(Z31&lt;&gt;"電気","",非_電気事業者!$S$4*1000)</f>
        <v/>
      </c>
      <c r="AC31" s="490" t="str">
        <f>IF(Z31&lt;&gt;"電気","",IF(ISERROR(VLOOKUP(D31&amp;F31,非_電気事業者!$R$9:$S$1500,2,FALSE)),"要記入",VLOOKUP(D31&amp;F31,非_電気事業者!$R$9:$S$1500,2,FALSE)*1000))</f>
        <v/>
      </c>
      <c r="AD31" s="490" t="str">
        <f>IF(Z31&lt;&gt;"熱","",非_熱供給事業者!$T$4)</f>
        <v/>
      </c>
      <c r="AE31" s="490" t="str">
        <f>IF(Z31&lt;&gt;"熱","",IF(ISERROR(VLOOKUP(D31&amp;F31,非_熱供給事業者!$S$8:$T$100,2,FALSE)),"要記入",VLOOKUP(D31&amp;F31,非_熱供給事業者!$S$8:$T$100,2,FALSE)))</f>
        <v/>
      </c>
      <c r="AF31" s="490" t="str">
        <f>IF(Z31&lt;&gt;"都市ガス","",非_都市ガス事業者!$AB$4)</f>
        <v/>
      </c>
      <c r="AG31" s="490" t="str">
        <f>IF(Z31&lt;&gt;"都市ガス","",IF(ISERROR(VLOOKUP(D31&amp;F31,非_都市ガス事業者!$AA$8:$AB$100,2,FALSE)),"要記入",VLOOKUP(D31&amp;F31,非_都市ガス事業者!$AA$8:$AB$100,2,FALSE)))</f>
        <v/>
      </c>
      <c r="AH31" s="490" t="str">
        <f t="shared" si="1"/>
        <v/>
      </c>
      <c r="AI31" s="490" t="str">
        <f t="shared" si="11"/>
        <v/>
      </c>
      <c r="AJ31" s="490" t="b">
        <f t="shared" si="12"/>
        <v>1</v>
      </c>
      <c r="AK31" s="490" t="str">
        <f>IF(Q31="","",VLOOKUP(Q31,非_単位補正換算!$B$3:$C$16,2,FALSE))</f>
        <v/>
      </c>
      <c r="AL31" s="490" t="str">
        <f>IF(Z31="","",IF(Z31&lt;&gt;"都市ガス",1,IF(G31="","",SUMIFS(非_単位補正換算!$D$52:$D$63,非_単位補正換算!$B$52:$B$63,"都市ガス"&amp;G31,非_単位補正換算!$C$52:$C$63,'13電気・熱_都市ガス'!Q31))))</f>
        <v/>
      </c>
      <c r="AM31" s="490" t="str">
        <f t="shared" si="13"/>
        <v/>
      </c>
      <c r="AN31" s="490" t="str">
        <f t="shared" si="2"/>
        <v/>
      </c>
      <c r="AO31" s="490" t="str">
        <f t="shared" si="3"/>
        <v/>
      </c>
      <c r="AP31" s="490" t="str">
        <f>IF(C31="","",VLOOKUP(C31,非_まとめ表行番号!$F$3:$H$12,2,FALSE))</f>
        <v/>
      </c>
      <c r="AQ31" s="490" t="b">
        <f t="shared" si="14"/>
        <v>1</v>
      </c>
      <c r="AR31" s="490" t="str">
        <f>IF(Z31="","",IF(Z31&lt;&gt;"都市ガス",1,非_係数!$G$55))</f>
        <v/>
      </c>
      <c r="AS31" s="490" t="str">
        <f t="shared" si="15"/>
        <v/>
      </c>
      <c r="AT31" s="490" t="str">
        <f t="shared" si="4"/>
        <v/>
      </c>
      <c r="AU31" s="490" t="str">
        <f>IF(C31="","",VLOOKUP(C31,非_係数!$B$42:$K$55,9,FALSE))</f>
        <v/>
      </c>
      <c r="AV31" s="490" t="str">
        <f t="shared" si="16"/>
        <v/>
      </c>
      <c r="AW31" s="490" t="str">
        <f>IF(C31="","",VLOOKUP(C31,非_まとめ表行番号!$F$3:$H$12,3,FALSE))</f>
        <v/>
      </c>
      <c r="AX31" s="490" t="str">
        <f t="shared" si="5"/>
        <v/>
      </c>
      <c r="AZ31" s="490" t="str">
        <f>IF(AP31="","",VLOOKUP(AP31,非_まとめ表行番号!$U$3:$V$56,2,FALSE))</f>
        <v/>
      </c>
      <c r="BA31" s="490" t="str">
        <f t="shared" si="17"/>
        <v/>
      </c>
      <c r="BB31" s="490" t="str">
        <f t="shared" si="17"/>
        <v/>
      </c>
      <c r="BC31" s="490" t="str">
        <f t="shared" si="18"/>
        <v/>
      </c>
      <c r="BD31" s="490" t="str">
        <f t="shared" si="19"/>
        <v/>
      </c>
      <c r="BE31" s="490" t="str">
        <f t="shared" si="20"/>
        <v/>
      </c>
      <c r="BF31" s="490" t="str">
        <f t="shared" si="20"/>
        <v/>
      </c>
      <c r="BG31" s="490" t="str">
        <f t="shared" si="21"/>
        <v/>
      </c>
      <c r="BH31" s="490" t="str">
        <f t="shared" si="22"/>
        <v/>
      </c>
      <c r="BI31" s="84">
        <v>2</v>
      </c>
    </row>
    <row r="32" spans="1:61" ht="18.75" hidden="1" customHeight="1">
      <c r="A32" s="629"/>
      <c r="B32" s="614"/>
      <c r="C32" s="615"/>
      <c r="D32" s="615"/>
      <c r="E32" s="620"/>
      <c r="F32" s="615"/>
      <c r="G32" s="401"/>
      <c r="H32" s="179" t="str">
        <f>IF(Z32&lt;&gt;"都市ガス","",IF(ISERROR(VLOOKUP(D32,非_都市ガス事業者!$O$8:$P$100,2,FALSE)),"",VLOOKUP(D32,非_都市ガス事業者!$O$8:$P$100,2,FALSE)))</f>
        <v/>
      </c>
      <c r="I32" s="402" t="str">
        <f>IF(Z32&lt;&gt;"都市ガス","",非_都市ガス事業者!$P$4)</f>
        <v/>
      </c>
      <c r="J32" s="178" t="str">
        <f>IF(C32="","",IF(Z32&lt;&gt;"都市ガス",VLOOKUP(C32,非_係数!$B$42:$D$55,2,FALSE),""))</f>
        <v/>
      </c>
      <c r="K32" s="620"/>
      <c r="L32" s="503" t="str">
        <f t="shared" si="6"/>
        <v/>
      </c>
      <c r="M32" s="214" t="str">
        <f t="shared" si="7"/>
        <v/>
      </c>
      <c r="N32" s="615"/>
      <c r="O32" s="404"/>
      <c r="P32" s="401"/>
      <c r="Q32" s="615"/>
      <c r="R32" s="477"/>
      <c r="S32" s="509"/>
      <c r="T32" s="450" t="str">
        <f t="shared" si="23"/>
        <v/>
      </c>
      <c r="U32" s="459" t="str">
        <f t="shared" si="8"/>
        <v/>
      </c>
      <c r="V32" s="455" t="str">
        <f>IF(C32="","",VLOOKUP(C32,非_単位!$N$38:$O$53,2,FALSE))</f>
        <v/>
      </c>
      <c r="W32" s="450" t="str">
        <f t="shared" si="9"/>
        <v/>
      </c>
      <c r="X32" s="450" t="str">
        <f t="shared" si="10"/>
        <v/>
      </c>
      <c r="Z32" s="490" t="str">
        <f t="shared" si="0"/>
        <v/>
      </c>
      <c r="AA32" s="490" t="str">
        <f>IF(B32="","",IF(B32=非_燃料種類_選択リスト!$I$3,"一般送配電_種類",IF(B32=非_燃料種類_選択リスト!$I$4,"一般送配電以外_種類",IF(B32=非_燃料種類_選択リスト!$I$5,"熱_種類",IF(B32=非_燃料種類_選択リスト!$I$6,"都市ガス_種類","")))))</f>
        <v/>
      </c>
      <c r="AB32" s="490" t="str">
        <f>IF(Z32&lt;&gt;"電気","",非_電気事業者!$S$4*1000)</f>
        <v/>
      </c>
      <c r="AC32" s="490" t="str">
        <f>IF(Z32&lt;&gt;"電気","",IF(ISERROR(VLOOKUP(D32&amp;F32,非_電気事業者!$R$9:$S$1500,2,FALSE)),"要記入",VLOOKUP(D32&amp;F32,非_電気事業者!$R$9:$S$1500,2,FALSE)*1000))</f>
        <v/>
      </c>
      <c r="AD32" s="490" t="str">
        <f>IF(Z32&lt;&gt;"熱","",非_熱供給事業者!$T$4)</f>
        <v/>
      </c>
      <c r="AE32" s="490" t="str">
        <f>IF(Z32&lt;&gt;"熱","",IF(ISERROR(VLOOKUP(D32&amp;F32,非_熱供給事業者!$S$8:$T$100,2,FALSE)),"要記入",VLOOKUP(D32&amp;F32,非_熱供給事業者!$S$8:$T$100,2,FALSE)))</f>
        <v/>
      </c>
      <c r="AF32" s="490" t="str">
        <f>IF(Z32&lt;&gt;"都市ガス","",非_都市ガス事業者!$AB$4)</f>
        <v/>
      </c>
      <c r="AG32" s="490" t="str">
        <f>IF(Z32&lt;&gt;"都市ガス","",IF(ISERROR(VLOOKUP(D32&amp;F32,非_都市ガス事業者!$AA$8:$AB$100,2,FALSE)),"要記入",VLOOKUP(D32&amp;F32,非_都市ガス事業者!$AA$8:$AB$100,2,FALSE)))</f>
        <v/>
      </c>
      <c r="AH32" s="490" t="str">
        <f t="shared" si="1"/>
        <v/>
      </c>
      <c r="AI32" s="490" t="str">
        <f t="shared" si="11"/>
        <v/>
      </c>
      <c r="AJ32" s="490" t="b">
        <f t="shared" si="12"/>
        <v>1</v>
      </c>
      <c r="AK32" s="490" t="str">
        <f>IF(Q32="","",VLOOKUP(Q32,非_単位補正換算!$B$3:$C$16,2,FALSE))</f>
        <v/>
      </c>
      <c r="AL32" s="490" t="str">
        <f>IF(Z32="","",IF(Z32&lt;&gt;"都市ガス",1,IF(G32="","",SUMIFS(非_単位補正換算!$D$52:$D$63,非_単位補正換算!$B$52:$B$63,"都市ガス"&amp;G32,非_単位補正換算!$C$52:$C$63,'13電気・熱_都市ガス'!Q32))))</f>
        <v/>
      </c>
      <c r="AM32" s="490" t="str">
        <f t="shared" si="13"/>
        <v/>
      </c>
      <c r="AN32" s="490" t="str">
        <f t="shared" si="2"/>
        <v/>
      </c>
      <c r="AO32" s="490" t="str">
        <f t="shared" si="3"/>
        <v/>
      </c>
      <c r="AP32" s="490" t="str">
        <f>IF(C32="","",VLOOKUP(C32,非_まとめ表行番号!$F$3:$H$12,2,FALSE))</f>
        <v/>
      </c>
      <c r="AQ32" s="490" t="b">
        <f t="shared" si="14"/>
        <v>1</v>
      </c>
      <c r="AR32" s="490" t="str">
        <f>IF(Z32="","",IF(Z32&lt;&gt;"都市ガス",1,非_係数!$G$55))</f>
        <v/>
      </c>
      <c r="AS32" s="490" t="str">
        <f t="shared" si="15"/>
        <v/>
      </c>
      <c r="AT32" s="490" t="str">
        <f t="shared" si="4"/>
        <v/>
      </c>
      <c r="AU32" s="490" t="str">
        <f>IF(C32="","",VLOOKUP(C32,非_係数!$B$42:$K$55,9,FALSE))</f>
        <v/>
      </c>
      <c r="AV32" s="490" t="str">
        <f t="shared" si="16"/>
        <v/>
      </c>
      <c r="AW32" s="490" t="str">
        <f>IF(C32="","",VLOOKUP(C32,非_まとめ表行番号!$F$3:$H$12,3,FALSE))</f>
        <v/>
      </c>
      <c r="AX32" s="490" t="str">
        <f t="shared" si="5"/>
        <v/>
      </c>
      <c r="AZ32" s="490" t="str">
        <f>IF(AP32="","",VLOOKUP(AP32,非_まとめ表行番号!$U$3:$V$56,2,FALSE))</f>
        <v/>
      </c>
      <c r="BA32" s="490" t="str">
        <f t="shared" si="17"/>
        <v/>
      </c>
      <c r="BB32" s="490" t="str">
        <f t="shared" si="17"/>
        <v/>
      </c>
      <c r="BC32" s="490" t="str">
        <f t="shared" si="18"/>
        <v/>
      </c>
      <c r="BD32" s="490" t="str">
        <f t="shared" si="19"/>
        <v/>
      </c>
      <c r="BE32" s="490" t="str">
        <f t="shared" si="20"/>
        <v/>
      </c>
      <c r="BF32" s="490" t="str">
        <f t="shared" si="20"/>
        <v/>
      </c>
      <c r="BG32" s="490" t="str">
        <f t="shared" si="21"/>
        <v/>
      </c>
      <c r="BH32" s="490" t="str">
        <f t="shared" si="22"/>
        <v/>
      </c>
      <c r="BI32" s="84">
        <v>2</v>
      </c>
    </row>
    <row r="33" spans="1:61" ht="18.75" hidden="1" customHeight="1">
      <c r="A33" s="629"/>
      <c r="B33" s="614"/>
      <c r="C33" s="615"/>
      <c r="D33" s="615"/>
      <c r="E33" s="620"/>
      <c r="F33" s="615"/>
      <c r="G33" s="401"/>
      <c r="H33" s="179" t="str">
        <f>IF(Z33&lt;&gt;"都市ガス","",IF(ISERROR(VLOOKUP(D33,非_都市ガス事業者!$O$8:$P$100,2,FALSE)),"",VLOOKUP(D33,非_都市ガス事業者!$O$8:$P$100,2,FALSE)))</f>
        <v/>
      </c>
      <c r="I33" s="402" t="str">
        <f>IF(Z33&lt;&gt;"都市ガス","",非_都市ガス事業者!$P$4)</f>
        <v/>
      </c>
      <c r="J33" s="178" t="str">
        <f>IF(C33="","",IF(Z33&lt;&gt;"都市ガス",VLOOKUP(C33,非_係数!$B$42:$D$55,2,FALSE),""))</f>
        <v/>
      </c>
      <c r="K33" s="620"/>
      <c r="L33" s="503" t="str">
        <f t="shared" si="6"/>
        <v/>
      </c>
      <c r="M33" s="214" t="str">
        <f t="shared" si="7"/>
        <v/>
      </c>
      <c r="N33" s="615"/>
      <c r="O33" s="404"/>
      <c r="P33" s="401"/>
      <c r="Q33" s="615"/>
      <c r="R33" s="477"/>
      <c r="S33" s="509"/>
      <c r="T33" s="450" t="str">
        <f t="shared" si="23"/>
        <v/>
      </c>
      <c r="U33" s="459" t="str">
        <f t="shared" si="8"/>
        <v/>
      </c>
      <c r="V33" s="455" t="str">
        <f>IF(C33="","",VLOOKUP(C33,非_単位!$N$38:$O$53,2,FALSE))</f>
        <v/>
      </c>
      <c r="W33" s="450" t="str">
        <f t="shared" si="9"/>
        <v/>
      </c>
      <c r="X33" s="450" t="str">
        <f t="shared" si="10"/>
        <v/>
      </c>
      <c r="Z33" s="490" t="str">
        <f t="shared" si="0"/>
        <v/>
      </c>
      <c r="AA33" s="490" t="str">
        <f>IF(B33="","",IF(B33=非_燃料種類_選択リスト!$I$3,"一般送配電_種類",IF(B33=非_燃料種類_選択リスト!$I$4,"一般送配電以外_種類",IF(B33=非_燃料種類_選択リスト!$I$5,"熱_種類",IF(B33=非_燃料種類_選択リスト!$I$6,"都市ガス_種類","")))))</f>
        <v/>
      </c>
      <c r="AB33" s="490" t="str">
        <f>IF(Z33&lt;&gt;"電気","",非_電気事業者!$S$4*1000)</f>
        <v/>
      </c>
      <c r="AC33" s="490" t="str">
        <f>IF(Z33&lt;&gt;"電気","",IF(ISERROR(VLOOKUP(D33&amp;F33,非_電気事業者!$R$9:$S$1500,2,FALSE)),"要記入",VLOOKUP(D33&amp;F33,非_電気事業者!$R$9:$S$1500,2,FALSE)*1000))</f>
        <v/>
      </c>
      <c r="AD33" s="490" t="str">
        <f>IF(Z33&lt;&gt;"熱","",非_熱供給事業者!$T$4)</f>
        <v/>
      </c>
      <c r="AE33" s="490" t="str">
        <f>IF(Z33&lt;&gt;"熱","",IF(ISERROR(VLOOKUP(D33&amp;F33,非_熱供給事業者!$S$8:$T$100,2,FALSE)),"要記入",VLOOKUP(D33&amp;F33,非_熱供給事業者!$S$8:$T$100,2,FALSE)))</f>
        <v/>
      </c>
      <c r="AF33" s="490" t="str">
        <f>IF(Z33&lt;&gt;"都市ガス","",非_都市ガス事業者!$AB$4)</f>
        <v/>
      </c>
      <c r="AG33" s="490" t="str">
        <f>IF(Z33&lt;&gt;"都市ガス","",IF(ISERROR(VLOOKUP(D33&amp;F33,非_都市ガス事業者!$AA$8:$AB$100,2,FALSE)),"要記入",VLOOKUP(D33&amp;F33,非_都市ガス事業者!$AA$8:$AB$100,2,FALSE)))</f>
        <v/>
      </c>
      <c r="AH33" s="490" t="str">
        <f t="shared" si="1"/>
        <v/>
      </c>
      <c r="AI33" s="490" t="str">
        <f t="shared" si="11"/>
        <v/>
      </c>
      <c r="AJ33" s="490" t="b">
        <f t="shared" si="12"/>
        <v>1</v>
      </c>
      <c r="AK33" s="490" t="str">
        <f>IF(Q33="","",VLOOKUP(Q33,非_単位補正換算!$B$3:$C$16,2,FALSE))</f>
        <v/>
      </c>
      <c r="AL33" s="490" t="str">
        <f>IF(Z33="","",IF(Z33&lt;&gt;"都市ガス",1,IF(G33="","",SUMIFS(非_単位補正換算!$D$52:$D$63,非_単位補正換算!$B$52:$B$63,"都市ガス"&amp;G33,非_単位補正換算!$C$52:$C$63,'13電気・熱_都市ガス'!Q33))))</f>
        <v/>
      </c>
      <c r="AM33" s="490" t="str">
        <f t="shared" si="13"/>
        <v/>
      </c>
      <c r="AN33" s="490" t="str">
        <f t="shared" si="2"/>
        <v/>
      </c>
      <c r="AO33" s="490" t="str">
        <f t="shared" si="3"/>
        <v/>
      </c>
      <c r="AP33" s="490" t="str">
        <f>IF(C33="","",VLOOKUP(C33,非_まとめ表行番号!$F$3:$H$12,2,FALSE))</f>
        <v/>
      </c>
      <c r="AQ33" s="490" t="b">
        <f t="shared" si="14"/>
        <v>1</v>
      </c>
      <c r="AR33" s="490" t="str">
        <f>IF(Z33="","",IF(Z33&lt;&gt;"都市ガス",1,非_係数!$G$55))</f>
        <v/>
      </c>
      <c r="AS33" s="490" t="str">
        <f t="shared" si="15"/>
        <v/>
      </c>
      <c r="AT33" s="490" t="str">
        <f t="shared" si="4"/>
        <v/>
      </c>
      <c r="AU33" s="490" t="str">
        <f>IF(C33="","",VLOOKUP(C33,非_係数!$B$42:$K$55,9,FALSE))</f>
        <v/>
      </c>
      <c r="AV33" s="490" t="str">
        <f t="shared" si="16"/>
        <v/>
      </c>
      <c r="AW33" s="490" t="str">
        <f>IF(C33="","",VLOOKUP(C33,非_まとめ表行番号!$F$3:$H$12,3,FALSE))</f>
        <v/>
      </c>
      <c r="AX33" s="490" t="str">
        <f t="shared" si="5"/>
        <v/>
      </c>
      <c r="AZ33" s="490" t="str">
        <f>IF(AP33="","",VLOOKUP(AP33,非_まとめ表行番号!$U$3:$V$56,2,FALSE))</f>
        <v/>
      </c>
      <c r="BA33" s="490" t="str">
        <f t="shared" si="17"/>
        <v/>
      </c>
      <c r="BB33" s="490" t="str">
        <f t="shared" si="17"/>
        <v/>
      </c>
      <c r="BC33" s="490" t="str">
        <f t="shared" si="18"/>
        <v/>
      </c>
      <c r="BD33" s="490" t="str">
        <f t="shared" si="19"/>
        <v/>
      </c>
      <c r="BE33" s="490" t="str">
        <f t="shared" si="20"/>
        <v/>
      </c>
      <c r="BF33" s="490" t="str">
        <f t="shared" si="20"/>
        <v/>
      </c>
      <c r="BG33" s="490" t="str">
        <f t="shared" si="21"/>
        <v/>
      </c>
      <c r="BH33" s="490" t="str">
        <f t="shared" si="22"/>
        <v/>
      </c>
      <c r="BI33" s="84">
        <v>2</v>
      </c>
    </row>
    <row r="34" spans="1:61" ht="18.75" hidden="1" customHeight="1">
      <c r="A34" s="629"/>
      <c r="B34" s="614"/>
      <c r="C34" s="615"/>
      <c r="D34" s="615"/>
      <c r="E34" s="620"/>
      <c r="F34" s="615"/>
      <c r="G34" s="401"/>
      <c r="H34" s="179" t="str">
        <f>IF(Z34&lt;&gt;"都市ガス","",IF(ISERROR(VLOOKUP(D34,非_都市ガス事業者!$O$8:$P$100,2,FALSE)),"",VLOOKUP(D34,非_都市ガス事業者!$O$8:$P$100,2,FALSE)))</f>
        <v/>
      </c>
      <c r="I34" s="402" t="str">
        <f>IF(Z34&lt;&gt;"都市ガス","",非_都市ガス事業者!$P$4)</f>
        <v/>
      </c>
      <c r="J34" s="178" t="str">
        <f>IF(C34="","",IF(Z34&lt;&gt;"都市ガス",VLOOKUP(C34,非_係数!$B$42:$D$55,2,FALSE),""))</f>
        <v/>
      </c>
      <c r="K34" s="620"/>
      <c r="L34" s="503" t="str">
        <f t="shared" si="6"/>
        <v/>
      </c>
      <c r="M34" s="214" t="str">
        <f t="shared" si="7"/>
        <v/>
      </c>
      <c r="N34" s="615"/>
      <c r="O34" s="404"/>
      <c r="P34" s="401"/>
      <c r="Q34" s="615"/>
      <c r="R34" s="477"/>
      <c r="S34" s="509"/>
      <c r="T34" s="450" t="str">
        <f t="shared" si="23"/>
        <v/>
      </c>
      <c r="U34" s="459" t="str">
        <f t="shared" si="8"/>
        <v/>
      </c>
      <c r="V34" s="455" t="str">
        <f>IF(C34="","",VLOOKUP(C34,非_単位!$N$38:$O$53,2,FALSE))</f>
        <v/>
      </c>
      <c r="W34" s="450" t="str">
        <f t="shared" si="9"/>
        <v/>
      </c>
      <c r="X34" s="450" t="str">
        <f t="shared" si="10"/>
        <v/>
      </c>
      <c r="Z34" s="490" t="str">
        <f t="shared" si="0"/>
        <v/>
      </c>
      <c r="AA34" s="490" t="str">
        <f>IF(B34="","",IF(B34=非_燃料種類_選択リスト!$I$3,"一般送配電_種類",IF(B34=非_燃料種類_選択リスト!$I$4,"一般送配電以外_種類",IF(B34=非_燃料種類_選択リスト!$I$5,"熱_種類",IF(B34=非_燃料種類_選択リスト!$I$6,"都市ガス_種類","")))))</f>
        <v/>
      </c>
      <c r="AB34" s="490" t="str">
        <f>IF(Z34&lt;&gt;"電気","",非_電気事業者!$S$4*1000)</f>
        <v/>
      </c>
      <c r="AC34" s="490" t="str">
        <f>IF(Z34&lt;&gt;"電気","",IF(ISERROR(VLOOKUP(D34&amp;F34,非_電気事業者!$R$9:$S$1500,2,FALSE)),"要記入",VLOOKUP(D34&amp;F34,非_電気事業者!$R$9:$S$1500,2,FALSE)*1000))</f>
        <v/>
      </c>
      <c r="AD34" s="490" t="str">
        <f>IF(Z34&lt;&gt;"熱","",非_熱供給事業者!$T$4)</f>
        <v/>
      </c>
      <c r="AE34" s="490" t="str">
        <f>IF(Z34&lt;&gt;"熱","",IF(ISERROR(VLOOKUP(D34&amp;F34,非_熱供給事業者!$S$8:$T$100,2,FALSE)),"要記入",VLOOKUP(D34&amp;F34,非_熱供給事業者!$S$8:$T$100,2,FALSE)))</f>
        <v/>
      </c>
      <c r="AF34" s="490" t="str">
        <f>IF(Z34&lt;&gt;"都市ガス","",非_都市ガス事業者!$AB$4)</f>
        <v/>
      </c>
      <c r="AG34" s="490" t="str">
        <f>IF(Z34&lt;&gt;"都市ガス","",IF(ISERROR(VLOOKUP(D34&amp;F34,非_都市ガス事業者!$AA$8:$AB$100,2,FALSE)),"要記入",VLOOKUP(D34&amp;F34,非_都市ガス事業者!$AA$8:$AB$100,2,FALSE)))</f>
        <v/>
      </c>
      <c r="AH34" s="490" t="str">
        <f t="shared" si="1"/>
        <v/>
      </c>
      <c r="AI34" s="490" t="str">
        <f t="shared" si="11"/>
        <v/>
      </c>
      <c r="AJ34" s="490" t="b">
        <f t="shared" si="12"/>
        <v>1</v>
      </c>
      <c r="AK34" s="490" t="str">
        <f>IF(Q34="","",VLOOKUP(Q34,非_単位補正換算!$B$3:$C$16,2,FALSE))</f>
        <v/>
      </c>
      <c r="AL34" s="490" t="str">
        <f>IF(Z34="","",IF(Z34&lt;&gt;"都市ガス",1,IF(G34="","",SUMIFS(非_単位補正換算!$D$52:$D$63,非_単位補正換算!$B$52:$B$63,"都市ガス"&amp;G34,非_単位補正換算!$C$52:$C$63,'13電気・熱_都市ガス'!Q34))))</f>
        <v/>
      </c>
      <c r="AM34" s="490" t="str">
        <f t="shared" si="13"/>
        <v/>
      </c>
      <c r="AN34" s="490" t="str">
        <f t="shared" si="2"/>
        <v/>
      </c>
      <c r="AO34" s="490" t="str">
        <f t="shared" si="3"/>
        <v/>
      </c>
      <c r="AP34" s="490" t="str">
        <f>IF(C34="","",VLOOKUP(C34,非_まとめ表行番号!$F$3:$H$12,2,FALSE))</f>
        <v/>
      </c>
      <c r="AQ34" s="490" t="b">
        <f t="shared" si="14"/>
        <v>1</v>
      </c>
      <c r="AR34" s="490" t="str">
        <f>IF(Z34="","",IF(Z34&lt;&gt;"都市ガス",1,非_係数!$G$55))</f>
        <v/>
      </c>
      <c r="AS34" s="490" t="str">
        <f t="shared" si="15"/>
        <v/>
      </c>
      <c r="AT34" s="490" t="str">
        <f t="shared" si="4"/>
        <v/>
      </c>
      <c r="AU34" s="490" t="str">
        <f>IF(C34="","",VLOOKUP(C34,非_係数!$B$42:$K$55,9,FALSE))</f>
        <v/>
      </c>
      <c r="AV34" s="490" t="str">
        <f t="shared" si="16"/>
        <v/>
      </c>
      <c r="AW34" s="490" t="str">
        <f>IF(C34="","",VLOOKUP(C34,非_まとめ表行番号!$F$3:$H$12,3,FALSE))</f>
        <v/>
      </c>
      <c r="AX34" s="490" t="str">
        <f t="shared" si="5"/>
        <v/>
      </c>
      <c r="AZ34" s="490" t="str">
        <f>IF(AP34="","",VLOOKUP(AP34,非_まとめ表行番号!$U$3:$V$56,2,FALSE))</f>
        <v/>
      </c>
      <c r="BA34" s="490" t="str">
        <f t="shared" si="17"/>
        <v/>
      </c>
      <c r="BB34" s="490" t="str">
        <f t="shared" si="17"/>
        <v/>
      </c>
      <c r="BC34" s="490" t="str">
        <f t="shared" si="18"/>
        <v/>
      </c>
      <c r="BD34" s="490" t="str">
        <f t="shared" si="19"/>
        <v/>
      </c>
      <c r="BE34" s="490" t="str">
        <f t="shared" si="20"/>
        <v/>
      </c>
      <c r="BF34" s="490" t="str">
        <f t="shared" si="20"/>
        <v/>
      </c>
      <c r="BG34" s="490" t="str">
        <f t="shared" si="21"/>
        <v/>
      </c>
      <c r="BH34" s="490" t="str">
        <f t="shared" si="22"/>
        <v/>
      </c>
      <c r="BI34" s="84">
        <v>2</v>
      </c>
    </row>
    <row r="35" spans="1:61" ht="18.75" hidden="1" customHeight="1">
      <c r="A35" s="629"/>
      <c r="B35" s="614"/>
      <c r="C35" s="615"/>
      <c r="D35" s="615"/>
      <c r="E35" s="620"/>
      <c r="F35" s="615"/>
      <c r="G35" s="401"/>
      <c r="H35" s="179" t="str">
        <f>IF(Z35&lt;&gt;"都市ガス","",IF(ISERROR(VLOOKUP(D35,非_都市ガス事業者!$O$8:$P$100,2,FALSE)),"",VLOOKUP(D35,非_都市ガス事業者!$O$8:$P$100,2,FALSE)))</f>
        <v/>
      </c>
      <c r="I35" s="402" t="str">
        <f>IF(Z35&lt;&gt;"都市ガス","",非_都市ガス事業者!$P$4)</f>
        <v/>
      </c>
      <c r="J35" s="178" t="str">
        <f>IF(C35="","",IF(Z35&lt;&gt;"都市ガス",VLOOKUP(C35,非_係数!$B$42:$D$55,2,FALSE),""))</f>
        <v/>
      </c>
      <c r="K35" s="620"/>
      <c r="L35" s="503" t="str">
        <f t="shared" si="6"/>
        <v/>
      </c>
      <c r="M35" s="214" t="str">
        <f t="shared" si="7"/>
        <v/>
      </c>
      <c r="N35" s="615"/>
      <c r="O35" s="404"/>
      <c r="P35" s="401"/>
      <c r="Q35" s="615"/>
      <c r="R35" s="477"/>
      <c r="S35" s="509"/>
      <c r="T35" s="450" t="str">
        <f t="shared" si="23"/>
        <v/>
      </c>
      <c r="U35" s="459" t="str">
        <f t="shared" si="8"/>
        <v/>
      </c>
      <c r="V35" s="455" t="str">
        <f>IF(C35="","",VLOOKUP(C35,非_単位!$N$38:$O$53,2,FALSE))</f>
        <v/>
      </c>
      <c r="W35" s="450" t="str">
        <f t="shared" si="9"/>
        <v/>
      </c>
      <c r="X35" s="450" t="str">
        <f t="shared" si="10"/>
        <v/>
      </c>
      <c r="Z35" s="490" t="str">
        <f t="shared" si="0"/>
        <v/>
      </c>
      <c r="AA35" s="490" t="str">
        <f>IF(B35="","",IF(B35=非_燃料種類_選択リスト!$I$3,"一般送配電_種類",IF(B35=非_燃料種類_選択リスト!$I$4,"一般送配電以外_種類",IF(B35=非_燃料種類_選択リスト!$I$5,"熱_種類",IF(B35=非_燃料種類_選択リスト!$I$6,"都市ガス_種類","")))))</f>
        <v/>
      </c>
      <c r="AB35" s="490" t="str">
        <f>IF(Z35&lt;&gt;"電気","",非_電気事業者!$S$4*1000)</f>
        <v/>
      </c>
      <c r="AC35" s="490" t="str">
        <f>IF(Z35&lt;&gt;"電気","",IF(ISERROR(VLOOKUP(D35&amp;F35,非_電気事業者!$R$9:$S$1500,2,FALSE)),"要記入",VLOOKUP(D35&amp;F35,非_電気事業者!$R$9:$S$1500,2,FALSE)*1000))</f>
        <v/>
      </c>
      <c r="AD35" s="490" t="str">
        <f>IF(Z35&lt;&gt;"熱","",非_熱供給事業者!$T$4)</f>
        <v/>
      </c>
      <c r="AE35" s="490" t="str">
        <f>IF(Z35&lt;&gt;"熱","",IF(ISERROR(VLOOKUP(D35&amp;F35,非_熱供給事業者!$S$8:$T$100,2,FALSE)),"要記入",VLOOKUP(D35&amp;F35,非_熱供給事業者!$S$8:$T$100,2,FALSE)))</f>
        <v/>
      </c>
      <c r="AF35" s="490" t="str">
        <f>IF(Z35&lt;&gt;"都市ガス","",非_都市ガス事業者!$AB$4)</f>
        <v/>
      </c>
      <c r="AG35" s="490" t="str">
        <f>IF(Z35&lt;&gt;"都市ガス","",IF(ISERROR(VLOOKUP(D35&amp;F35,非_都市ガス事業者!$AA$8:$AB$100,2,FALSE)),"要記入",VLOOKUP(D35&amp;F35,非_都市ガス事業者!$AA$8:$AB$100,2,FALSE)))</f>
        <v/>
      </c>
      <c r="AH35" s="490" t="str">
        <f t="shared" si="1"/>
        <v/>
      </c>
      <c r="AI35" s="490" t="str">
        <f t="shared" si="11"/>
        <v/>
      </c>
      <c r="AJ35" s="490" t="b">
        <f t="shared" si="12"/>
        <v>1</v>
      </c>
      <c r="AK35" s="490" t="str">
        <f>IF(Q35="","",VLOOKUP(Q35,非_単位補正換算!$B$3:$C$16,2,FALSE))</f>
        <v/>
      </c>
      <c r="AL35" s="490" t="str">
        <f>IF(Z35="","",IF(Z35&lt;&gt;"都市ガス",1,IF(G35="","",SUMIFS(非_単位補正換算!$D$52:$D$63,非_単位補正換算!$B$52:$B$63,"都市ガス"&amp;G35,非_単位補正換算!$C$52:$C$63,'13電気・熱_都市ガス'!Q35))))</f>
        <v/>
      </c>
      <c r="AM35" s="490" t="str">
        <f t="shared" si="13"/>
        <v/>
      </c>
      <c r="AN35" s="490" t="str">
        <f t="shared" si="2"/>
        <v/>
      </c>
      <c r="AO35" s="490" t="str">
        <f t="shared" si="3"/>
        <v/>
      </c>
      <c r="AP35" s="490" t="str">
        <f>IF(C35="","",VLOOKUP(C35,非_まとめ表行番号!$F$3:$H$12,2,FALSE))</f>
        <v/>
      </c>
      <c r="AQ35" s="490" t="b">
        <f t="shared" si="14"/>
        <v>1</v>
      </c>
      <c r="AR35" s="490" t="str">
        <f>IF(Z35="","",IF(Z35&lt;&gt;"都市ガス",1,非_係数!$G$55))</f>
        <v/>
      </c>
      <c r="AS35" s="490" t="str">
        <f t="shared" si="15"/>
        <v/>
      </c>
      <c r="AT35" s="490" t="str">
        <f t="shared" si="4"/>
        <v/>
      </c>
      <c r="AU35" s="490" t="str">
        <f>IF(C35="","",VLOOKUP(C35,非_係数!$B$42:$K$55,9,FALSE))</f>
        <v/>
      </c>
      <c r="AV35" s="490" t="str">
        <f t="shared" si="16"/>
        <v/>
      </c>
      <c r="AW35" s="490" t="str">
        <f>IF(C35="","",VLOOKUP(C35,非_まとめ表行番号!$F$3:$H$12,3,FALSE))</f>
        <v/>
      </c>
      <c r="AX35" s="490" t="str">
        <f t="shared" si="5"/>
        <v/>
      </c>
      <c r="AZ35" s="490" t="str">
        <f>IF(AP35="","",VLOOKUP(AP35,非_まとめ表行番号!$U$3:$V$56,2,FALSE))</f>
        <v/>
      </c>
      <c r="BA35" s="490" t="str">
        <f t="shared" si="17"/>
        <v/>
      </c>
      <c r="BB35" s="490" t="str">
        <f t="shared" si="17"/>
        <v/>
      </c>
      <c r="BC35" s="490" t="str">
        <f t="shared" si="18"/>
        <v/>
      </c>
      <c r="BD35" s="490" t="str">
        <f t="shared" si="19"/>
        <v/>
      </c>
      <c r="BE35" s="490" t="str">
        <f t="shared" si="20"/>
        <v/>
      </c>
      <c r="BF35" s="490" t="str">
        <f t="shared" si="20"/>
        <v/>
      </c>
      <c r="BG35" s="490" t="str">
        <f t="shared" si="21"/>
        <v/>
      </c>
      <c r="BH35" s="490" t="str">
        <f t="shared" si="22"/>
        <v/>
      </c>
      <c r="BI35" s="84">
        <v>2</v>
      </c>
    </row>
    <row r="36" spans="1:61" ht="18.75" hidden="1" customHeight="1">
      <c r="A36" s="629"/>
      <c r="B36" s="614"/>
      <c r="C36" s="615"/>
      <c r="D36" s="615"/>
      <c r="E36" s="620"/>
      <c r="F36" s="615"/>
      <c r="G36" s="401"/>
      <c r="H36" s="179" t="str">
        <f>IF(Z36&lt;&gt;"都市ガス","",IF(ISERROR(VLOOKUP(D36,非_都市ガス事業者!$O$8:$P$100,2,FALSE)),"",VLOOKUP(D36,非_都市ガス事業者!$O$8:$P$100,2,FALSE)))</f>
        <v/>
      </c>
      <c r="I36" s="402" t="str">
        <f>IF(Z36&lt;&gt;"都市ガス","",非_都市ガス事業者!$P$4)</f>
        <v/>
      </c>
      <c r="J36" s="178" t="str">
        <f>IF(C36="","",IF(Z36&lt;&gt;"都市ガス",VLOOKUP(C36,非_係数!$B$42:$D$55,2,FALSE),""))</f>
        <v/>
      </c>
      <c r="K36" s="620"/>
      <c r="L36" s="503" t="str">
        <f t="shared" si="6"/>
        <v/>
      </c>
      <c r="M36" s="214" t="str">
        <f t="shared" si="7"/>
        <v/>
      </c>
      <c r="N36" s="615"/>
      <c r="O36" s="404"/>
      <c r="P36" s="401"/>
      <c r="Q36" s="615"/>
      <c r="R36" s="477"/>
      <c r="S36" s="509"/>
      <c r="T36" s="450" t="str">
        <f t="shared" si="23"/>
        <v/>
      </c>
      <c r="U36" s="459" t="str">
        <f t="shared" si="8"/>
        <v/>
      </c>
      <c r="V36" s="455" t="str">
        <f>IF(C36="","",VLOOKUP(C36,非_単位!$N$38:$O$53,2,FALSE))</f>
        <v/>
      </c>
      <c r="W36" s="450" t="str">
        <f t="shared" si="9"/>
        <v/>
      </c>
      <c r="X36" s="450" t="str">
        <f t="shared" si="10"/>
        <v/>
      </c>
      <c r="Z36" s="490" t="str">
        <f t="shared" si="0"/>
        <v/>
      </c>
      <c r="AA36" s="490" t="str">
        <f>IF(B36="","",IF(B36=非_燃料種類_選択リスト!$I$3,"一般送配電_種類",IF(B36=非_燃料種類_選択リスト!$I$4,"一般送配電以外_種類",IF(B36=非_燃料種類_選択リスト!$I$5,"熱_種類",IF(B36=非_燃料種類_選択リスト!$I$6,"都市ガス_種類","")))))</f>
        <v/>
      </c>
      <c r="AB36" s="490" t="str">
        <f>IF(Z36&lt;&gt;"電気","",非_電気事業者!$S$4*1000)</f>
        <v/>
      </c>
      <c r="AC36" s="490" t="str">
        <f>IF(Z36&lt;&gt;"電気","",IF(ISERROR(VLOOKUP(D36&amp;F36,非_電気事業者!$R$9:$S$1500,2,FALSE)),"要記入",VLOOKUP(D36&amp;F36,非_電気事業者!$R$9:$S$1500,2,FALSE)*1000))</f>
        <v/>
      </c>
      <c r="AD36" s="490" t="str">
        <f>IF(Z36&lt;&gt;"熱","",非_熱供給事業者!$T$4)</f>
        <v/>
      </c>
      <c r="AE36" s="490" t="str">
        <f>IF(Z36&lt;&gt;"熱","",IF(ISERROR(VLOOKUP(D36&amp;F36,非_熱供給事業者!$S$8:$T$100,2,FALSE)),"要記入",VLOOKUP(D36&amp;F36,非_熱供給事業者!$S$8:$T$100,2,FALSE)))</f>
        <v/>
      </c>
      <c r="AF36" s="490" t="str">
        <f>IF(Z36&lt;&gt;"都市ガス","",非_都市ガス事業者!$AB$4)</f>
        <v/>
      </c>
      <c r="AG36" s="490" t="str">
        <f>IF(Z36&lt;&gt;"都市ガス","",IF(ISERROR(VLOOKUP(D36&amp;F36,非_都市ガス事業者!$AA$8:$AB$100,2,FALSE)),"要記入",VLOOKUP(D36&amp;F36,非_都市ガス事業者!$AA$8:$AB$100,2,FALSE)))</f>
        <v/>
      </c>
      <c r="AH36" s="490" t="str">
        <f t="shared" si="1"/>
        <v/>
      </c>
      <c r="AI36" s="490" t="str">
        <f t="shared" si="11"/>
        <v/>
      </c>
      <c r="AJ36" s="490" t="b">
        <f t="shared" si="12"/>
        <v>1</v>
      </c>
      <c r="AK36" s="490" t="str">
        <f>IF(Q36="","",VLOOKUP(Q36,非_単位補正換算!$B$3:$C$16,2,FALSE))</f>
        <v/>
      </c>
      <c r="AL36" s="490" t="str">
        <f>IF(Z36="","",IF(Z36&lt;&gt;"都市ガス",1,IF(G36="","",SUMIFS(非_単位補正換算!$D$52:$D$63,非_単位補正換算!$B$52:$B$63,"都市ガス"&amp;G36,非_単位補正換算!$C$52:$C$63,'13電気・熱_都市ガス'!Q36))))</f>
        <v/>
      </c>
      <c r="AM36" s="490" t="str">
        <f t="shared" si="13"/>
        <v/>
      </c>
      <c r="AN36" s="490" t="str">
        <f t="shared" si="2"/>
        <v/>
      </c>
      <c r="AO36" s="490" t="str">
        <f t="shared" si="3"/>
        <v/>
      </c>
      <c r="AP36" s="490" t="str">
        <f>IF(C36="","",VLOOKUP(C36,非_まとめ表行番号!$F$3:$H$12,2,FALSE))</f>
        <v/>
      </c>
      <c r="AQ36" s="490" t="b">
        <f t="shared" si="14"/>
        <v>1</v>
      </c>
      <c r="AR36" s="490" t="str">
        <f>IF(Z36="","",IF(Z36&lt;&gt;"都市ガス",1,非_係数!$G$55))</f>
        <v/>
      </c>
      <c r="AS36" s="490" t="str">
        <f t="shared" si="15"/>
        <v/>
      </c>
      <c r="AT36" s="490" t="str">
        <f t="shared" si="4"/>
        <v/>
      </c>
      <c r="AU36" s="490" t="str">
        <f>IF(C36="","",VLOOKUP(C36,非_係数!$B$42:$K$55,9,FALSE))</f>
        <v/>
      </c>
      <c r="AV36" s="490" t="str">
        <f t="shared" si="16"/>
        <v/>
      </c>
      <c r="AW36" s="490" t="str">
        <f>IF(C36="","",VLOOKUP(C36,非_まとめ表行番号!$F$3:$H$12,3,FALSE))</f>
        <v/>
      </c>
      <c r="AX36" s="490" t="str">
        <f t="shared" si="5"/>
        <v/>
      </c>
      <c r="AZ36" s="490" t="str">
        <f>IF(AP36="","",VLOOKUP(AP36,非_まとめ表行番号!$U$3:$V$56,2,FALSE))</f>
        <v/>
      </c>
      <c r="BA36" s="490" t="str">
        <f t="shared" si="17"/>
        <v/>
      </c>
      <c r="BB36" s="490" t="str">
        <f t="shared" si="17"/>
        <v/>
      </c>
      <c r="BC36" s="490" t="str">
        <f t="shared" si="18"/>
        <v/>
      </c>
      <c r="BD36" s="490" t="str">
        <f t="shared" si="19"/>
        <v/>
      </c>
      <c r="BE36" s="490" t="str">
        <f t="shared" si="20"/>
        <v/>
      </c>
      <c r="BF36" s="490" t="str">
        <f t="shared" si="20"/>
        <v/>
      </c>
      <c r="BG36" s="490" t="str">
        <f t="shared" si="21"/>
        <v/>
      </c>
      <c r="BH36" s="490" t="str">
        <f t="shared" si="22"/>
        <v/>
      </c>
      <c r="BI36" s="84">
        <v>2</v>
      </c>
    </row>
    <row r="37" spans="1:61" ht="18.75" hidden="1" customHeight="1">
      <c r="A37" s="629"/>
      <c r="B37" s="614"/>
      <c r="C37" s="615"/>
      <c r="D37" s="615"/>
      <c r="E37" s="620"/>
      <c r="F37" s="615"/>
      <c r="G37" s="401"/>
      <c r="H37" s="179" t="str">
        <f>IF(Z37&lt;&gt;"都市ガス","",IF(ISERROR(VLOOKUP(D37,非_都市ガス事業者!$O$8:$P$100,2,FALSE)),"",VLOOKUP(D37,非_都市ガス事業者!$O$8:$P$100,2,FALSE)))</f>
        <v/>
      </c>
      <c r="I37" s="402" t="str">
        <f>IF(Z37&lt;&gt;"都市ガス","",非_都市ガス事業者!$P$4)</f>
        <v/>
      </c>
      <c r="J37" s="178" t="str">
        <f>IF(C37="","",IF(Z37&lt;&gt;"都市ガス",VLOOKUP(C37,非_係数!$B$42:$D$55,2,FALSE),""))</f>
        <v/>
      </c>
      <c r="K37" s="620"/>
      <c r="L37" s="503" t="str">
        <f t="shared" si="6"/>
        <v/>
      </c>
      <c r="M37" s="214" t="str">
        <f t="shared" si="7"/>
        <v/>
      </c>
      <c r="N37" s="615"/>
      <c r="O37" s="404"/>
      <c r="P37" s="401"/>
      <c r="Q37" s="615"/>
      <c r="R37" s="477"/>
      <c r="S37" s="509"/>
      <c r="T37" s="450" t="str">
        <f t="shared" si="23"/>
        <v/>
      </c>
      <c r="U37" s="459" t="str">
        <f t="shared" ref="U37:U40" si="39">AM37</f>
        <v/>
      </c>
      <c r="V37" s="455" t="str">
        <f>IF(C37="","",VLOOKUP(C37,非_単位!$N$38:$O$53,2,FALSE))</f>
        <v/>
      </c>
      <c r="W37" s="450" t="str">
        <f t="shared" ref="W37:W40" si="40">AN37</f>
        <v/>
      </c>
      <c r="X37" s="450" t="str">
        <f t="shared" ref="X37:X40" si="41">AO37</f>
        <v/>
      </c>
      <c r="Z37" s="490" t="str">
        <f t="shared" si="0"/>
        <v/>
      </c>
      <c r="AA37" s="490" t="str">
        <f>IF(B37="","",IF(B37=非_燃料種類_選択リスト!$I$3,"一般送配電_種類",IF(B37=非_燃料種類_選択リスト!$I$4,"一般送配電以外_種類",IF(B37=非_燃料種類_選択リスト!$I$5,"熱_種類",IF(B37=非_燃料種類_選択リスト!$I$6,"都市ガス_種類","")))))</f>
        <v/>
      </c>
      <c r="AB37" s="490" t="str">
        <f>IF(Z37&lt;&gt;"電気","",非_電気事業者!$S$4*1000)</f>
        <v/>
      </c>
      <c r="AC37" s="490" t="str">
        <f>IF(Z37&lt;&gt;"電気","",IF(ISERROR(VLOOKUP(D37&amp;F37,非_電気事業者!$R$9:$S$1500,2,FALSE)),"要記入",VLOOKUP(D37&amp;F37,非_電気事業者!$R$9:$S$1500,2,FALSE)*1000))</f>
        <v/>
      </c>
      <c r="AD37" s="490" t="str">
        <f>IF(Z37&lt;&gt;"熱","",非_熱供給事業者!$T$4)</f>
        <v/>
      </c>
      <c r="AE37" s="490" t="str">
        <f>IF(Z37&lt;&gt;"熱","",IF(ISERROR(VLOOKUP(D37&amp;F37,非_熱供給事業者!$S$8:$T$100,2,FALSE)),"要記入",VLOOKUP(D37&amp;F37,非_熱供給事業者!$S$8:$T$100,2,FALSE)))</f>
        <v/>
      </c>
      <c r="AF37" s="490" t="str">
        <f>IF(Z37&lt;&gt;"都市ガス","",非_都市ガス事業者!$AB$4)</f>
        <v/>
      </c>
      <c r="AG37" s="490" t="str">
        <f>IF(Z37&lt;&gt;"都市ガス","",IF(ISERROR(VLOOKUP(D37&amp;F37,非_都市ガス事業者!$AA$8:$AB$100,2,FALSE)),"要記入",VLOOKUP(D37&amp;F37,非_都市ガス事業者!$AA$8:$AB$100,2,FALSE)))</f>
        <v/>
      </c>
      <c r="AH37" s="490" t="str">
        <f t="shared" si="1"/>
        <v/>
      </c>
      <c r="AI37" s="490" t="str">
        <f t="shared" ref="AI37:AI40" si="42">IF(Z37="電気","t-CO2/千kWh",IF(Z37="熱","t-CO2/GJ",IF(Z37="都市ガス","t-CO2/千m3(SATP)","")))</f>
        <v/>
      </c>
      <c r="AJ37" s="490" t="b">
        <f t="shared" si="12"/>
        <v>1</v>
      </c>
      <c r="AK37" s="490" t="str">
        <f>IF(Q37="","",VLOOKUP(Q37,非_単位補正換算!$B$3:$C$16,2,FALSE))</f>
        <v/>
      </c>
      <c r="AL37" s="490" t="str">
        <f>IF(Z37="","",IF(Z37&lt;&gt;"都市ガス",1,IF(G37="","",SUMIFS(非_単位補正換算!$D$52:$D$63,非_単位補正換算!$B$52:$B$63,"都市ガス"&amp;G37,非_単位補正換算!$C$52:$C$63,'13電気・熱_都市ガス'!Q37))))</f>
        <v/>
      </c>
      <c r="AM37" s="490" t="str">
        <f t="shared" si="13"/>
        <v/>
      </c>
      <c r="AN37" s="490" t="str">
        <f t="shared" si="2"/>
        <v/>
      </c>
      <c r="AO37" s="490" t="str">
        <f t="shared" si="3"/>
        <v/>
      </c>
      <c r="AP37" s="490" t="str">
        <f>IF(C37="","",VLOOKUP(C37,非_まとめ表行番号!$F$3:$H$12,2,FALSE))</f>
        <v/>
      </c>
      <c r="AQ37" s="490" t="b">
        <f t="shared" si="14"/>
        <v>1</v>
      </c>
      <c r="AR37" s="490" t="str">
        <f>IF(Z37="","",IF(Z37&lt;&gt;"都市ガス",1,非_係数!$G$55))</f>
        <v/>
      </c>
      <c r="AS37" s="490" t="str">
        <f t="shared" ref="AS37:AS40" si="43">IF(AM37="","",AM37*AR37)</f>
        <v/>
      </c>
      <c r="AT37" s="490" t="str">
        <f t="shared" si="4"/>
        <v/>
      </c>
      <c r="AU37" s="490" t="str">
        <f>IF(C37="","",VLOOKUP(C37,非_係数!$B$42:$K$55,9,FALSE))</f>
        <v/>
      </c>
      <c r="AV37" s="490" t="str">
        <f t="shared" ref="AV37:AV40" si="44">IF(AND(AS37&lt;&gt;"",AU37&lt;&gt;""),IF(Z37&lt;&gt;"都市ガス",AS37*AU37,AT37*AU37*44/12),"")</f>
        <v/>
      </c>
      <c r="AW37" s="490" t="str">
        <f>IF(C37="","",VLOOKUP(C37,非_まとめ表行番号!$F$3:$H$12,3,FALSE))</f>
        <v/>
      </c>
      <c r="AX37" s="490" t="str">
        <f t="shared" si="5"/>
        <v/>
      </c>
      <c r="AZ37" s="490" t="str">
        <f>IF(AP37="","",VLOOKUP(AP37,非_まとめ表行番号!$U$3:$V$56,2,FALSE))</f>
        <v/>
      </c>
      <c r="BA37" s="490" t="str">
        <f t="shared" si="17"/>
        <v/>
      </c>
      <c r="BB37" s="490" t="str">
        <f t="shared" si="17"/>
        <v/>
      </c>
      <c r="BC37" s="490" t="str">
        <f t="shared" si="18"/>
        <v/>
      </c>
      <c r="BD37" s="490" t="str">
        <f t="shared" si="19"/>
        <v/>
      </c>
      <c r="BE37" s="490" t="str">
        <f t="shared" si="20"/>
        <v/>
      </c>
      <c r="BF37" s="490" t="str">
        <f t="shared" si="20"/>
        <v/>
      </c>
      <c r="BG37" s="490" t="str">
        <f t="shared" si="21"/>
        <v/>
      </c>
      <c r="BH37" s="490" t="str">
        <f t="shared" si="22"/>
        <v/>
      </c>
      <c r="BI37" s="84">
        <v>2</v>
      </c>
    </row>
    <row r="38" spans="1:61" ht="18.75" hidden="1" customHeight="1">
      <c r="A38" s="629"/>
      <c r="B38" s="614"/>
      <c r="C38" s="615"/>
      <c r="D38" s="615"/>
      <c r="E38" s="620"/>
      <c r="F38" s="615"/>
      <c r="G38" s="401"/>
      <c r="H38" s="179" t="str">
        <f>IF(Z38&lt;&gt;"都市ガス","",IF(ISERROR(VLOOKUP(D38,非_都市ガス事業者!$O$8:$P$100,2,FALSE)),"",VLOOKUP(D38,非_都市ガス事業者!$O$8:$P$100,2,FALSE)))</f>
        <v/>
      </c>
      <c r="I38" s="402" t="str">
        <f>IF(Z38&lt;&gt;"都市ガス","",非_都市ガス事業者!$P$4)</f>
        <v/>
      </c>
      <c r="J38" s="178" t="str">
        <f>IF(C38="","",IF(Z38&lt;&gt;"都市ガス",VLOOKUP(C38,非_係数!$B$42:$D$55,2,FALSE),""))</f>
        <v/>
      </c>
      <c r="K38" s="620"/>
      <c r="L38" s="503" t="str">
        <f t="shared" si="6"/>
        <v/>
      </c>
      <c r="M38" s="214" t="str">
        <f t="shared" si="7"/>
        <v/>
      </c>
      <c r="N38" s="615"/>
      <c r="O38" s="404"/>
      <c r="P38" s="401"/>
      <c r="Q38" s="615"/>
      <c r="R38" s="477"/>
      <c r="S38" s="509"/>
      <c r="T38" s="450" t="str">
        <f t="shared" si="23"/>
        <v/>
      </c>
      <c r="U38" s="459" t="str">
        <f t="shared" si="39"/>
        <v/>
      </c>
      <c r="V38" s="455" t="str">
        <f>IF(C38="","",VLOOKUP(C38,非_単位!$N$38:$O$53,2,FALSE))</f>
        <v/>
      </c>
      <c r="W38" s="450" t="str">
        <f t="shared" si="40"/>
        <v/>
      </c>
      <c r="X38" s="450" t="str">
        <f t="shared" si="41"/>
        <v/>
      </c>
      <c r="Z38" s="490" t="str">
        <f t="shared" si="0"/>
        <v/>
      </c>
      <c r="AA38" s="490" t="str">
        <f>IF(B38="","",IF(B38=非_燃料種類_選択リスト!$I$3,"一般送配電_種類",IF(B38=非_燃料種類_選択リスト!$I$4,"一般送配電以外_種類",IF(B38=非_燃料種類_選択リスト!$I$5,"熱_種類",IF(B38=非_燃料種類_選択リスト!$I$6,"都市ガス_種類","")))))</f>
        <v/>
      </c>
      <c r="AB38" s="490" t="str">
        <f>IF(Z38&lt;&gt;"電気","",非_電気事業者!$S$4*1000)</f>
        <v/>
      </c>
      <c r="AC38" s="490" t="str">
        <f>IF(Z38&lt;&gt;"電気","",IF(ISERROR(VLOOKUP(D38&amp;F38,非_電気事業者!$R$9:$S$1500,2,FALSE)),"要記入",VLOOKUP(D38&amp;F38,非_電気事業者!$R$9:$S$1500,2,FALSE)*1000))</f>
        <v/>
      </c>
      <c r="AD38" s="490" t="str">
        <f>IF(Z38&lt;&gt;"熱","",非_熱供給事業者!$T$4)</f>
        <v/>
      </c>
      <c r="AE38" s="490" t="str">
        <f>IF(Z38&lt;&gt;"熱","",IF(ISERROR(VLOOKUP(D38&amp;F38,非_熱供給事業者!$S$8:$T$100,2,FALSE)),"要記入",VLOOKUP(D38&amp;F38,非_熱供給事業者!$S$8:$T$100,2,FALSE)))</f>
        <v/>
      </c>
      <c r="AF38" s="490" t="str">
        <f>IF(Z38&lt;&gt;"都市ガス","",非_都市ガス事業者!$AB$4)</f>
        <v/>
      </c>
      <c r="AG38" s="490" t="str">
        <f>IF(Z38&lt;&gt;"都市ガス","",IF(ISERROR(VLOOKUP(D38&amp;F38,非_都市ガス事業者!$AA$8:$AB$100,2,FALSE)),"要記入",VLOOKUP(D38&amp;F38,非_都市ガス事業者!$AA$8:$AB$100,2,FALSE)))</f>
        <v/>
      </c>
      <c r="AH38" s="490" t="str">
        <f t="shared" si="1"/>
        <v/>
      </c>
      <c r="AI38" s="490" t="str">
        <f t="shared" si="42"/>
        <v/>
      </c>
      <c r="AJ38" s="490" t="b">
        <f t="shared" si="12"/>
        <v>1</v>
      </c>
      <c r="AK38" s="490" t="str">
        <f>IF(Q38="","",VLOOKUP(Q38,非_単位補正換算!$B$3:$C$16,2,FALSE))</f>
        <v/>
      </c>
      <c r="AL38" s="490" t="str">
        <f>IF(Z38="","",IF(Z38&lt;&gt;"都市ガス",1,IF(G38="","",SUMIFS(非_単位補正換算!$D$52:$D$63,非_単位補正換算!$B$52:$B$63,"都市ガス"&amp;G38,非_単位補正換算!$C$52:$C$63,'13電気・熱_都市ガス'!Q38))))</f>
        <v/>
      </c>
      <c r="AM38" s="490" t="str">
        <f t="shared" si="13"/>
        <v/>
      </c>
      <c r="AN38" s="490" t="str">
        <f t="shared" si="2"/>
        <v/>
      </c>
      <c r="AO38" s="490" t="str">
        <f t="shared" si="3"/>
        <v/>
      </c>
      <c r="AP38" s="490" t="str">
        <f>IF(C38="","",VLOOKUP(C38,非_まとめ表行番号!$F$3:$H$12,2,FALSE))</f>
        <v/>
      </c>
      <c r="AQ38" s="490" t="b">
        <f t="shared" si="14"/>
        <v>1</v>
      </c>
      <c r="AR38" s="490" t="str">
        <f>IF(Z38="","",IF(Z38&lt;&gt;"都市ガス",1,非_係数!$G$55))</f>
        <v/>
      </c>
      <c r="AS38" s="490" t="str">
        <f t="shared" si="43"/>
        <v/>
      </c>
      <c r="AT38" s="490" t="str">
        <f t="shared" si="4"/>
        <v/>
      </c>
      <c r="AU38" s="490" t="str">
        <f>IF(C38="","",VLOOKUP(C38,非_係数!$B$42:$K$55,9,FALSE))</f>
        <v/>
      </c>
      <c r="AV38" s="490" t="str">
        <f t="shared" si="44"/>
        <v/>
      </c>
      <c r="AW38" s="490" t="str">
        <f>IF(C38="","",VLOOKUP(C38,非_まとめ表行番号!$F$3:$H$12,3,FALSE))</f>
        <v/>
      </c>
      <c r="AX38" s="490" t="str">
        <f t="shared" si="5"/>
        <v/>
      </c>
      <c r="AZ38" s="490" t="str">
        <f>IF(AP38="","",VLOOKUP(AP38,非_まとめ表行番号!$U$3:$V$56,2,FALSE))</f>
        <v/>
      </c>
      <c r="BA38" s="490" t="str">
        <f t="shared" si="17"/>
        <v/>
      </c>
      <c r="BB38" s="490" t="str">
        <f t="shared" si="17"/>
        <v/>
      </c>
      <c r="BC38" s="490" t="str">
        <f t="shared" si="18"/>
        <v/>
      </c>
      <c r="BD38" s="490" t="str">
        <f t="shared" si="19"/>
        <v/>
      </c>
      <c r="BE38" s="490" t="str">
        <f t="shared" si="20"/>
        <v/>
      </c>
      <c r="BF38" s="490" t="str">
        <f t="shared" si="20"/>
        <v/>
      </c>
      <c r="BG38" s="490" t="str">
        <f t="shared" si="21"/>
        <v/>
      </c>
      <c r="BH38" s="490" t="str">
        <f t="shared" si="22"/>
        <v/>
      </c>
      <c r="BI38" s="84">
        <v>2</v>
      </c>
    </row>
    <row r="39" spans="1:61" ht="18.75" customHeight="1">
      <c r="A39" s="629"/>
      <c r="B39" s="614"/>
      <c r="C39" s="615"/>
      <c r="D39" s="615"/>
      <c r="E39" s="620"/>
      <c r="F39" s="615"/>
      <c r="G39" s="401"/>
      <c r="H39" s="179" t="str">
        <f>IF(Z39&lt;&gt;"都市ガス","",IF(ISERROR(VLOOKUP(D39,非_都市ガス事業者!$O$8:$P$100,2,FALSE)),"",VLOOKUP(D39,非_都市ガス事業者!$O$8:$P$100,2,FALSE)))</f>
        <v/>
      </c>
      <c r="I39" s="402" t="str">
        <f>IF(Z39&lt;&gt;"都市ガス","",非_都市ガス事業者!$P$4)</f>
        <v/>
      </c>
      <c r="J39" s="178" t="str">
        <f>IF(C39="","",IF(Z39&lt;&gt;"都市ガス",VLOOKUP(C39,非_係数!$B$42:$D$55,2,FALSE),""))</f>
        <v/>
      </c>
      <c r="K39" s="620"/>
      <c r="L39" s="503" t="str">
        <f t="shared" si="6"/>
        <v/>
      </c>
      <c r="M39" s="214" t="str">
        <f t="shared" si="7"/>
        <v/>
      </c>
      <c r="N39" s="615"/>
      <c r="O39" s="404"/>
      <c r="P39" s="401"/>
      <c r="Q39" s="615"/>
      <c r="R39" s="477"/>
      <c r="S39" s="509"/>
      <c r="T39" s="450" t="str">
        <f t="shared" si="23"/>
        <v/>
      </c>
      <c r="U39" s="459" t="str">
        <f t="shared" si="39"/>
        <v/>
      </c>
      <c r="V39" s="455" t="str">
        <f>IF(C39="","",VLOOKUP(C39,非_単位!$N$38:$O$53,2,FALSE))</f>
        <v/>
      </c>
      <c r="W39" s="450" t="str">
        <f t="shared" si="40"/>
        <v/>
      </c>
      <c r="X39" s="450" t="str">
        <f t="shared" si="41"/>
        <v/>
      </c>
      <c r="Z39" s="490" t="str">
        <f t="shared" si="0"/>
        <v/>
      </c>
      <c r="AA39" s="490" t="str">
        <f>IF(B39="","",IF(B39=非_燃料種類_選択リスト!$I$3,"一般送配電_種類",IF(B39=非_燃料種類_選択リスト!$I$4,"一般送配電以外_種類",IF(B39=非_燃料種類_選択リスト!$I$5,"熱_種類",IF(B39=非_燃料種類_選択リスト!$I$6,"都市ガス_種類","")))))</f>
        <v/>
      </c>
      <c r="AB39" s="490" t="str">
        <f>IF(Z39&lt;&gt;"電気","",非_電気事業者!$S$4*1000)</f>
        <v/>
      </c>
      <c r="AC39" s="490" t="str">
        <f>IF(Z39&lt;&gt;"電気","",IF(ISERROR(VLOOKUP(D39&amp;F39,非_電気事業者!$R$9:$S$1500,2,FALSE)),"要記入",VLOOKUP(D39&amp;F39,非_電気事業者!$R$9:$S$1500,2,FALSE)*1000))</f>
        <v/>
      </c>
      <c r="AD39" s="490" t="str">
        <f>IF(Z39&lt;&gt;"熱","",非_熱供給事業者!$T$4)</f>
        <v/>
      </c>
      <c r="AE39" s="490" t="str">
        <f>IF(Z39&lt;&gt;"熱","",IF(ISERROR(VLOOKUP(D39&amp;F39,非_熱供給事業者!$S$8:$T$100,2,FALSE)),"要記入",VLOOKUP(D39&amp;F39,非_熱供給事業者!$S$8:$T$100,2,FALSE)))</f>
        <v/>
      </c>
      <c r="AF39" s="490" t="str">
        <f>IF(Z39&lt;&gt;"都市ガス","",非_都市ガス事業者!$AB$4)</f>
        <v/>
      </c>
      <c r="AG39" s="490" t="str">
        <f>IF(Z39&lt;&gt;"都市ガス","",IF(ISERROR(VLOOKUP(D39&amp;F39,非_都市ガス事業者!$AA$8:$AB$100,2,FALSE)),"要記入",VLOOKUP(D39&amp;F39,非_都市ガス事業者!$AA$8:$AB$100,2,FALSE)))</f>
        <v/>
      </c>
      <c r="AH39" s="490" t="str">
        <f t="shared" si="1"/>
        <v/>
      </c>
      <c r="AI39" s="490" t="str">
        <f t="shared" si="42"/>
        <v/>
      </c>
      <c r="AJ39" s="490" t="b">
        <f t="shared" si="12"/>
        <v>1</v>
      </c>
      <c r="AK39" s="490" t="str">
        <f>IF(Q39="","",VLOOKUP(Q39,非_単位補正換算!$B$3:$C$16,2,FALSE))</f>
        <v/>
      </c>
      <c r="AL39" s="490" t="str">
        <f>IF(Z39="","",IF(Z39&lt;&gt;"都市ガス",1,IF(G39="","",SUMIFS(非_単位補正換算!$D$52:$D$63,非_単位補正換算!$B$52:$B$63,"都市ガス"&amp;G39,非_単位補正換算!$C$52:$C$63,'13電気・熱_都市ガス'!Q39))))</f>
        <v/>
      </c>
      <c r="AM39" s="490" t="str">
        <f t="shared" si="13"/>
        <v/>
      </c>
      <c r="AN39" s="490" t="str">
        <f t="shared" si="2"/>
        <v/>
      </c>
      <c r="AO39" s="490" t="str">
        <f t="shared" si="3"/>
        <v/>
      </c>
      <c r="AP39" s="490" t="str">
        <f>IF(C39="","",VLOOKUP(C39,非_まとめ表行番号!$F$3:$H$12,2,FALSE))</f>
        <v/>
      </c>
      <c r="AQ39" s="490" t="b">
        <f t="shared" si="14"/>
        <v>1</v>
      </c>
      <c r="AR39" s="490" t="str">
        <f>IF(Z39="","",IF(Z39&lt;&gt;"都市ガス",1,非_係数!$G$55))</f>
        <v/>
      </c>
      <c r="AS39" s="490" t="str">
        <f t="shared" si="43"/>
        <v/>
      </c>
      <c r="AT39" s="490" t="str">
        <f t="shared" si="4"/>
        <v/>
      </c>
      <c r="AU39" s="490" t="str">
        <f>IF(C39="","",VLOOKUP(C39,非_係数!$B$42:$K$55,9,FALSE))</f>
        <v/>
      </c>
      <c r="AV39" s="490" t="str">
        <f t="shared" si="44"/>
        <v/>
      </c>
      <c r="AW39" s="490" t="str">
        <f>IF(C39="","",VLOOKUP(C39,非_まとめ表行番号!$F$3:$H$12,3,FALSE))</f>
        <v/>
      </c>
      <c r="AX39" s="490" t="str">
        <f t="shared" si="5"/>
        <v/>
      </c>
      <c r="AZ39" s="490" t="str">
        <f>IF(AP39="","",VLOOKUP(AP39,非_まとめ表行番号!$U$3:$V$56,2,FALSE))</f>
        <v/>
      </c>
      <c r="BA39" s="490" t="str">
        <f t="shared" si="17"/>
        <v/>
      </c>
      <c r="BB39" s="490" t="str">
        <f t="shared" si="17"/>
        <v/>
      </c>
      <c r="BC39" s="490" t="str">
        <f t="shared" si="18"/>
        <v/>
      </c>
      <c r="BD39" s="490" t="str">
        <f t="shared" si="19"/>
        <v/>
      </c>
      <c r="BE39" s="490" t="str">
        <f t="shared" si="20"/>
        <v/>
      </c>
      <c r="BF39" s="490" t="str">
        <f t="shared" si="20"/>
        <v/>
      </c>
      <c r="BG39" s="490" t="str">
        <f t="shared" si="21"/>
        <v/>
      </c>
      <c r="BH39" s="490" t="str">
        <f t="shared" si="22"/>
        <v/>
      </c>
      <c r="BI39" s="84">
        <v>2</v>
      </c>
    </row>
    <row r="40" spans="1:61" ht="18.75" customHeight="1">
      <c r="A40" s="629"/>
      <c r="B40" s="614"/>
      <c r="C40" s="615"/>
      <c r="D40" s="615"/>
      <c r="E40" s="620"/>
      <c r="F40" s="615"/>
      <c r="G40" s="401"/>
      <c r="H40" s="179" t="str">
        <f>IF(Z40&lt;&gt;"都市ガス","",IF(ISERROR(VLOOKUP(D40,非_都市ガス事業者!$O$8:$P$100,2,FALSE)),"",VLOOKUP(D40,非_都市ガス事業者!$O$8:$P$100,2,FALSE)))</f>
        <v/>
      </c>
      <c r="I40" s="402" t="str">
        <f>IF(Z40&lt;&gt;"都市ガス","",非_都市ガス事業者!$P$4)</f>
        <v/>
      </c>
      <c r="J40" s="178" t="str">
        <f>IF(C40="","",IF(Z40&lt;&gt;"都市ガス",VLOOKUP(C40,非_係数!$B$42:$D$55,2,FALSE),""))</f>
        <v/>
      </c>
      <c r="K40" s="620"/>
      <c r="L40" s="503" t="str">
        <f t="shared" si="6"/>
        <v/>
      </c>
      <c r="M40" s="214" t="str">
        <f t="shared" si="7"/>
        <v/>
      </c>
      <c r="N40" s="615"/>
      <c r="O40" s="404"/>
      <c r="P40" s="401"/>
      <c r="Q40" s="615"/>
      <c r="R40" s="477"/>
      <c r="S40" s="509"/>
      <c r="T40" s="450" t="str">
        <f t="shared" si="23"/>
        <v/>
      </c>
      <c r="U40" s="459" t="str">
        <f t="shared" si="39"/>
        <v/>
      </c>
      <c r="V40" s="455" t="str">
        <f>IF(C40="","",VLOOKUP(C40,非_単位!$N$38:$O$53,2,FALSE))</f>
        <v/>
      </c>
      <c r="W40" s="450" t="str">
        <f t="shared" si="40"/>
        <v/>
      </c>
      <c r="X40" s="450" t="str">
        <f t="shared" si="41"/>
        <v/>
      </c>
      <c r="Z40" s="490" t="str">
        <f t="shared" si="0"/>
        <v/>
      </c>
      <c r="AA40" s="490" t="str">
        <f>IF(B40="","",IF(B40=非_燃料種類_選択リスト!$I$3,"一般送配電_種類",IF(B40=非_燃料種類_選択リスト!$I$4,"一般送配電以外_種類",IF(B40=非_燃料種類_選択リスト!$I$5,"熱_種類",IF(B40=非_燃料種類_選択リスト!$I$6,"都市ガス_種類","")))))</f>
        <v/>
      </c>
      <c r="AB40" s="490" t="str">
        <f>IF(Z40&lt;&gt;"電気","",非_電気事業者!$S$4*1000)</f>
        <v/>
      </c>
      <c r="AC40" s="490" t="str">
        <f>IF(Z40&lt;&gt;"電気","",IF(ISERROR(VLOOKUP(D40&amp;F40,非_電気事業者!$R$9:$S$1500,2,FALSE)),"要記入",VLOOKUP(D40&amp;F40,非_電気事業者!$R$9:$S$1500,2,FALSE)*1000))</f>
        <v/>
      </c>
      <c r="AD40" s="490" t="str">
        <f>IF(Z40&lt;&gt;"熱","",非_熱供給事業者!$T$4)</f>
        <v/>
      </c>
      <c r="AE40" s="490" t="str">
        <f>IF(Z40&lt;&gt;"熱","",IF(ISERROR(VLOOKUP(D40&amp;F40,非_熱供給事業者!$S$8:$T$100,2,FALSE)),"要記入",VLOOKUP(D40&amp;F40,非_熱供給事業者!$S$8:$T$100,2,FALSE)))</f>
        <v/>
      </c>
      <c r="AF40" s="490" t="str">
        <f>IF(Z40&lt;&gt;"都市ガス","",非_都市ガス事業者!$AB$4)</f>
        <v/>
      </c>
      <c r="AG40" s="490" t="str">
        <f>IF(Z40&lt;&gt;"都市ガス","",IF(ISERROR(VLOOKUP(D40&amp;F40,非_都市ガス事業者!$AA$8:$AB$100,2,FALSE)),"要記入",VLOOKUP(D40&amp;F40,非_都市ガス事業者!$AA$8:$AB$100,2,FALSE)))</f>
        <v/>
      </c>
      <c r="AH40" s="490" t="str">
        <f t="shared" si="1"/>
        <v/>
      </c>
      <c r="AI40" s="490" t="str">
        <f t="shared" si="42"/>
        <v/>
      </c>
      <c r="AJ40" s="490" t="b">
        <f t="shared" si="12"/>
        <v>1</v>
      </c>
      <c r="AK40" s="490" t="str">
        <f>IF(Q40="","",VLOOKUP(Q40,非_単位補正換算!$B$3:$C$16,2,FALSE))</f>
        <v/>
      </c>
      <c r="AL40" s="490" t="str">
        <f>IF(Z40="","",IF(Z40&lt;&gt;"都市ガス",1,IF(G40="","",SUMIFS(非_単位補正換算!$D$52:$D$63,非_単位補正換算!$B$52:$B$63,"都市ガス"&amp;G40,非_単位補正換算!$C$52:$C$63,'13電気・熱_都市ガス'!Q40))))</f>
        <v/>
      </c>
      <c r="AM40" s="490" t="str">
        <f t="shared" si="13"/>
        <v/>
      </c>
      <c r="AN40" s="490" t="str">
        <f t="shared" si="2"/>
        <v/>
      </c>
      <c r="AO40" s="490" t="str">
        <f t="shared" si="3"/>
        <v/>
      </c>
      <c r="AP40" s="490" t="str">
        <f>IF(C40="","",VLOOKUP(C40,非_まとめ表行番号!$F$3:$H$12,2,FALSE))</f>
        <v/>
      </c>
      <c r="AQ40" s="490" t="b">
        <f t="shared" si="14"/>
        <v>1</v>
      </c>
      <c r="AR40" s="490" t="str">
        <f>IF(Z40="","",IF(Z40&lt;&gt;"都市ガス",1,非_係数!$G$55))</f>
        <v/>
      </c>
      <c r="AS40" s="490" t="str">
        <f t="shared" si="43"/>
        <v/>
      </c>
      <c r="AT40" s="490" t="str">
        <f t="shared" si="4"/>
        <v/>
      </c>
      <c r="AU40" s="490" t="str">
        <f>IF(C40="","",VLOOKUP(C40,非_係数!$B$42:$K$55,9,FALSE))</f>
        <v/>
      </c>
      <c r="AV40" s="490" t="str">
        <f t="shared" si="44"/>
        <v/>
      </c>
      <c r="AW40" s="490" t="str">
        <f>IF(C40="","",VLOOKUP(C40,非_まとめ表行番号!$F$3:$H$12,3,FALSE))</f>
        <v/>
      </c>
      <c r="AX40" s="490" t="str">
        <f t="shared" si="5"/>
        <v/>
      </c>
      <c r="AZ40" s="490" t="str">
        <f>IF(AP40="","",VLOOKUP(AP40,非_まとめ表行番号!$U$3:$V$56,2,FALSE))</f>
        <v/>
      </c>
      <c r="BA40" s="490" t="str">
        <f t="shared" si="17"/>
        <v/>
      </c>
      <c r="BB40" s="490" t="str">
        <f t="shared" si="17"/>
        <v/>
      </c>
      <c r="BC40" s="490" t="str">
        <f t="shared" si="18"/>
        <v/>
      </c>
      <c r="BD40" s="490" t="str">
        <f t="shared" si="19"/>
        <v/>
      </c>
      <c r="BE40" s="490" t="str">
        <f t="shared" si="20"/>
        <v/>
      </c>
      <c r="BF40" s="490" t="str">
        <f t="shared" si="20"/>
        <v/>
      </c>
      <c r="BG40" s="490" t="str">
        <f t="shared" si="21"/>
        <v/>
      </c>
      <c r="BH40" s="490" t="str">
        <f t="shared" si="22"/>
        <v/>
      </c>
      <c r="BI40" s="84">
        <v>2</v>
      </c>
    </row>
    <row r="41" spans="1:61" ht="18.75" customHeight="1">
      <c r="A41" s="629"/>
      <c r="B41" s="614"/>
      <c r="C41" s="615"/>
      <c r="D41" s="615"/>
      <c r="E41" s="620"/>
      <c r="F41" s="615"/>
      <c r="G41" s="401"/>
      <c r="H41" s="179" t="str">
        <f>IF(Z41&lt;&gt;"都市ガス","",IF(ISERROR(VLOOKUP(D41,非_都市ガス事業者!$O$8:$P$100,2,FALSE)),"",VLOOKUP(D41,非_都市ガス事業者!$O$8:$P$100,2,FALSE)))</f>
        <v/>
      </c>
      <c r="I41" s="402" t="str">
        <f>IF(Z41&lt;&gt;"都市ガス","",非_都市ガス事業者!$P$4)</f>
        <v/>
      </c>
      <c r="J41" s="178" t="str">
        <f>IF(C41="","",IF(Z41&lt;&gt;"都市ガス",VLOOKUP(C41,非_係数!$B$42:$D$55,2,FALSE),""))</f>
        <v/>
      </c>
      <c r="K41" s="620"/>
      <c r="L41" s="503" t="str">
        <f t="shared" si="6"/>
        <v/>
      </c>
      <c r="M41" s="214" t="str">
        <f t="shared" si="7"/>
        <v/>
      </c>
      <c r="N41" s="615"/>
      <c r="O41" s="404"/>
      <c r="P41" s="401"/>
      <c r="Q41" s="615"/>
      <c r="R41" s="477"/>
      <c r="S41" s="509"/>
      <c r="T41" s="450" t="str">
        <f t="shared" si="23"/>
        <v/>
      </c>
      <c r="U41" s="459" t="str">
        <f t="shared" ref="U41:U46" si="45">AM41</f>
        <v/>
      </c>
      <c r="V41" s="455" t="str">
        <f>IF(C41="","",VLOOKUP(C41,非_単位!$N$38:$O$53,2,FALSE))</f>
        <v/>
      </c>
      <c r="W41" s="450" t="str">
        <f t="shared" ref="W41:W46" si="46">AN41</f>
        <v/>
      </c>
      <c r="X41" s="450" t="str">
        <f t="shared" ref="X41:X46" si="47">AO41</f>
        <v/>
      </c>
      <c r="Z41" s="490" t="str">
        <f t="shared" si="0"/>
        <v/>
      </c>
      <c r="AA41" s="490" t="str">
        <f>IF(B41="","",IF(B41=非_燃料種類_選択リスト!$I$3,"一般送配電_種類",IF(B41=非_燃料種類_選択リスト!$I$4,"一般送配電以外_種類",IF(B41=非_燃料種類_選択リスト!$I$5,"熱_種類",IF(B41=非_燃料種類_選択リスト!$I$6,"都市ガス_種類","")))))</f>
        <v/>
      </c>
      <c r="AB41" s="490" t="str">
        <f>IF(Z41&lt;&gt;"電気","",非_電気事業者!$S$4*1000)</f>
        <v/>
      </c>
      <c r="AC41" s="490" t="str">
        <f>IF(Z41&lt;&gt;"電気","",IF(ISERROR(VLOOKUP(D41&amp;F41,非_電気事業者!$R$9:$S$1500,2,FALSE)),"要記入",VLOOKUP(D41&amp;F41,非_電気事業者!$R$9:$S$1500,2,FALSE)*1000))</f>
        <v/>
      </c>
      <c r="AD41" s="490" t="str">
        <f>IF(Z41&lt;&gt;"熱","",非_熱供給事業者!$T$4)</f>
        <v/>
      </c>
      <c r="AE41" s="490" t="str">
        <f>IF(Z41&lt;&gt;"熱","",IF(ISERROR(VLOOKUP(D41&amp;F41,非_熱供給事業者!$S$8:$T$100,2,FALSE)),"要記入",VLOOKUP(D41&amp;F41,非_熱供給事業者!$S$8:$T$100,2,FALSE)))</f>
        <v/>
      </c>
      <c r="AF41" s="490" t="str">
        <f>IF(Z41&lt;&gt;"都市ガス","",非_都市ガス事業者!$AB$4)</f>
        <v/>
      </c>
      <c r="AG41" s="490" t="str">
        <f>IF(Z41&lt;&gt;"都市ガス","",IF(ISERROR(VLOOKUP(D41&amp;F41,非_都市ガス事業者!$AA$8:$AB$100,2,FALSE)),"要記入",VLOOKUP(D41&amp;F41,非_都市ガス事業者!$AA$8:$AB$100,2,FALSE)))</f>
        <v/>
      </c>
      <c r="AH41" s="490" t="str">
        <f t="shared" si="1"/>
        <v/>
      </c>
      <c r="AI41" s="490" t="str">
        <f t="shared" ref="AI41:AI46" si="48">IF(Z41="電気","t-CO2/千kWh",IF(Z41="熱","t-CO2/GJ",IF(Z41="都市ガス","t-CO2/千m3(SATP)","")))</f>
        <v/>
      </c>
      <c r="AJ41" s="490" t="b">
        <f t="shared" si="12"/>
        <v>1</v>
      </c>
      <c r="AK41" s="490" t="str">
        <f>IF(Q41="","",VLOOKUP(Q41,非_単位補正換算!$B$3:$C$16,2,FALSE))</f>
        <v/>
      </c>
      <c r="AL41" s="490" t="str">
        <f>IF(Z41="","",IF(Z41&lt;&gt;"都市ガス",1,IF(G41="","",SUMIFS(非_単位補正換算!$D$52:$D$63,非_単位補正換算!$B$52:$B$63,"都市ガス"&amp;G41,非_単位補正換算!$C$52:$C$63,'13電気・熱_都市ガス'!Q41))))</f>
        <v/>
      </c>
      <c r="AM41" s="490" t="str">
        <f t="shared" si="13"/>
        <v/>
      </c>
      <c r="AN41" s="490" t="str">
        <f t="shared" si="2"/>
        <v/>
      </c>
      <c r="AO41" s="490" t="str">
        <f t="shared" si="3"/>
        <v/>
      </c>
      <c r="AP41" s="490" t="str">
        <f>IF(C41="","",VLOOKUP(C41,非_まとめ表行番号!$F$3:$H$12,2,FALSE))</f>
        <v/>
      </c>
      <c r="AQ41" s="490" t="b">
        <f t="shared" si="14"/>
        <v>1</v>
      </c>
      <c r="AR41" s="490" t="str">
        <f>IF(Z41="","",IF(Z41&lt;&gt;"都市ガス",1,非_係数!$G$55))</f>
        <v/>
      </c>
      <c r="AS41" s="490" t="str">
        <f t="shared" ref="AS41:AS46" si="49">IF(AM41="","",AM41*AR41)</f>
        <v/>
      </c>
      <c r="AT41" s="490" t="str">
        <f t="shared" si="4"/>
        <v/>
      </c>
      <c r="AU41" s="490" t="str">
        <f>IF(C41="","",VLOOKUP(C41,非_係数!$B$42:$K$55,9,FALSE))</f>
        <v/>
      </c>
      <c r="AV41" s="490" t="str">
        <f t="shared" ref="AV41:AV46" si="50">IF(AND(AS41&lt;&gt;"",AU41&lt;&gt;""),IF(Z41&lt;&gt;"都市ガス",AS41*AU41,AT41*AU41*44/12),"")</f>
        <v/>
      </c>
      <c r="AW41" s="490" t="str">
        <f>IF(C41="","",VLOOKUP(C41,非_まとめ表行番号!$F$3:$H$12,3,FALSE))</f>
        <v/>
      </c>
      <c r="AX41" s="490" t="str">
        <f t="shared" si="5"/>
        <v/>
      </c>
      <c r="AZ41" s="490" t="str">
        <f>IF(AP41="","",VLOOKUP(AP41,非_まとめ表行番号!$U$3:$V$56,2,FALSE))</f>
        <v/>
      </c>
      <c r="BA41" s="490" t="str">
        <f t="shared" si="17"/>
        <v/>
      </c>
      <c r="BB41" s="490" t="str">
        <f t="shared" si="17"/>
        <v/>
      </c>
      <c r="BC41" s="490" t="str">
        <f t="shared" si="18"/>
        <v/>
      </c>
      <c r="BD41" s="490" t="str">
        <f t="shared" si="19"/>
        <v/>
      </c>
      <c r="BE41" s="490" t="str">
        <f t="shared" si="20"/>
        <v/>
      </c>
      <c r="BF41" s="490" t="str">
        <f t="shared" si="20"/>
        <v/>
      </c>
      <c r="BG41" s="490" t="str">
        <f t="shared" si="21"/>
        <v/>
      </c>
      <c r="BH41" s="490" t="str">
        <f t="shared" si="22"/>
        <v/>
      </c>
      <c r="BI41" s="84">
        <v>2</v>
      </c>
    </row>
    <row r="42" spans="1:61" ht="18.75" customHeight="1" thickBot="1">
      <c r="A42" s="630"/>
      <c r="B42" s="616"/>
      <c r="C42" s="617"/>
      <c r="D42" s="617"/>
      <c r="E42" s="621"/>
      <c r="F42" s="617"/>
      <c r="G42" s="401"/>
      <c r="H42" s="179" t="str">
        <f>IF(Z42&lt;&gt;"都市ガス","",IF(ISERROR(VLOOKUP(D42,非_都市ガス事業者!$O$8:$P$100,2,FALSE)),"",VLOOKUP(D42,非_都市ガス事業者!$O$8:$P$100,2,FALSE)))</f>
        <v/>
      </c>
      <c r="I42" s="402" t="str">
        <f>IF(Z42&lt;&gt;"都市ガス","",非_都市ガス事業者!$P$4)</f>
        <v/>
      </c>
      <c r="J42" s="178" t="str">
        <f>IF(C42="","",IF(Z42&lt;&gt;"都市ガス",VLOOKUP(C42,非_係数!$B$42:$D$55,2,FALSE),""))</f>
        <v/>
      </c>
      <c r="K42" s="621"/>
      <c r="L42" s="665" t="str">
        <f t="shared" si="6"/>
        <v/>
      </c>
      <c r="M42" s="655" t="str">
        <f t="shared" ref="M42:M46" si="51">AI42</f>
        <v/>
      </c>
      <c r="N42" s="617"/>
      <c r="O42" s="404"/>
      <c r="P42" s="401"/>
      <c r="Q42" s="617"/>
      <c r="R42" s="675"/>
      <c r="S42" s="641"/>
      <c r="T42" s="658" t="str">
        <f t="shared" si="23"/>
        <v/>
      </c>
      <c r="U42" s="678" t="str">
        <f t="shared" si="45"/>
        <v/>
      </c>
      <c r="V42" s="679" t="str">
        <f>IF(C42="","",VLOOKUP(C42,非_単位!$N$38:$O$53,2,FALSE))</f>
        <v/>
      </c>
      <c r="W42" s="658" t="str">
        <f t="shared" si="46"/>
        <v/>
      </c>
      <c r="X42" s="658" t="str">
        <f t="shared" si="47"/>
        <v/>
      </c>
      <c r="Z42" s="663" t="str">
        <f t="shared" si="0"/>
        <v/>
      </c>
      <c r="AA42" s="663" t="str">
        <f>IF(B42="","",IF(B42=非_燃料種類_選択リスト!$I$3,"一般送配電_種類",IF(B42=非_燃料種類_選択リスト!$I$4,"一般送配電以外_種類",IF(B42=非_燃料種類_選択リスト!$I$5,"熱_種類",IF(B42=非_燃料種類_選択リスト!$I$6,"都市ガス_種類","")))))</f>
        <v/>
      </c>
      <c r="AB42" s="663" t="str">
        <f>IF(Z42&lt;&gt;"電気","",非_電気事業者!$S$4*1000)</f>
        <v/>
      </c>
      <c r="AC42" s="663" t="str">
        <f>IF(Z42&lt;&gt;"電気","",IF(ISERROR(VLOOKUP(D42&amp;F42,非_電気事業者!$R$9:$S$1500,2,FALSE)),"要記入",VLOOKUP(D42&amp;F42,非_電気事業者!$R$9:$S$1500,2,FALSE)*1000))</f>
        <v/>
      </c>
      <c r="AD42" s="663" t="str">
        <f>IF(Z42&lt;&gt;"熱","",非_熱供給事業者!$T$4)</f>
        <v/>
      </c>
      <c r="AE42" s="663" t="str">
        <f>IF(Z42&lt;&gt;"熱","",IF(ISERROR(VLOOKUP(D42&amp;F42,非_熱供給事業者!$S$8:$T$100,2,FALSE)),"要記入",VLOOKUP(D42&amp;F42,非_熱供給事業者!$S$8:$T$100,2,FALSE)))</f>
        <v/>
      </c>
      <c r="AF42" s="663" t="str">
        <f>IF(Z42&lt;&gt;"都市ガス","",非_都市ガス事業者!$AB$4)</f>
        <v/>
      </c>
      <c r="AG42" s="663" t="str">
        <f>IF(Z42&lt;&gt;"都市ガス","",IF(ISERROR(VLOOKUP(D42&amp;F42,非_都市ガス事業者!$AA$8:$AB$100,2,FALSE)),"要記入",VLOOKUP(D42&amp;F42,非_都市ガス事業者!$AA$8:$AB$100,2,FALSE)))</f>
        <v/>
      </c>
      <c r="AH42" s="663" t="str">
        <f t="shared" si="1"/>
        <v/>
      </c>
      <c r="AI42" s="663" t="str">
        <f t="shared" si="48"/>
        <v/>
      </c>
      <c r="AJ42" s="663" t="b">
        <f t="shared" si="12"/>
        <v>1</v>
      </c>
      <c r="AK42" s="663" t="str">
        <f>IF(Q42="","",VLOOKUP(Q42,非_単位補正換算!$B$3:$C$16,2,FALSE))</f>
        <v/>
      </c>
      <c r="AL42" s="663" t="str">
        <f>IF(Z42="","",IF(Z42&lt;&gt;"都市ガス",1,IF(G42="","",SUMIFS(非_単位補正換算!$D$52:$D$63,非_単位補正換算!$B$52:$B$63,"都市ガス"&amp;G42,非_単位補正換算!$C$52:$C$63,'13電気・熱_都市ガス'!Q42))))</f>
        <v/>
      </c>
      <c r="AM42" s="663" t="str">
        <f t="shared" si="13"/>
        <v/>
      </c>
      <c r="AN42" s="663" t="str">
        <f t="shared" si="2"/>
        <v/>
      </c>
      <c r="AO42" s="663" t="str">
        <f t="shared" si="3"/>
        <v/>
      </c>
      <c r="AP42" s="663" t="str">
        <f>IF(C42="","",VLOOKUP(C42,非_まとめ表行番号!$F$3:$H$12,2,FALSE))</f>
        <v/>
      </c>
      <c r="AQ42" s="663" t="b">
        <f t="shared" si="14"/>
        <v>1</v>
      </c>
      <c r="AR42" s="663" t="str">
        <f>IF(Z42="","",IF(Z42&lt;&gt;"都市ガス",1,非_係数!$G$55))</f>
        <v/>
      </c>
      <c r="AS42" s="663" t="str">
        <f t="shared" si="49"/>
        <v/>
      </c>
      <c r="AT42" s="663" t="str">
        <f t="shared" si="4"/>
        <v/>
      </c>
      <c r="AU42" s="663" t="str">
        <f>IF(C42="","",VLOOKUP(C42,非_係数!$B$42:$K$55,9,FALSE))</f>
        <v/>
      </c>
      <c r="AV42" s="663" t="str">
        <f t="shared" si="50"/>
        <v/>
      </c>
      <c r="AW42" s="663" t="str">
        <f>IF(C42="","",VLOOKUP(C42,非_まとめ表行番号!$F$3:$H$12,3,FALSE))</f>
        <v/>
      </c>
      <c r="AX42" s="663" t="str">
        <f t="shared" si="5"/>
        <v/>
      </c>
      <c r="AZ42" s="663" t="str">
        <f>IF(AP42="","",VLOOKUP(AP42,非_まとめ表行番号!$U$3:$V$56,2,FALSE))</f>
        <v/>
      </c>
      <c r="BA42" s="663" t="str">
        <f t="shared" si="17"/>
        <v/>
      </c>
      <c r="BB42" s="663" t="str">
        <f t="shared" si="17"/>
        <v/>
      </c>
      <c r="BC42" s="663" t="str">
        <f t="shared" si="18"/>
        <v/>
      </c>
      <c r="BD42" s="663" t="str">
        <f t="shared" si="19"/>
        <v/>
      </c>
      <c r="BE42" s="663" t="str">
        <f t="shared" si="20"/>
        <v/>
      </c>
      <c r="BF42" s="663" t="str">
        <f t="shared" si="20"/>
        <v/>
      </c>
      <c r="BG42" s="663" t="str">
        <f t="shared" si="21"/>
        <v/>
      </c>
      <c r="BH42" s="663" t="str">
        <f t="shared" si="22"/>
        <v/>
      </c>
      <c r="BI42" s="708">
        <v>2</v>
      </c>
    </row>
    <row r="43" spans="1:61" ht="18.75" customHeight="1" thickTop="1">
      <c r="A43" s="586" t="s">
        <v>2060</v>
      </c>
      <c r="B43" s="622"/>
      <c r="C43" s="623"/>
      <c r="D43" s="623"/>
      <c r="E43" s="596"/>
      <c r="F43" s="623"/>
      <c r="G43" s="401"/>
      <c r="H43" s="179" t="str">
        <f>IF(Z43&lt;&gt;"都市ガス","",IF(ISERROR(VLOOKUP(D43,非_都市ガス事業者!$O$8:$P$100,2,FALSE)),"",VLOOKUP(D43,非_都市ガス事業者!$O$8:$P$100,2,FALSE)))</f>
        <v/>
      </c>
      <c r="I43" s="402" t="str">
        <f>IF(Z43&lt;&gt;"都市ガス","",非_都市ガス事業者!$P$4)</f>
        <v/>
      </c>
      <c r="J43" s="178" t="str">
        <f>IF(C43="","",IF(Z43&lt;&gt;"都市ガス",VLOOKUP(C43,非_係数!$B$42:$D$55,2,FALSE),""))</f>
        <v/>
      </c>
      <c r="K43" s="596"/>
      <c r="L43" s="648" t="str">
        <f t="shared" si="6"/>
        <v/>
      </c>
      <c r="M43" s="213" t="str">
        <f t="shared" si="51"/>
        <v/>
      </c>
      <c r="N43" s="623"/>
      <c r="O43" s="404"/>
      <c r="P43" s="401"/>
      <c r="Q43" s="623"/>
      <c r="R43" s="666"/>
      <c r="S43" s="667"/>
      <c r="T43" s="668" t="str">
        <f t="shared" si="23"/>
        <v/>
      </c>
      <c r="U43" s="456" t="str">
        <f t="shared" si="45"/>
        <v/>
      </c>
      <c r="V43" s="652" t="str">
        <f>IF(C43="","",VLOOKUP(C43,非_単位!$N$38:$O$53,2,FALSE))</f>
        <v/>
      </c>
      <c r="W43" s="650" t="str">
        <f t="shared" si="46"/>
        <v/>
      </c>
      <c r="X43" s="650" t="str">
        <f t="shared" si="47"/>
        <v/>
      </c>
      <c r="Z43" s="578" t="str">
        <f t="shared" si="0"/>
        <v/>
      </c>
      <c r="AA43" s="578" t="str">
        <f>IF(B43="","",IF(B43=非_燃料種類_選択リスト!$I$3,"一般送配電_種類",IF(B43=非_燃料種類_選択リスト!$I$4,"一般送配電以外_種類",IF(B43=非_燃料種類_選択リスト!$I$5,"熱_種類",IF(B43=非_燃料種類_選択リスト!$I$6,"都市ガス_種類","")))))</f>
        <v/>
      </c>
      <c r="AB43" s="578" t="str">
        <f>IF(Z43&lt;&gt;"電気","",非_電気事業者!$S$4*1000)</f>
        <v/>
      </c>
      <c r="AC43" s="578" t="str">
        <f>IF(Z43&lt;&gt;"電気","",IF(ISERROR(VLOOKUP(D43&amp;F43,非_電気事業者!$R$9:$S$1500,2,FALSE)),"要記入",VLOOKUP(D43&amp;F43,非_電気事業者!$R$9:$S$1500,2,FALSE)*1000))</f>
        <v/>
      </c>
      <c r="AD43" s="578" t="str">
        <f>IF(Z43&lt;&gt;"熱","",非_熱供給事業者!$T$4)</f>
        <v/>
      </c>
      <c r="AE43" s="578" t="str">
        <f>IF(Z43&lt;&gt;"熱","",IF(ISERROR(VLOOKUP(D43&amp;F43,非_熱供給事業者!$S$8:$T$100,2,FALSE)),"要記入",VLOOKUP(D43&amp;F43,非_熱供給事業者!$S$8:$T$100,2,FALSE)))</f>
        <v/>
      </c>
      <c r="AF43" s="578" t="str">
        <f>IF(Z43&lt;&gt;"都市ガス","",非_都市ガス事業者!$AB$4)</f>
        <v/>
      </c>
      <c r="AG43" s="578" t="str">
        <f>IF(Z43&lt;&gt;"都市ガス","",IF(ISERROR(VLOOKUP(D43&amp;F43,非_都市ガス事業者!$AA$8:$AB$100,2,FALSE)),"要記入",VLOOKUP(D43&amp;F43,非_都市ガス事業者!$AA$8:$AB$100,2,FALSE)))</f>
        <v/>
      </c>
      <c r="AH43" s="578" t="str">
        <f t="shared" si="1"/>
        <v/>
      </c>
      <c r="AI43" s="578" t="str">
        <f t="shared" si="48"/>
        <v/>
      </c>
      <c r="AJ43" s="578" t="b">
        <f t="shared" si="12"/>
        <v>1</v>
      </c>
      <c r="AK43" s="578" t="str">
        <f>IF(Q43="","",VLOOKUP(Q43,非_単位補正換算!$B$3:$C$16,2,FALSE))</f>
        <v/>
      </c>
      <c r="AL43" s="578" t="str">
        <f>IF(Z43="","",IF(Z43&lt;&gt;"都市ガス",1,IF(G43="","",SUMIFS(非_単位補正換算!$D$52:$D$63,非_単位補正換算!$B$52:$B$63,"都市ガス"&amp;G43,非_単位補正換算!$C$52:$C$63,'13電気・熱_都市ガス'!Q43))))</f>
        <v/>
      </c>
      <c r="AM43" s="578" t="str">
        <f t="shared" si="13"/>
        <v/>
      </c>
      <c r="AN43" s="578" t="str">
        <f t="shared" si="2"/>
        <v/>
      </c>
      <c r="AO43" s="578" t="str">
        <f t="shared" si="3"/>
        <v/>
      </c>
      <c r="AP43" s="578" t="str">
        <f>IF(C43="","",VLOOKUP(C43,非_まとめ表行番号!$F$3:$H$12,2,FALSE))</f>
        <v/>
      </c>
      <c r="AQ43" s="578" t="b">
        <f t="shared" si="14"/>
        <v>1</v>
      </c>
      <c r="AR43" s="578" t="str">
        <f>IF(Z43="","",IF(Z43&lt;&gt;"都市ガス",1,非_係数!$G$55))</f>
        <v/>
      </c>
      <c r="AS43" s="578" t="str">
        <f t="shared" si="49"/>
        <v/>
      </c>
      <c r="AT43" s="578" t="str">
        <f t="shared" si="4"/>
        <v/>
      </c>
      <c r="AU43" s="578" t="str">
        <f>IF(C43="","",VLOOKUP(C43,非_係数!$B$42:$K$55,9,FALSE))</f>
        <v/>
      </c>
      <c r="AV43" s="578" t="str">
        <f t="shared" si="50"/>
        <v/>
      </c>
      <c r="AW43" s="578" t="str">
        <f>IF(C43="","",VLOOKUP(C43,非_まとめ表行番号!$F$3:$H$12,3,FALSE))</f>
        <v/>
      </c>
      <c r="AX43" s="578" t="str">
        <f t="shared" si="5"/>
        <v/>
      </c>
      <c r="AZ43" s="578" t="str">
        <f>IF(AP43="","",VLOOKUP(AP43,非_まとめ表行番号!$U$3:$V$56,2,FALSE))</f>
        <v/>
      </c>
      <c r="BA43" s="578" t="str">
        <f t="shared" si="17"/>
        <v/>
      </c>
      <c r="BB43" s="578" t="str">
        <f t="shared" si="17"/>
        <v/>
      </c>
      <c r="BC43" s="578" t="str">
        <f t="shared" si="18"/>
        <v/>
      </c>
      <c r="BD43" s="578" t="str">
        <f t="shared" si="19"/>
        <v/>
      </c>
      <c r="BE43" s="578" t="str">
        <f t="shared" si="20"/>
        <v/>
      </c>
      <c r="BF43" s="578" t="str">
        <f t="shared" si="20"/>
        <v/>
      </c>
      <c r="BG43" s="578" t="str">
        <f t="shared" si="21"/>
        <v/>
      </c>
      <c r="BH43" s="578" t="str">
        <f t="shared" si="22"/>
        <v/>
      </c>
      <c r="BI43" s="84">
        <v>3</v>
      </c>
    </row>
    <row r="44" spans="1:61" ht="18.75" customHeight="1">
      <c r="A44" s="586"/>
      <c r="B44" s="622"/>
      <c r="C44" s="623"/>
      <c r="D44" s="623"/>
      <c r="E44" s="596"/>
      <c r="F44" s="623"/>
      <c r="G44" s="401"/>
      <c r="H44" s="179" t="str">
        <f>IF(Z44&lt;&gt;"都市ガス","",IF(ISERROR(VLOOKUP(D44,非_都市ガス事業者!$O$8:$P$100,2,FALSE)),"",VLOOKUP(D44,非_都市ガス事業者!$O$8:$P$100,2,FALSE)))</f>
        <v/>
      </c>
      <c r="I44" s="402" t="str">
        <f>IF(Z44&lt;&gt;"都市ガス","",非_都市ガス事業者!$P$4)</f>
        <v/>
      </c>
      <c r="J44" s="178" t="str">
        <f>IF(C44="","",IF(Z44&lt;&gt;"都市ガス",VLOOKUP(C44,非_係数!$B$42:$D$55,2,FALSE),""))</f>
        <v/>
      </c>
      <c r="K44" s="596"/>
      <c r="L44" s="503" t="str">
        <f t="shared" si="6"/>
        <v/>
      </c>
      <c r="M44" s="214" t="str">
        <f t="shared" si="51"/>
        <v/>
      </c>
      <c r="N44" s="623"/>
      <c r="O44" s="404"/>
      <c r="P44" s="401"/>
      <c r="Q44" s="623"/>
      <c r="R44" s="669"/>
      <c r="S44" s="670"/>
      <c r="T44" s="671" t="str">
        <f t="shared" si="23"/>
        <v/>
      </c>
      <c r="U44" s="459" t="str">
        <f t="shared" si="45"/>
        <v/>
      </c>
      <c r="V44" s="455" t="str">
        <f>IF(C44="","",VLOOKUP(C44,非_単位!$N$38:$O$53,2,FALSE))</f>
        <v/>
      </c>
      <c r="W44" s="450" t="str">
        <f t="shared" si="46"/>
        <v/>
      </c>
      <c r="X44" s="450" t="str">
        <f t="shared" si="47"/>
        <v/>
      </c>
      <c r="Z44" s="490" t="str">
        <f t="shared" si="0"/>
        <v/>
      </c>
      <c r="AA44" s="490" t="str">
        <f>IF(B44="","",IF(B44=非_燃料種類_選択リスト!$I$3,"一般送配電_種類",IF(B44=非_燃料種類_選択リスト!$I$4,"一般送配電以外_種類",IF(B44=非_燃料種類_選択リスト!$I$5,"熱_種類",IF(B44=非_燃料種類_選択リスト!$I$6,"都市ガス_種類","")))))</f>
        <v/>
      </c>
      <c r="AB44" s="490" t="str">
        <f>IF(Z44&lt;&gt;"電気","",非_電気事業者!$S$4*1000)</f>
        <v/>
      </c>
      <c r="AC44" s="490" t="str">
        <f>IF(Z44&lt;&gt;"電気","",IF(ISERROR(VLOOKUP(D44&amp;F44,非_電気事業者!$R$9:$S$1500,2,FALSE)),"要記入",VLOOKUP(D44&amp;F44,非_電気事業者!$R$9:$S$1500,2,FALSE)*1000))</f>
        <v/>
      </c>
      <c r="AD44" s="490" t="str">
        <f>IF(Z44&lt;&gt;"熱","",非_熱供給事業者!$T$4)</f>
        <v/>
      </c>
      <c r="AE44" s="490" t="str">
        <f>IF(Z44&lt;&gt;"熱","",IF(ISERROR(VLOOKUP(D44&amp;F44,非_熱供給事業者!$S$8:$T$100,2,FALSE)),"要記入",VLOOKUP(D44&amp;F44,非_熱供給事業者!$S$8:$T$100,2,FALSE)))</f>
        <v/>
      </c>
      <c r="AF44" s="490" t="str">
        <f>IF(Z44&lt;&gt;"都市ガス","",非_都市ガス事業者!$AB$4)</f>
        <v/>
      </c>
      <c r="AG44" s="490" t="str">
        <f>IF(Z44&lt;&gt;"都市ガス","",IF(ISERROR(VLOOKUP(D44&amp;F44,非_都市ガス事業者!$AA$8:$AB$100,2,FALSE)),"要記入",VLOOKUP(D44&amp;F44,非_都市ガス事業者!$AA$8:$AB$100,2,FALSE)))</f>
        <v/>
      </c>
      <c r="AH44" s="490" t="str">
        <f t="shared" si="1"/>
        <v/>
      </c>
      <c r="AI44" s="490" t="str">
        <f t="shared" si="48"/>
        <v/>
      </c>
      <c r="AJ44" s="490" t="b">
        <f t="shared" si="12"/>
        <v>1</v>
      </c>
      <c r="AK44" s="490" t="str">
        <f>IF(Q44="","",VLOOKUP(Q44,非_単位補正換算!$B$3:$C$16,2,FALSE))</f>
        <v/>
      </c>
      <c r="AL44" s="490" t="str">
        <f>IF(Z44="","",IF(Z44&lt;&gt;"都市ガス",1,IF(G44="","",SUMIFS(非_単位補正換算!$D$52:$D$63,非_単位補正換算!$B$52:$B$63,"都市ガス"&amp;G44,非_単位補正換算!$C$52:$C$63,'13電気・熱_都市ガス'!Q44))))</f>
        <v/>
      </c>
      <c r="AM44" s="490" t="str">
        <f t="shared" si="13"/>
        <v/>
      </c>
      <c r="AN44" s="490" t="str">
        <f t="shared" si="2"/>
        <v/>
      </c>
      <c r="AO44" s="490" t="str">
        <f t="shared" si="3"/>
        <v/>
      </c>
      <c r="AP44" s="490" t="str">
        <f>IF(C44="","",VLOOKUP(C44,非_まとめ表行番号!$F$3:$H$12,2,FALSE))</f>
        <v/>
      </c>
      <c r="AQ44" s="490" t="b">
        <f t="shared" si="14"/>
        <v>1</v>
      </c>
      <c r="AR44" s="490" t="str">
        <f>IF(Z44="","",IF(Z44&lt;&gt;"都市ガス",1,非_係数!$G$55))</f>
        <v/>
      </c>
      <c r="AS44" s="490" t="str">
        <f t="shared" si="49"/>
        <v/>
      </c>
      <c r="AT44" s="490" t="str">
        <f t="shared" si="4"/>
        <v/>
      </c>
      <c r="AU44" s="490" t="str">
        <f>IF(C44="","",VLOOKUP(C44,非_係数!$B$42:$K$55,9,FALSE))</f>
        <v/>
      </c>
      <c r="AV44" s="490" t="str">
        <f t="shared" si="50"/>
        <v/>
      </c>
      <c r="AW44" s="490" t="str">
        <f>IF(C44="","",VLOOKUP(C44,非_まとめ表行番号!$F$3:$H$12,3,FALSE))</f>
        <v/>
      </c>
      <c r="AX44" s="490" t="str">
        <f t="shared" si="5"/>
        <v/>
      </c>
      <c r="AZ44" s="490" t="str">
        <f>IF(AP44="","",VLOOKUP(AP44,非_まとめ表行番号!$U$3:$V$56,2,FALSE))</f>
        <v/>
      </c>
      <c r="BA44" s="490" t="str">
        <f t="shared" si="17"/>
        <v/>
      </c>
      <c r="BB44" s="490" t="str">
        <f t="shared" si="17"/>
        <v/>
      </c>
      <c r="BC44" s="490" t="str">
        <f t="shared" si="18"/>
        <v/>
      </c>
      <c r="BD44" s="490" t="str">
        <f t="shared" si="19"/>
        <v/>
      </c>
      <c r="BE44" s="490" t="str">
        <f t="shared" si="20"/>
        <v/>
      </c>
      <c r="BF44" s="490" t="str">
        <f t="shared" si="20"/>
        <v/>
      </c>
      <c r="BG44" s="490" t="str">
        <f t="shared" si="21"/>
        <v/>
      </c>
      <c r="BH44" s="490" t="str">
        <f t="shared" si="22"/>
        <v/>
      </c>
      <c r="BI44" s="84">
        <v>3</v>
      </c>
    </row>
    <row r="45" spans="1:61" ht="18.75" customHeight="1">
      <c r="A45" s="586"/>
      <c r="B45" s="622"/>
      <c r="C45" s="623"/>
      <c r="D45" s="623"/>
      <c r="E45" s="596"/>
      <c r="F45" s="623"/>
      <c r="G45" s="401"/>
      <c r="H45" s="179" t="str">
        <f>IF(Z45&lt;&gt;"都市ガス","",IF(ISERROR(VLOOKUP(D45,非_都市ガス事業者!$O$8:$P$100,2,FALSE)),"",VLOOKUP(D45,非_都市ガス事業者!$O$8:$P$100,2,FALSE)))</f>
        <v/>
      </c>
      <c r="I45" s="402" t="str">
        <f>IF(Z45&lt;&gt;"都市ガス","",非_都市ガス事業者!$P$4)</f>
        <v/>
      </c>
      <c r="J45" s="178" t="str">
        <f>IF(C45="","",IF(Z45&lt;&gt;"都市ガス",VLOOKUP(C45,非_係数!$B$42:$D$55,2,FALSE),""))</f>
        <v/>
      </c>
      <c r="K45" s="596"/>
      <c r="L45" s="503" t="str">
        <f t="shared" si="6"/>
        <v/>
      </c>
      <c r="M45" s="214" t="str">
        <f t="shared" si="51"/>
        <v/>
      </c>
      <c r="N45" s="623"/>
      <c r="O45" s="404"/>
      <c r="P45" s="401"/>
      <c r="Q45" s="623"/>
      <c r="R45" s="669"/>
      <c r="S45" s="670"/>
      <c r="T45" s="671" t="str">
        <f t="shared" si="23"/>
        <v/>
      </c>
      <c r="U45" s="459" t="str">
        <f t="shared" si="45"/>
        <v/>
      </c>
      <c r="V45" s="455" t="str">
        <f>IF(C45="","",VLOOKUP(C45,非_単位!$N$38:$O$53,2,FALSE))</f>
        <v/>
      </c>
      <c r="W45" s="450" t="str">
        <f t="shared" si="46"/>
        <v/>
      </c>
      <c r="X45" s="450" t="str">
        <f t="shared" si="47"/>
        <v/>
      </c>
      <c r="Z45" s="490" t="str">
        <f t="shared" si="0"/>
        <v/>
      </c>
      <c r="AA45" s="490" t="str">
        <f>IF(B45="","",IF(B45=非_燃料種類_選択リスト!$I$3,"一般送配電_種類",IF(B45=非_燃料種類_選択リスト!$I$4,"一般送配電以外_種類",IF(B45=非_燃料種類_選択リスト!$I$5,"熱_種類",IF(B45=非_燃料種類_選択リスト!$I$6,"都市ガス_種類","")))))</f>
        <v/>
      </c>
      <c r="AB45" s="490" t="str">
        <f>IF(Z45&lt;&gt;"電気","",非_電気事業者!$S$4*1000)</f>
        <v/>
      </c>
      <c r="AC45" s="490" t="str">
        <f>IF(Z45&lt;&gt;"電気","",IF(ISERROR(VLOOKUP(D45&amp;F45,非_電気事業者!$R$9:$S$1500,2,FALSE)),"要記入",VLOOKUP(D45&amp;F45,非_電気事業者!$R$9:$S$1500,2,FALSE)*1000))</f>
        <v/>
      </c>
      <c r="AD45" s="490" t="str">
        <f>IF(Z45&lt;&gt;"熱","",非_熱供給事業者!$T$4)</f>
        <v/>
      </c>
      <c r="AE45" s="490" t="str">
        <f>IF(Z45&lt;&gt;"熱","",IF(ISERROR(VLOOKUP(D45&amp;F45,非_熱供給事業者!$S$8:$T$100,2,FALSE)),"要記入",VLOOKUP(D45&amp;F45,非_熱供給事業者!$S$8:$T$100,2,FALSE)))</f>
        <v/>
      </c>
      <c r="AF45" s="490" t="str">
        <f>IF(Z45&lt;&gt;"都市ガス","",非_都市ガス事業者!$AB$4)</f>
        <v/>
      </c>
      <c r="AG45" s="490" t="str">
        <f>IF(Z45&lt;&gt;"都市ガス","",IF(ISERROR(VLOOKUP(D45&amp;F45,非_都市ガス事業者!$AA$8:$AB$100,2,FALSE)),"要記入",VLOOKUP(D45&amp;F45,非_都市ガス事業者!$AA$8:$AB$100,2,FALSE)))</f>
        <v/>
      </c>
      <c r="AH45" s="490" t="str">
        <f t="shared" si="1"/>
        <v/>
      </c>
      <c r="AI45" s="490" t="str">
        <f t="shared" si="48"/>
        <v/>
      </c>
      <c r="AJ45" s="490" t="b">
        <f t="shared" si="12"/>
        <v>1</v>
      </c>
      <c r="AK45" s="490" t="str">
        <f>IF(Q45="","",VLOOKUP(Q45,非_単位補正換算!$B$3:$C$16,2,FALSE))</f>
        <v/>
      </c>
      <c r="AL45" s="490" t="str">
        <f>IF(Z45="","",IF(Z45&lt;&gt;"都市ガス",1,IF(G45="","",SUMIFS(非_単位補正換算!$D$52:$D$63,非_単位補正換算!$B$52:$B$63,"都市ガス"&amp;G45,非_単位補正換算!$C$52:$C$63,'13電気・熱_都市ガス'!Q45))))</f>
        <v/>
      </c>
      <c r="AM45" s="490" t="str">
        <f t="shared" si="13"/>
        <v/>
      </c>
      <c r="AN45" s="490" t="str">
        <f t="shared" si="2"/>
        <v/>
      </c>
      <c r="AO45" s="490" t="str">
        <f t="shared" si="3"/>
        <v/>
      </c>
      <c r="AP45" s="490" t="str">
        <f>IF(C45="","",VLOOKUP(C45,非_まとめ表行番号!$F$3:$H$12,2,FALSE))</f>
        <v/>
      </c>
      <c r="AQ45" s="490" t="b">
        <f t="shared" si="14"/>
        <v>1</v>
      </c>
      <c r="AR45" s="490" t="str">
        <f>IF(Z45="","",IF(Z45&lt;&gt;"都市ガス",1,非_係数!$G$55))</f>
        <v/>
      </c>
      <c r="AS45" s="490" t="str">
        <f t="shared" si="49"/>
        <v/>
      </c>
      <c r="AT45" s="490" t="str">
        <f t="shared" si="4"/>
        <v/>
      </c>
      <c r="AU45" s="490" t="str">
        <f>IF(C45="","",VLOOKUP(C45,非_係数!$B$42:$K$55,9,FALSE))</f>
        <v/>
      </c>
      <c r="AV45" s="490" t="str">
        <f t="shared" si="50"/>
        <v/>
      </c>
      <c r="AW45" s="490" t="str">
        <f>IF(C45="","",VLOOKUP(C45,非_まとめ表行番号!$F$3:$H$12,3,FALSE))</f>
        <v/>
      </c>
      <c r="AX45" s="490" t="str">
        <f t="shared" si="5"/>
        <v/>
      </c>
      <c r="AZ45" s="490" t="str">
        <f>IF(AP45="","",VLOOKUP(AP45,非_まとめ表行番号!$U$3:$V$56,2,FALSE))</f>
        <v/>
      </c>
      <c r="BA45" s="490" t="str">
        <f t="shared" si="17"/>
        <v/>
      </c>
      <c r="BB45" s="490" t="str">
        <f t="shared" si="17"/>
        <v/>
      </c>
      <c r="BC45" s="490" t="str">
        <f t="shared" si="18"/>
        <v/>
      </c>
      <c r="BD45" s="490" t="str">
        <f t="shared" si="19"/>
        <v/>
      </c>
      <c r="BE45" s="490" t="str">
        <f t="shared" si="20"/>
        <v/>
      </c>
      <c r="BF45" s="490" t="str">
        <f t="shared" si="20"/>
        <v/>
      </c>
      <c r="BG45" s="490" t="str">
        <f t="shared" si="21"/>
        <v/>
      </c>
      <c r="BH45" s="490" t="str">
        <f t="shared" si="22"/>
        <v/>
      </c>
      <c r="BI45" s="84">
        <v>3</v>
      </c>
    </row>
    <row r="46" spans="1:61" ht="18.75" customHeight="1" thickBot="1">
      <c r="A46" s="586"/>
      <c r="B46" s="622"/>
      <c r="C46" s="623"/>
      <c r="D46" s="623"/>
      <c r="E46" s="596"/>
      <c r="F46" s="623"/>
      <c r="G46" s="401"/>
      <c r="H46" s="179" t="str">
        <f>IF(Z46&lt;&gt;"都市ガス","",IF(ISERROR(VLOOKUP(D46,非_都市ガス事業者!$O$8:$P$100,2,FALSE)),"",VLOOKUP(D46,非_都市ガス事業者!$O$8:$P$100,2,FALSE)))</f>
        <v/>
      </c>
      <c r="I46" s="402" t="str">
        <f>IF(Z46&lt;&gt;"都市ガス","",非_都市ガス事業者!$P$4)</f>
        <v/>
      </c>
      <c r="J46" s="178" t="str">
        <f>IF(C46="","",IF(Z46&lt;&gt;"都市ガス",VLOOKUP(C46,非_係数!$B$42:$D$55,2,FALSE),""))</f>
        <v/>
      </c>
      <c r="K46" s="596"/>
      <c r="L46" s="665" t="str">
        <f t="shared" si="6"/>
        <v/>
      </c>
      <c r="M46" s="655" t="str">
        <f t="shared" si="51"/>
        <v/>
      </c>
      <c r="N46" s="623"/>
      <c r="O46" s="404"/>
      <c r="P46" s="401"/>
      <c r="Q46" s="623"/>
      <c r="R46" s="672"/>
      <c r="S46" s="673"/>
      <c r="T46" s="674" t="str">
        <f t="shared" si="23"/>
        <v/>
      </c>
      <c r="U46" s="678" t="str">
        <f t="shared" si="45"/>
        <v/>
      </c>
      <c r="V46" s="679" t="str">
        <f>IF(C46="","",VLOOKUP(C46,非_単位!$N$38:$O$53,2,FALSE))</f>
        <v/>
      </c>
      <c r="W46" s="658" t="str">
        <f t="shared" si="46"/>
        <v/>
      </c>
      <c r="X46" s="658" t="str">
        <f t="shared" si="47"/>
        <v/>
      </c>
      <c r="Z46" s="490" t="str">
        <f t="shared" si="0"/>
        <v/>
      </c>
      <c r="AA46" s="490" t="str">
        <f>IF(B46="","",IF(B46=非_燃料種類_選択リスト!$I$3,"一般送配電_種類",IF(B46=非_燃料種類_選択リスト!$I$4,"一般送配電以外_種類",IF(B46=非_燃料種類_選択リスト!$I$5,"熱_種類",IF(B46=非_燃料種類_選択リスト!$I$6,"都市ガス_種類","")))))</f>
        <v/>
      </c>
      <c r="AB46" s="490" t="str">
        <f>IF(Z46&lt;&gt;"電気","",非_電気事業者!$S$4*1000)</f>
        <v/>
      </c>
      <c r="AC46" s="490" t="str">
        <f>IF(Z46&lt;&gt;"電気","",IF(ISERROR(VLOOKUP(D46&amp;F46,非_電気事業者!$R$9:$S$1500,2,FALSE)),"要記入",VLOOKUP(D46&amp;F46,非_電気事業者!$R$9:$S$1500,2,FALSE)*1000))</f>
        <v/>
      </c>
      <c r="AD46" s="490" t="str">
        <f>IF(Z46&lt;&gt;"熱","",非_熱供給事業者!$T$4)</f>
        <v/>
      </c>
      <c r="AE46" s="490" t="str">
        <f>IF(Z46&lt;&gt;"熱","",IF(ISERROR(VLOOKUP(D46&amp;F46,非_熱供給事業者!$S$8:$T$100,2,FALSE)),"要記入",VLOOKUP(D46&amp;F46,非_熱供給事業者!$S$8:$T$100,2,FALSE)))</f>
        <v/>
      </c>
      <c r="AF46" s="490" t="str">
        <f>IF(Z46&lt;&gt;"都市ガス","",非_都市ガス事業者!$AB$4)</f>
        <v/>
      </c>
      <c r="AG46" s="490" t="str">
        <f>IF(Z46&lt;&gt;"都市ガス","",IF(ISERROR(VLOOKUP(D46&amp;F46,非_都市ガス事業者!$AA$8:$AB$100,2,FALSE)),"要記入",VLOOKUP(D46&amp;F46,非_都市ガス事業者!$AA$8:$AB$100,2,FALSE)))</f>
        <v/>
      </c>
      <c r="AH46" s="490" t="str">
        <f t="shared" si="1"/>
        <v/>
      </c>
      <c r="AI46" s="490" t="str">
        <f t="shared" si="48"/>
        <v/>
      </c>
      <c r="AJ46" s="490" t="b">
        <f t="shared" si="12"/>
        <v>1</v>
      </c>
      <c r="AK46" s="490" t="str">
        <f>IF(Q46="","",VLOOKUP(Q46,非_単位補正換算!$B$3:$C$16,2,FALSE))</f>
        <v/>
      </c>
      <c r="AL46" s="490" t="str">
        <f>IF(Z46="","",IF(Z46&lt;&gt;"都市ガス",1,IF(G46="","",SUMIFS(非_単位補正換算!$D$52:$D$63,非_単位補正換算!$B$52:$B$63,"都市ガス"&amp;G46,非_単位補正換算!$C$52:$C$63,'13電気・熱_都市ガス'!Q46))))</f>
        <v/>
      </c>
      <c r="AM46" s="490" t="str">
        <f t="shared" si="13"/>
        <v/>
      </c>
      <c r="AN46" s="490" t="str">
        <f t="shared" si="2"/>
        <v/>
      </c>
      <c r="AO46" s="490" t="str">
        <f t="shared" si="3"/>
        <v/>
      </c>
      <c r="AP46" s="490" t="str">
        <f>IF(C46="","",VLOOKUP(C46,非_まとめ表行番号!$F$3:$H$12,2,FALSE))</f>
        <v/>
      </c>
      <c r="AQ46" s="490" t="b">
        <f t="shared" si="14"/>
        <v>1</v>
      </c>
      <c r="AR46" s="490" t="str">
        <f>IF(Z46="","",IF(Z46&lt;&gt;"都市ガス",1,非_係数!$G$55))</f>
        <v/>
      </c>
      <c r="AS46" s="490" t="str">
        <f t="shared" si="49"/>
        <v/>
      </c>
      <c r="AT46" s="490" t="str">
        <f t="shared" si="4"/>
        <v/>
      </c>
      <c r="AU46" s="490" t="str">
        <f>IF(C46="","",VLOOKUP(C46,非_係数!$B$42:$K$55,9,FALSE))</f>
        <v/>
      </c>
      <c r="AV46" s="490" t="str">
        <f t="shared" si="50"/>
        <v/>
      </c>
      <c r="AW46" s="490" t="str">
        <f>IF(C46="","",VLOOKUP(C46,非_まとめ表行番号!$F$3:$H$12,3,FALSE))</f>
        <v/>
      </c>
      <c r="AX46" s="490" t="str">
        <f t="shared" si="5"/>
        <v/>
      </c>
      <c r="AZ46" s="490" t="str">
        <f>IF(AP46="","",VLOOKUP(AP46,非_まとめ表行番号!$U$3:$V$56,2,FALSE))</f>
        <v/>
      </c>
      <c r="BA46" s="490" t="str">
        <f t="shared" si="17"/>
        <v/>
      </c>
      <c r="BB46" s="490" t="str">
        <f t="shared" si="17"/>
        <v/>
      </c>
      <c r="BC46" s="490" t="str">
        <f t="shared" si="18"/>
        <v/>
      </c>
      <c r="BD46" s="490" t="str">
        <f t="shared" si="19"/>
        <v/>
      </c>
      <c r="BE46" s="490" t="str">
        <f t="shared" si="20"/>
        <v/>
      </c>
      <c r="BF46" s="490" t="str">
        <f t="shared" si="20"/>
        <v/>
      </c>
      <c r="BG46" s="490" t="str">
        <f t="shared" si="21"/>
        <v/>
      </c>
      <c r="BH46" s="490" t="str">
        <f t="shared" si="22"/>
        <v/>
      </c>
      <c r="BI46" s="84">
        <v>3</v>
      </c>
    </row>
    <row r="47" spans="1:61" ht="18" customHeight="1" thickTop="1" thickBot="1">
      <c r="A47" s="631"/>
      <c r="B47" s="1177" t="s">
        <v>2473</v>
      </c>
      <c r="C47" s="325"/>
      <c r="D47" s="325"/>
      <c r="E47" s="325"/>
      <c r="F47" s="325"/>
      <c r="G47" s="325"/>
      <c r="H47" s="325"/>
      <c r="I47" s="325"/>
      <c r="J47" s="325"/>
      <c r="K47" s="325"/>
      <c r="L47" s="325"/>
      <c r="M47" s="325"/>
      <c r="N47" s="325"/>
      <c r="O47" s="325"/>
      <c r="P47" s="325"/>
      <c r="Q47" s="325"/>
      <c r="R47" s="325"/>
      <c r="S47" s="325"/>
      <c r="T47" s="325"/>
      <c r="U47" s="325"/>
      <c r="V47" s="325"/>
      <c r="W47" s="325"/>
      <c r="X47" s="325"/>
      <c r="AA47" s="495"/>
      <c r="AZ47" s="495"/>
      <c r="BA47" s="495"/>
      <c r="BB47" s="495"/>
      <c r="BC47" s="495"/>
      <c r="BD47" s="495"/>
      <c r="BE47" s="495"/>
      <c r="BF47" s="495"/>
      <c r="BG47" s="495"/>
      <c r="BH47" s="495"/>
    </row>
    <row r="48" spans="1:61" ht="18.75" customHeight="1" thickTop="1">
      <c r="A48" s="581" t="s">
        <v>2052</v>
      </c>
      <c r="B48" s="510"/>
      <c r="C48" s="400"/>
      <c r="D48" s="400"/>
      <c r="E48" s="401"/>
      <c r="F48" s="400"/>
      <c r="G48" s="401"/>
      <c r="H48" s="179" t="str">
        <f>IF(Z48&lt;&gt;"都市ガス","",IF(ISERROR(VLOOKUP(D48,非_都市ガス事業者!$O$8:$P$100,2,FALSE)),"",VLOOKUP(D48,非_都市ガス事業者!$O$8:$P$100,2,FALSE)))</f>
        <v/>
      </c>
      <c r="I48" s="402" t="str">
        <f>IF(Z48&lt;&gt;"都市ガス","",非_都市ガス事業者!$P$4)</f>
        <v/>
      </c>
      <c r="J48" s="520" t="str">
        <f>IF(C48="","",IF(COUNTIFS(C48,"*自ら生成*")&gt;0,"要記入",IF(Z48&lt;&gt;"都市ガス",VLOOKUP(C48,非_係数!$B$42:$D$55,2,FALSE),"")))</f>
        <v/>
      </c>
      <c r="K48" s="401"/>
      <c r="L48" s="503" t="str">
        <f>AH48</f>
        <v/>
      </c>
      <c r="M48" s="213" t="str">
        <f>AI48</f>
        <v/>
      </c>
      <c r="N48" s="400"/>
      <c r="O48" s="403"/>
      <c r="P48" s="401"/>
      <c r="Q48" s="400"/>
      <c r="R48" s="476"/>
      <c r="S48" s="530"/>
      <c r="T48" s="531" t="str">
        <f>IF(R48="","",IF(S48="",R48,R48*S48))</f>
        <v/>
      </c>
      <c r="U48" s="451" t="str">
        <f>IF(AM48="","",-1*AM48)</f>
        <v/>
      </c>
      <c r="V48" s="452" t="str">
        <f>IF(C48="","",VLOOKUP(C48,非_単位!$N$38:$O$53,2,FALSE))</f>
        <v/>
      </c>
      <c r="W48" s="453" t="str">
        <f>IF(AN48="","",-1*AN48)</f>
        <v/>
      </c>
      <c r="X48" s="439" t="str">
        <f>IF(AO48="","",-1*AO48)</f>
        <v/>
      </c>
      <c r="Z48" s="490" t="str">
        <f t="shared" ref="Z48:Z72" si="52">IF(C48="","",IF(LEFT(C48,2)="電気","電気",IF(LEFT(C48,1)="熱","熱",IF(LEFT(C48,4)="都市ガス","都市ガス"))))</f>
        <v/>
      </c>
      <c r="AA48" s="490" t="str">
        <f>IF(B48="","",IF(B48=非_燃料種類_選択リスト!$I$13,"外部供給_種類","外部供給以外_種類"))</f>
        <v/>
      </c>
      <c r="AB48" s="490" t="str">
        <f>IF(Z48&lt;&gt;"電気","",非_電気事業者!$S$4*1000)</f>
        <v/>
      </c>
      <c r="AC48" s="490" t="str">
        <f>IF(Z48&lt;&gt;"電気","",IF(ISERROR(VLOOKUP(D48&amp;F48,非_電気事業者!$R$9:$S$1500,2,FALSE)),"要記入",VLOOKUP(D48&amp;F48,非_電気事業者!$R$9:$S$1500,2,FALSE)*1000))</f>
        <v/>
      </c>
      <c r="AD48" s="490" t="str">
        <f>IF(Z48&lt;&gt;"熱","",非_熱供給事業者!$T$4)</f>
        <v/>
      </c>
      <c r="AE48" s="490" t="str">
        <f>IF(Z48&lt;&gt;"熱","",IF(ISERROR(VLOOKUP(D48&amp;F48,非_熱供給事業者!$S$8:$T$100,2,FALSE)),"要記入",VLOOKUP(D48&amp;F48,非_熱供給事業者!$S$8:$T$100,2,FALSE)))</f>
        <v/>
      </c>
      <c r="AF48" s="490" t="str">
        <f>IF(Z48&lt;&gt;"都市ガス","",非_都市ガス事業者!$AB$4)</f>
        <v/>
      </c>
      <c r="AG48" s="490" t="str">
        <f>IF(Z48&lt;&gt;"都市ガス","",IF(ISERROR(VLOOKUP(D48&amp;F48,非_都市ガス事業者!$AA$8:$AB$100,2,FALSE)),"要記入",VLOOKUP(D48&amp;F48,非_都市ガス事業者!$AA$8:$AB$100,2,FALSE)))</f>
        <v/>
      </c>
      <c r="AH48" s="490" t="str">
        <f t="shared" ref="AH48:AH72" si="53">IF(Z48="","",IF(Z48="電気",IF(K48="国代替値",AB48,IF(K48="国公表値",AC48,"要記入")),IF(Z48="熱",IF(K48="国代替値",AD48,IF(K48="国公表値",AE48,"要記入")),IF(Z48="都市ガス",IF(K48="国代替値",AF48,IF(K48="国公表値",AG48,"要記入"))))))</f>
        <v/>
      </c>
      <c r="AI48" s="490" t="str">
        <f>IF(Z48="電気","t-CO2/千kWh",IF(Z48="熱","t-CO2/GJ",IF(Z48="都市ガス","t-CO2/千m3(SATP)","")))</f>
        <v/>
      </c>
      <c r="AJ48" s="490" t="b">
        <f t="shared" si="12"/>
        <v>1</v>
      </c>
      <c r="AK48" s="490" t="str">
        <f>IF(Q48="","",VLOOKUP(Q48,非_単位補正換算!$B$3:$C$16,2,FALSE))</f>
        <v/>
      </c>
      <c r="AL48" s="490" t="str">
        <f>IF(Z48="","",IF(Z48&lt;&gt;"都市ガス",1,IF(G48="","",SUMIFS(非_単位補正換算!$D$52:$D$63,非_単位補正換算!$B$52:$B$63,"都市ガス"&amp;G48,非_単位補正換算!$C$52:$C$63,'13電気・熱_都市ガス'!Q48))))</f>
        <v/>
      </c>
      <c r="AM48" s="490" t="str">
        <f>IF(AND(Q48&lt;&gt;"",T48&lt;&gt;"",AK48&lt;&gt;"",AL48&lt;&gt;""),-1*T48/AK48*AL48,"")</f>
        <v/>
      </c>
      <c r="AN48" s="490" t="str">
        <f t="shared" ref="AN48:AN72" si="54">IF(AND(Z48&lt;&gt;"",AM48&lt;&gt;""),IF(COUNTIFS(C48,"*自ら生成*")&gt;0,AM48*J48,IF(Z48&lt;&gt;"都市ガス",AM48*J48,IF(I48&gt;0,AM48*I48,""))),"")</f>
        <v/>
      </c>
      <c r="AO48" s="490" t="str">
        <f t="shared" ref="AO48:AO72" si="55">IF(AM48="","",IF(ISNUMBER(L48),AM48*L48,""))</f>
        <v/>
      </c>
      <c r="AP48" s="490" t="str">
        <f>IF(C48="","",VLOOKUP(C48,非_まとめ表行番号!$F$3:$H$12,2,FALSE))</f>
        <v/>
      </c>
      <c r="AQ48" s="490" t="b">
        <f t="shared" si="14"/>
        <v>1</v>
      </c>
      <c r="AR48" s="490" t="str">
        <f>IF(Z48="","",IF(Z48&lt;&gt;"都市ガス",1,非_係数!$G$55))</f>
        <v/>
      </c>
      <c r="AS48" s="490" t="str">
        <f>IF(AM48="","",AM48*AR48)</f>
        <v/>
      </c>
      <c r="AT48" s="490" t="str">
        <f t="shared" ref="AT48:AT72" si="56">IF(Z48="都市ガス",IF(AS48="","",H48*AS48),"")</f>
        <v/>
      </c>
      <c r="AU48" s="490" t="str">
        <f>IF(C48="","",IF(COUNTIFS(C48,"*自ら生成*")&gt;0,L48,VLOOKUP(C48,非_係数!$B$42:$K$55,9,FALSE)))</f>
        <v/>
      </c>
      <c r="AV48" s="490" t="str">
        <f t="shared" si="16"/>
        <v/>
      </c>
      <c r="AW48" s="490" t="str">
        <f>IF(C48="","",VLOOKUP(C48,非_まとめ表行番号!$F$3:$H$12,3,FALSE))</f>
        <v/>
      </c>
      <c r="AX48" s="490" t="str">
        <f t="shared" ref="AX48:AX72" si="57">IF(P48="無","乗率_除外する排出量","")</f>
        <v/>
      </c>
      <c r="AZ48" s="490" t="str">
        <f>IF(AP48="","",VLOOKUP(AP48,非_まとめ表行番号!$U$3:$V$56,2,FALSE))</f>
        <v/>
      </c>
      <c r="BA48" s="490" t="str">
        <f>IF(D48="","",D48)</f>
        <v/>
      </c>
      <c r="BB48" s="490" t="str">
        <f t="shared" ref="BB48:BB71" si="58">IF(E48="","",E48)</f>
        <v/>
      </c>
      <c r="BC48" s="490" t="str">
        <f t="shared" si="18"/>
        <v/>
      </c>
      <c r="BD48" s="490" t="str">
        <f t="shared" si="19"/>
        <v/>
      </c>
      <c r="BE48" s="490" t="str">
        <f t="shared" ref="BE48:BF63" si="59">IF(K48="","",K48)</f>
        <v/>
      </c>
      <c r="BF48" s="490" t="str">
        <f t="shared" si="59"/>
        <v/>
      </c>
      <c r="BG48" s="490" t="str">
        <f t="shared" si="21"/>
        <v/>
      </c>
      <c r="BH48" s="490" t="str">
        <f t="shared" si="22"/>
        <v/>
      </c>
      <c r="BI48" s="84">
        <f t="shared" ref="BI48:BI72" si="60">IFERROR(MATCH(Z48,$AJ$3:$AL$3,0),0)</f>
        <v>0</v>
      </c>
    </row>
    <row r="49" spans="1:61" ht="18.75" customHeight="1">
      <c r="A49" s="581"/>
      <c r="B49" s="510"/>
      <c r="C49" s="400"/>
      <c r="D49" s="400"/>
      <c r="E49" s="401"/>
      <c r="F49" s="400"/>
      <c r="G49" s="401"/>
      <c r="H49" s="179" t="str">
        <f>IF(Z49&lt;&gt;"都市ガス","",IF(ISERROR(VLOOKUP(D49,非_都市ガス事業者!$O$8:$P$100,2,FALSE)),"",VLOOKUP(D49,非_都市ガス事業者!$O$8:$P$100,2,FALSE)))</f>
        <v/>
      </c>
      <c r="I49" s="402" t="str">
        <f>IF(Z49&lt;&gt;"都市ガス","",非_都市ガス事業者!$P$4)</f>
        <v/>
      </c>
      <c r="J49" s="520" t="str">
        <f>IF(C49="","",IF(COUNTIFS(C49,"*自ら生成*")&gt;0,"要記入",IF(Z49&lt;&gt;"都市ガス",VLOOKUP(C49,非_係数!$B$42:$D$55,2,FALSE),"")))</f>
        <v/>
      </c>
      <c r="K49" s="401"/>
      <c r="L49" s="87" t="str">
        <f t="shared" ref="L49:L72" si="61">AH49</f>
        <v/>
      </c>
      <c r="M49" s="214" t="str">
        <f t="shared" ref="M49:M72" si="62">AI49</f>
        <v/>
      </c>
      <c r="N49" s="400"/>
      <c r="O49" s="404"/>
      <c r="P49" s="401"/>
      <c r="Q49" s="400"/>
      <c r="R49" s="477"/>
      <c r="S49" s="509"/>
      <c r="T49" s="541" t="str">
        <f>IF(R49="","",IF(S49="",R49,R49*S49))</f>
        <v/>
      </c>
      <c r="U49" s="451" t="str">
        <f t="shared" ref="U49:U72" si="63">IF(AM49="","",-1*AM49)</f>
        <v/>
      </c>
      <c r="V49" s="452" t="str">
        <f>IF(C49="","",VLOOKUP(C49,非_単位!$N$38:$O$53,2,FALSE))</f>
        <v/>
      </c>
      <c r="W49" s="450" t="str">
        <f t="shared" ref="W49:W72" si="64">IF(AN49="","",-1*AN49)</f>
        <v/>
      </c>
      <c r="X49" s="454" t="str">
        <f t="shared" ref="X49:X72" si="65">IF(AO49="","",-1*AO49)</f>
        <v/>
      </c>
      <c r="Z49" s="490" t="str">
        <f t="shared" si="52"/>
        <v/>
      </c>
      <c r="AA49" s="490" t="str">
        <f>IF(B49="","",IF(B49=非_燃料種類_選択リスト!$I$13,"外部供給_種類","外部供給以外_種類"))</f>
        <v/>
      </c>
      <c r="AB49" s="490" t="str">
        <f>IF(Z49&lt;&gt;"電気","",非_電気事業者!$S$4*1000)</f>
        <v/>
      </c>
      <c r="AC49" s="490" t="str">
        <f>IF(Z49&lt;&gt;"電気","",IF(ISERROR(VLOOKUP(D49&amp;F49,非_電気事業者!$R$9:$S$1500,2,FALSE)),"要記入",VLOOKUP(D49&amp;F49,非_電気事業者!$R$9:$S$1500,2,FALSE)*1000))</f>
        <v/>
      </c>
      <c r="AD49" s="490" t="str">
        <f>IF(Z49&lt;&gt;"熱","",非_熱供給事業者!$T$4)</f>
        <v/>
      </c>
      <c r="AE49" s="490" t="str">
        <f>IF(Z49&lt;&gt;"熱","",IF(ISERROR(VLOOKUP(D49&amp;F49,非_熱供給事業者!$S$8:$T$100,2,FALSE)),"要記入",VLOOKUP(D49&amp;F49,非_熱供給事業者!$S$8:$T$100,2,FALSE)))</f>
        <v/>
      </c>
      <c r="AF49" s="490" t="str">
        <f>IF(Z49&lt;&gt;"都市ガス","",非_都市ガス事業者!$AB$4)</f>
        <v/>
      </c>
      <c r="AG49" s="490" t="str">
        <f>IF(Z49&lt;&gt;"都市ガス","",IF(ISERROR(VLOOKUP(D49&amp;F49,非_都市ガス事業者!$AA$8:$AB$100,2,FALSE)),"要記入",VLOOKUP(D49&amp;F49,非_都市ガス事業者!$AA$8:$AB$100,2,FALSE)))</f>
        <v/>
      </c>
      <c r="AH49" s="490" t="str">
        <f t="shared" si="53"/>
        <v/>
      </c>
      <c r="AI49" s="490" t="str">
        <f t="shared" ref="AI49:AI72" si="66">IF(Z49="電気","t-CO2/千kWh",IF(Z49="熱","t-CO2/GJ",IF(Z49="都市ガス","t-CO2/千m3(SATP)","")))</f>
        <v/>
      </c>
      <c r="AJ49" s="490" t="b">
        <f t="shared" si="12"/>
        <v>1</v>
      </c>
      <c r="AK49" s="490" t="str">
        <f>IF(Q49="","",VLOOKUP(Q49,非_単位補正換算!$B$3:$C$16,2,FALSE))</f>
        <v/>
      </c>
      <c r="AL49" s="490" t="str">
        <f>IF(Z49="","",IF(Z49&lt;&gt;"都市ガス",1,IF(G49="","",SUMIFS(非_単位補正換算!$D$52:$D$63,非_単位補正換算!$B$52:$B$63,"都市ガス"&amp;G49,非_単位補正換算!$C$52:$C$63,'13電気・熱_都市ガス'!Q49))))</f>
        <v/>
      </c>
      <c r="AM49" s="490" t="str">
        <f t="shared" ref="AM49:AM72" si="67">IF(AND(Q49&lt;&gt;"",T49&lt;&gt;"",AK49&lt;&gt;"",AL49&lt;&gt;""),-1*T49/AK49*AL49,"")</f>
        <v/>
      </c>
      <c r="AN49" s="490" t="str">
        <f t="shared" si="54"/>
        <v/>
      </c>
      <c r="AO49" s="490" t="str">
        <f t="shared" si="55"/>
        <v/>
      </c>
      <c r="AP49" s="490" t="str">
        <f>IF(C49="","",VLOOKUP(C49,非_まとめ表行番号!$F$3:$H$12,2,FALSE))</f>
        <v/>
      </c>
      <c r="AQ49" s="490" t="b">
        <f t="shared" si="14"/>
        <v>1</v>
      </c>
      <c r="AR49" s="490" t="str">
        <f>IF(Z49="","",IF(Z49&lt;&gt;"都市ガス",1,非_係数!$G$55))</f>
        <v/>
      </c>
      <c r="AS49" s="490" t="str">
        <f t="shared" ref="AS49:AS72" si="68">IF(AM49="","",AM49*AR49)</f>
        <v/>
      </c>
      <c r="AT49" s="490" t="str">
        <f t="shared" si="56"/>
        <v/>
      </c>
      <c r="AU49" s="490" t="str">
        <f>IF(C49="","",IF(COUNTIFS(C49,"*自ら生成*")&gt;0,L49,VLOOKUP(C49,非_係数!$B$42:$K$55,9,FALSE)))</f>
        <v/>
      </c>
      <c r="AV49" s="490" t="str">
        <f t="shared" si="16"/>
        <v/>
      </c>
      <c r="AW49" s="490" t="str">
        <f>IF(C49="","",VLOOKUP(C49,非_まとめ表行番号!$F$3:$H$12,3,FALSE))</f>
        <v/>
      </c>
      <c r="AX49" s="490" t="str">
        <f t="shared" si="57"/>
        <v/>
      </c>
      <c r="AZ49" s="490" t="str">
        <f>IF(AP49="","",VLOOKUP(AP49,非_まとめ表行番号!$U$3:$V$56,2,FALSE))</f>
        <v/>
      </c>
      <c r="BA49" s="490" t="str">
        <f t="shared" ref="BA49:BB72" si="69">IF(D49="","",D49)</f>
        <v/>
      </c>
      <c r="BB49" s="490" t="str">
        <f t="shared" si="58"/>
        <v/>
      </c>
      <c r="BC49" s="490" t="str">
        <f t="shared" si="18"/>
        <v/>
      </c>
      <c r="BD49" s="490" t="str">
        <f t="shared" si="19"/>
        <v/>
      </c>
      <c r="BE49" s="490" t="str">
        <f t="shared" si="59"/>
        <v/>
      </c>
      <c r="BF49" s="490" t="str">
        <f t="shared" si="59"/>
        <v/>
      </c>
      <c r="BG49" s="490" t="str">
        <f t="shared" si="21"/>
        <v/>
      </c>
      <c r="BH49" s="490" t="str">
        <f t="shared" si="22"/>
        <v/>
      </c>
      <c r="BI49" s="84">
        <f t="shared" si="60"/>
        <v>0</v>
      </c>
    </row>
    <row r="50" spans="1:61" ht="18.75" customHeight="1">
      <c r="A50" s="581"/>
      <c r="B50" s="510"/>
      <c r="C50" s="400"/>
      <c r="D50" s="400"/>
      <c r="E50" s="401"/>
      <c r="F50" s="400"/>
      <c r="G50" s="401"/>
      <c r="H50" s="179" t="str">
        <f>IF(Z50&lt;&gt;"都市ガス","",IF(ISERROR(VLOOKUP(D50,非_都市ガス事業者!$O$8:$P$100,2,FALSE)),"",VLOOKUP(D50,非_都市ガス事業者!$O$8:$P$100,2,FALSE)))</f>
        <v/>
      </c>
      <c r="I50" s="402" t="str">
        <f>IF(Z50&lt;&gt;"都市ガス","",非_都市ガス事業者!$P$4)</f>
        <v/>
      </c>
      <c r="J50" s="520" t="str">
        <f>IF(C50="","",IF(COUNTIFS(C50,"*自ら生成*")&gt;0,"要記入",IF(Z50&lt;&gt;"都市ガス",VLOOKUP(C50,非_係数!$B$42:$D$55,2,FALSE),"")))</f>
        <v/>
      </c>
      <c r="K50" s="401"/>
      <c r="L50" s="87" t="str">
        <f t="shared" si="61"/>
        <v/>
      </c>
      <c r="M50" s="214" t="str">
        <f t="shared" si="62"/>
        <v/>
      </c>
      <c r="N50" s="400"/>
      <c r="O50" s="404"/>
      <c r="P50" s="401"/>
      <c r="Q50" s="400"/>
      <c r="R50" s="477"/>
      <c r="S50" s="509"/>
      <c r="T50" s="450" t="str">
        <f t="shared" ref="T50:T72" si="70">IF(R50="","",IF(S50="",R50,R50*S50))</f>
        <v/>
      </c>
      <c r="U50" s="451" t="str">
        <f t="shared" si="63"/>
        <v/>
      </c>
      <c r="V50" s="452" t="str">
        <f>IF(C50="","",VLOOKUP(C50,非_単位!$N$38:$O$53,2,FALSE))</f>
        <v/>
      </c>
      <c r="W50" s="450" t="str">
        <f t="shared" si="64"/>
        <v/>
      </c>
      <c r="X50" s="454" t="str">
        <f t="shared" si="65"/>
        <v/>
      </c>
      <c r="Z50" s="490" t="str">
        <f t="shared" si="52"/>
        <v/>
      </c>
      <c r="AA50" s="490" t="str">
        <f>IF(B50="","",IF(B50=非_燃料種類_選択リスト!$I$13,"外部供給_種類","外部供給以外_種類"))</f>
        <v/>
      </c>
      <c r="AB50" s="490" t="str">
        <f>IF(Z50&lt;&gt;"電気","",非_電気事業者!$S$4*1000)</f>
        <v/>
      </c>
      <c r="AC50" s="490" t="str">
        <f>IF(Z50&lt;&gt;"電気","",IF(ISERROR(VLOOKUP(D50&amp;F50,非_電気事業者!$R$9:$S$1500,2,FALSE)),"要記入",VLOOKUP(D50&amp;F50,非_電気事業者!$R$9:$S$1500,2,FALSE)*1000))</f>
        <v/>
      </c>
      <c r="AD50" s="490" t="str">
        <f>IF(Z50&lt;&gt;"熱","",非_熱供給事業者!$T$4)</f>
        <v/>
      </c>
      <c r="AE50" s="490" t="str">
        <f>IF(Z50&lt;&gt;"熱","",IF(ISERROR(VLOOKUP(D50&amp;F50,非_熱供給事業者!$S$8:$T$100,2,FALSE)),"要記入",VLOOKUP(D50&amp;F50,非_熱供給事業者!$S$8:$T$100,2,FALSE)))</f>
        <v/>
      </c>
      <c r="AF50" s="490" t="str">
        <f>IF(Z50&lt;&gt;"都市ガス","",非_都市ガス事業者!$AB$4)</f>
        <v/>
      </c>
      <c r="AG50" s="490" t="str">
        <f>IF(Z50&lt;&gt;"都市ガス","",IF(ISERROR(VLOOKUP(D50&amp;F50,非_都市ガス事業者!$AA$8:$AB$100,2,FALSE)),"要記入",VLOOKUP(D50&amp;F50,非_都市ガス事業者!$AA$8:$AB$100,2,FALSE)))</f>
        <v/>
      </c>
      <c r="AH50" s="490" t="str">
        <f t="shared" si="53"/>
        <v/>
      </c>
      <c r="AI50" s="490" t="str">
        <f t="shared" si="66"/>
        <v/>
      </c>
      <c r="AJ50" s="490" t="b">
        <f t="shared" si="12"/>
        <v>1</v>
      </c>
      <c r="AK50" s="490" t="str">
        <f>IF(Q50="","",VLOOKUP(Q50,非_単位補正換算!$B$3:$C$16,2,FALSE))</f>
        <v/>
      </c>
      <c r="AL50" s="490" t="str">
        <f>IF(Z50="","",IF(Z50&lt;&gt;"都市ガス",1,IF(G50="","",SUMIFS(非_単位補正換算!$D$52:$D$63,非_単位補正換算!$B$52:$B$63,"都市ガス"&amp;G50,非_単位補正換算!$C$52:$C$63,'13電気・熱_都市ガス'!Q50))))</f>
        <v/>
      </c>
      <c r="AM50" s="490" t="str">
        <f t="shared" si="67"/>
        <v/>
      </c>
      <c r="AN50" s="490" t="str">
        <f t="shared" si="54"/>
        <v/>
      </c>
      <c r="AO50" s="490" t="str">
        <f t="shared" si="55"/>
        <v/>
      </c>
      <c r="AP50" s="490" t="str">
        <f>IF(C50="","",VLOOKUP(C50,非_まとめ表行番号!$F$3:$H$12,2,FALSE))</f>
        <v/>
      </c>
      <c r="AQ50" s="490" t="b">
        <f t="shared" si="14"/>
        <v>1</v>
      </c>
      <c r="AR50" s="490" t="str">
        <f>IF(Z50="","",IF(Z50&lt;&gt;"都市ガス",1,非_係数!$G$55))</f>
        <v/>
      </c>
      <c r="AS50" s="490" t="str">
        <f t="shared" si="68"/>
        <v/>
      </c>
      <c r="AT50" s="490" t="str">
        <f t="shared" si="56"/>
        <v/>
      </c>
      <c r="AU50" s="490" t="str">
        <f>IF(C50="","",IF(COUNTIFS(C50,"*自ら生成*")&gt;0,L50,VLOOKUP(C50,非_係数!$B$42:$K$55,9,FALSE)))</f>
        <v/>
      </c>
      <c r="AV50" s="490" t="str">
        <f t="shared" si="16"/>
        <v/>
      </c>
      <c r="AW50" s="490" t="str">
        <f>IF(C50="","",VLOOKUP(C50,非_まとめ表行番号!$F$3:$H$12,3,FALSE))</f>
        <v/>
      </c>
      <c r="AX50" s="490" t="str">
        <f t="shared" si="57"/>
        <v/>
      </c>
      <c r="AZ50" s="490" t="str">
        <f>IF(AP50="","",VLOOKUP(AP50,非_まとめ表行番号!$U$3:$V$56,2,FALSE))</f>
        <v/>
      </c>
      <c r="BA50" s="490" t="str">
        <f t="shared" si="69"/>
        <v/>
      </c>
      <c r="BB50" s="490" t="str">
        <f t="shared" si="58"/>
        <v/>
      </c>
      <c r="BC50" s="490" t="str">
        <f t="shared" si="18"/>
        <v/>
      </c>
      <c r="BD50" s="490" t="str">
        <f t="shared" si="19"/>
        <v/>
      </c>
      <c r="BE50" s="490" t="str">
        <f t="shared" si="59"/>
        <v/>
      </c>
      <c r="BF50" s="490" t="str">
        <f t="shared" si="59"/>
        <v/>
      </c>
      <c r="BG50" s="490" t="str">
        <f t="shared" si="21"/>
        <v/>
      </c>
      <c r="BH50" s="490" t="str">
        <f t="shared" si="22"/>
        <v/>
      </c>
      <c r="BI50" s="84">
        <f t="shared" si="60"/>
        <v>0</v>
      </c>
    </row>
    <row r="51" spans="1:61" ht="18.75" customHeight="1">
      <c r="A51" s="581"/>
      <c r="B51" s="510"/>
      <c r="C51" s="400"/>
      <c r="D51" s="400"/>
      <c r="E51" s="401"/>
      <c r="F51" s="400"/>
      <c r="G51" s="401"/>
      <c r="H51" s="179" t="str">
        <f>IF(Z51&lt;&gt;"都市ガス","",IF(ISERROR(VLOOKUP(D51,非_都市ガス事業者!$O$8:$P$100,2,FALSE)),"",VLOOKUP(D51,非_都市ガス事業者!$O$8:$P$100,2,FALSE)))</f>
        <v/>
      </c>
      <c r="I51" s="402" t="str">
        <f>IF(Z51&lt;&gt;"都市ガス","",非_都市ガス事業者!$P$4)</f>
        <v/>
      </c>
      <c r="J51" s="520" t="str">
        <f>IF(C51="","",IF(COUNTIFS(C51,"*自ら生成*")&gt;0,"要記入",IF(Z51&lt;&gt;"都市ガス",VLOOKUP(C51,非_係数!$B$42:$D$55,2,FALSE),"")))</f>
        <v/>
      </c>
      <c r="K51" s="401"/>
      <c r="L51" s="87" t="str">
        <f t="shared" si="61"/>
        <v/>
      </c>
      <c r="M51" s="214" t="str">
        <f t="shared" si="62"/>
        <v/>
      </c>
      <c r="N51" s="400"/>
      <c r="O51" s="404"/>
      <c r="P51" s="401"/>
      <c r="Q51" s="400"/>
      <c r="R51" s="477"/>
      <c r="S51" s="509"/>
      <c r="T51" s="450" t="str">
        <f t="shared" si="70"/>
        <v/>
      </c>
      <c r="U51" s="451" t="str">
        <f t="shared" si="63"/>
        <v/>
      </c>
      <c r="V51" s="452" t="str">
        <f>IF(C51="","",VLOOKUP(C51,非_単位!$N$38:$O$53,2,FALSE))</f>
        <v/>
      </c>
      <c r="W51" s="450" t="str">
        <f t="shared" si="64"/>
        <v/>
      </c>
      <c r="X51" s="454" t="str">
        <f t="shared" si="65"/>
        <v/>
      </c>
      <c r="Z51" s="490" t="str">
        <f t="shared" si="52"/>
        <v/>
      </c>
      <c r="AA51" s="490" t="str">
        <f>IF(B51="","",IF(B51=非_燃料種類_選択リスト!$I$13,"外部供給_種類","外部供給以外_種類"))</f>
        <v/>
      </c>
      <c r="AB51" s="490" t="str">
        <f>IF(Z51&lt;&gt;"電気","",非_電気事業者!$S$4*1000)</f>
        <v/>
      </c>
      <c r="AC51" s="490" t="str">
        <f>IF(Z51&lt;&gt;"電気","",IF(ISERROR(VLOOKUP(D51&amp;F51,非_電気事業者!$R$9:$S$1500,2,FALSE)),"要記入",VLOOKUP(D51&amp;F51,非_電気事業者!$R$9:$S$1500,2,FALSE)*1000))</f>
        <v/>
      </c>
      <c r="AD51" s="490" t="str">
        <f>IF(Z51&lt;&gt;"熱","",非_熱供給事業者!$T$4)</f>
        <v/>
      </c>
      <c r="AE51" s="490" t="str">
        <f>IF(Z51&lt;&gt;"熱","",IF(ISERROR(VLOOKUP(D51&amp;F51,非_熱供給事業者!$S$8:$T$100,2,FALSE)),"要記入",VLOOKUP(D51&amp;F51,非_熱供給事業者!$S$8:$T$100,2,FALSE)))</f>
        <v/>
      </c>
      <c r="AF51" s="490" t="str">
        <f>IF(Z51&lt;&gt;"都市ガス","",非_都市ガス事業者!$AB$4)</f>
        <v/>
      </c>
      <c r="AG51" s="490" t="str">
        <f>IF(Z51&lt;&gt;"都市ガス","",IF(ISERROR(VLOOKUP(D51&amp;F51,非_都市ガス事業者!$AA$8:$AB$100,2,FALSE)),"要記入",VLOOKUP(D51&amp;F51,非_都市ガス事業者!$AA$8:$AB$100,2,FALSE)))</f>
        <v/>
      </c>
      <c r="AH51" s="490" t="str">
        <f t="shared" si="53"/>
        <v/>
      </c>
      <c r="AI51" s="490" t="str">
        <f t="shared" si="66"/>
        <v/>
      </c>
      <c r="AJ51" s="490" t="b">
        <f t="shared" si="12"/>
        <v>1</v>
      </c>
      <c r="AK51" s="490" t="str">
        <f>IF(Q51="","",VLOOKUP(Q51,非_単位補正換算!$B$3:$C$16,2,FALSE))</f>
        <v/>
      </c>
      <c r="AL51" s="490" t="str">
        <f>IF(Z51="","",IF(Z51&lt;&gt;"都市ガス",1,IF(G51="","",SUMIFS(非_単位補正換算!$D$52:$D$63,非_単位補正換算!$B$52:$B$63,"都市ガス"&amp;G51,非_単位補正換算!$C$52:$C$63,'13電気・熱_都市ガス'!Q51))))</f>
        <v/>
      </c>
      <c r="AM51" s="490" t="str">
        <f t="shared" si="67"/>
        <v/>
      </c>
      <c r="AN51" s="490" t="str">
        <f t="shared" si="54"/>
        <v/>
      </c>
      <c r="AO51" s="490" t="str">
        <f t="shared" si="55"/>
        <v/>
      </c>
      <c r="AP51" s="490" t="str">
        <f>IF(C51="","",VLOOKUP(C51,非_まとめ表行番号!$F$3:$H$12,2,FALSE))</f>
        <v/>
      </c>
      <c r="AQ51" s="490" t="b">
        <f t="shared" si="14"/>
        <v>1</v>
      </c>
      <c r="AR51" s="490" t="str">
        <f>IF(Z51="","",IF(Z51&lt;&gt;"都市ガス",1,非_係数!$G$55))</f>
        <v/>
      </c>
      <c r="AS51" s="490" t="str">
        <f t="shared" si="68"/>
        <v/>
      </c>
      <c r="AT51" s="490" t="str">
        <f t="shared" si="56"/>
        <v/>
      </c>
      <c r="AU51" s="490" t="str">
        <f>IF(C51="","",IF(COUNTIFS(C51,"*自ら生成*")&gt;0,L51,VLOOKUP(C51,非_係数!$B$42:$K$55,9,FALSE)))</f>
        <v/>
      </c>
      <c r="AV51" s="490" t="str">
        <f t="shared" si="16"/>
        <v/>
      </c>
      <c r="AW51" s="490" t="str">
        <f>IF(C51="","",VLOOKUP(C51,非_まとめ表行番号!$F$3:$H$12,3,FALSE))</f>
        <v/>
      </c>
      <c r="AX51" s="490" t="str">
        <f t="shared" si="57"/>
        <v/>
      </c>
      <c r="AZ51" s="490" t="str">
        <f>IF(AP51="","",VLOOKUP(AP51,非_まとめ表行番号!$U$3:$V$56,2,FALSE))</f>
        <v/>
      </c>
      <c r="BA51" s="490" t="str">
        <f t="shared" si="69"/>
        <v/>
      </c>
      <c r="BB51" s="490" t="str">
        <f t="shared" si="58"/>
        <v/>
      </c>
      <c r="BC51" s="490" t="str">
        <f t="shared" si="18"/>
        <v/>
      </c>
      <c r="BD51" s="490" t="str">
        <f t="shared" si="19"/>
        <v/>
      </c>
      <c r="BE51" s="490" t="str">
        <f t="shared" si="59"/>
        <v/>
      </c>
      <c r="BF51" s="490" t="str">
        <f t="shared" si="59"/>
        <v/>
      </c>
      <c r="BG51" s="490" t="str">
        <f t="shared" si="21"/>
        <v/>
      </c>
      <c r="BH51" s="490" t="str">
        <f t="shared" si="22"/>
        <v/>
      </c>
      <c r="BI51" s="84">
        <f t="shared" si="60"/>
        <v>0</v>
      </c>
    </row>
    <row r="52" spans="1:61" ht="18.75" customHeight="1">
      <c r="A52" s="581"/>
      <c r="B52" s="510"/>
      <c r="C52" s="400"/>
      <c r="D52" s="400"/>
      <c r="E52" s="401"/>
      <c r="F52" s="400"/>
      <c r="G52" s="401"/>
      <c r="H52" s="179" t="str">
        <f>IF(Z52&lt;&gt;"都市ガス","",IF(ISERROR(VLOOKUP(D52,非_都市ガス事業者!$O$8:$P$100,2,FALSE)),"",VLOOKUP(D52,非_都市ガス事業者!$O$8:$P$100,2,FALSE)))</f>
        <v/>
      </c>
      <c r="I52" s="402" t="str">
        <f>IF(Z52&lt;&gt;"都市ガス","",非_都市ガス事業者!$P$4)</f>
        <v/>
      </c>
      <c r="J52" s="520" t="str">
        <f>IF(C52="","",IF(COUNTIFS(C52,"*自ら生成*")&gt;0,"要記入",IF(Z52&lt;&gt;"都市ガス",VLOOKUP(C52,非_係数!$B$42:$D$55,2,FALSE),"")))</f>
        <v/>
      </c>
      <c r="K52" s="401"/>
      <c r="L52" s="87" t="str">
        <f t="shared" si="61"/>
        <v/>
      </c>
      <c r="M52" s="214" t="str">
        <f t="shared" si="62"/>
        <v/>
      </c>
      <c r="N52" s="400"/>
      <c r="O52" s="404"/>
      <c r="P52" s="401"/>
      <c r="Q52" s="400"/>
      <c r="R52" s="477"/>
      <c r="S52" s="509"/>
      <c r="T52" s="450" t="str">
        <f t="shared" si="70"/>
        <v/>
      </c>
      <c r="U52" s="451" t="str">
        <f t="shared" si="63"/>
        <v/>
      </c>
      <c r="V52" s="452" t="str">
        <f>IF(C52="","",VLOOKUP(C52,非_単位!$N$38:$O$53,2,FALSE))</f>
        <v/>
      </c>
      <c r="W52" s="450" t="str">
        <f t="shared" si="64"/>
        <v/>
      </c>
      <c r="X52" s="454" t="str">
        <f t="shared" si="65"/>
        <v/>
      </c>
      <c r="Z52" s="490" t="str">
        <f t="shared" si="52"/>
        <v/>
      </c>
      <c r="AA52" s="490" t="str">
        <f>IF(B52="","",IF(B52=非_燃料種類_選択リスト!$I$13,"外部供給_種類","外部供給以外_種類"))</f>
        <v/>
      </c>
      <c r="AB52" s="490" t="str">
        <f>IF(Z52&lt;&gt;"電気","",非_電気事業者!$S$4*1000)</f>
        <v/>
      </c>
      <c r="AC52" s="490" t="str">
        <f>IF(Z52&lt;&gt;"電気","",IF(ISERROR(VLOOKUP(D52&amp;F52,非_電気事業者!$R$9:$S$1500,2,FALSE)),"要記入",VLOOKUP(D52&amp;F52,非_電気事業者!$R$9:$S$1500,2,FALSE)*1000))</f>
        <v/>
      </c>
      <c r="AD52" s="490" t="str">
        <f>IF(Z52&lt;&gt;"熱","",非_熱供給事業者!$T$4)</f>
        <v/>
      </c>
      <c r="AE52" s="490" t="str">
        <f>IF(Z52&lt;&gt;"熱","",IF(ISERROR(VLOOKUP(D52&amp;F52,非_熱供給事業者!$S$8:$T$100,2,FALSE)),"要記入",VLOOKUP(D52&amp;F52,非_熱供給事業者!$S$8:$T$100,2,FALSE)))</f>
        <v/>
      </c>
      <c r="AF52" s="490" t="str">
        <f>IF(Z52&lt;&gt;"都市ガス","",非_都市ガス事業者!$AB$4)</f>
        <v/>
      </c>
      <c r="AG52" s="490" t="str">
        <f>IF(Z52&lt;&gt;"都市ガス","",IF(ISERROR(VLOOKUP(D52&amp;F52,非_都市ガス事業者!$AA$8:$AB$100,2,FALSE)),"要記入",VLOOKUP(D52&amp;F52,非_都市ガス事業者!$AA$8:$AB$100,2,FALSE)))</f>
        <v/>
      </c>
      <c r="AH52" s="490" t="str">
        <f t="shared" si="53"/>
        <v/>
      </c>
      <c r="AI52" s="490" t="str">
        <f t="shared" si="66"/>
        <v/>
      </c>
      <c r="AJ52" s="490" t="b">
        <f t="shared" si="12"/>
        <v>1</v>
      </c>
      <c r="AK52" s="490" t="str">
        <f>IF(Q52="","",VLOOKUP(Q52,非_単位補正換算!$B$3:$C$16,2,FALSE))</f>
        <v/>
      </c>
      <c r="AL52" s="490" t="str">
        <f>IF(Z52="","",IF(Z52&lt;&gt;"都市ガス",1,IF(G52="","",SUMIFS(非_単位補正換算!$D$52:$D$63,非_単位補正換算!$B$52:$B$63,"都市ガス"&amp;G52,非_単位補正換算!$C$52:$C$63,'13電気・熱_都市ガス'!Q52))))</f>
        <v/>
      </c>
      <c r="AM52" s="490" t="str">
        <f t="shared" si="67"/>
        <v/>
      </c>
      <c r="AN52" s="490" t="str">
        <f t="shared" si="54"/>
        <v/>
      </c>
      <c r="AO52" s="490" t="str">
        <f t="shared" si="55"/>
        <v/>
      </c>
      <c r="AP52" s="490" t="str">
        <f>IF(C52="","",VLOOKUP(C52,非_まとめ表行番号!$F$3:$H$12,2,FALSE))</f>
        <v/>
      </c>
      <c r="AQ52" s="490" t="b">
        <f t="shared" si="14"/>
        <v>1</v>
      </c>
      <c r="AR52" s="490" t="str">
        <f>IF(Z52="","",IF(Z52&lt;&gt;"都市ガス",1,非_係数!$G$55))</f>
        <v/>
      </c>
      <c r="AS52" s="490" t="str">
        <f t="shared" si="68"/>
        <v/>
      </c>
      <c r="AT52" s="490" t="str">
        <f t="shared" si="56"/>
        <v/>
      </c>
      <c r="AU52" s="490" t="str">
        <f>IF(C52="","",IF(COUNTIFS(C52,"*自ら生成*")&gt;0,L52,VLOOKUP(C52,非_係数!$B$42:$K$55,9,FALSE)))</f>
        <v/>
      </c>
      <c r="AV52" s="490" t="str">
        <f t="shared" si="16"/>
        <v/>
      </c>
      <c r="AW52" s="490" t="str">
        <f>IF(C52="","",VLOOKUP(C52,非_まとめ表行番号!$F$3:$H$12,3,FALSE))</f>
        <v/>
      </c>
      <c r="AX52" s="490" t="str">
        <f t="shared" si="57"/>
        <v/>
      </c>
      <c r="AZ52" s="490" t="str">
        <f>IF(AP52="","",VLOOKUP(AP52,非_まとめ表行番号!$U$3:$V$56,2,FALSE))</f>
        <v/>
      </c>
      <c r="BA52" s="490" t="str">
        <f t="shared" si="69"/>
        <v/>
      </c>
      <c r="BB52" s="490" t="str">
        <f t="shared" si="58"/>
        <v/>
      </c>
      <c r="BC52" s="490" t="str">
        <f t="shared" si="18"/>
        <v/>
      </c>
      <c r="BD52" s="490" t="str">
        <f t="shared" si="19"/>
        <v/>
      </c>
      <c r="BE52" s="490" t="str">
        <f t="shared" si="59"/>
        <v/>
      </c>
      <c r="BF52" s="490" t="str">
        <f t="shared" si="59"/>
        <v/>
      </c>
      <c r="BG52" s="490" t="str">
        <f t="shared" si="21"/>
        <v/>
      </c>
      <c r="BH52" s="490" t="str">
        <f t="shared" si="22"/>
        <v/>
      </c>
      <c r="BI52" s="84">
        <f t="shared" si="60"/>
        <v>0</v>
      </c>
    </row>
    <row r="53" spans="1:61" ht="18.75" customHeight="1">
      <c r="A53" s="581"/>
      <c r="B53" s="510"/>
      <c r="C53" s="400"/>
      <c r="D53" s="400"/>
      <c r="E53" s="401"/>
      <c r="F53" s="400"/>
      <c r="G53" s="401"/>
      <c r="H53" s="179" t="str">
        <f>IF(Z53&lt;&gt;"都市ガス","",IF(ISERROR(VLOOKUP(D53,非_都市ガス事業者!$O$8:$P$100,2,FALSE)),"",VLOOKUP(D53,非_都市ガス事業者!$O$8:$P$100,2,FALSE)))</f>
        <v/>
      </c>
      <c r="I53" s="402" t="str">
        <f>IF(Z53&lt;&gt;"都市ガス","",非_都市ガス事業者!$P$4)</f>
        <v/>
      </c>
      <c r="J53" s="520" t="str">
        <f>IF(C53="","",IF(COUNTIFS(C53,"*自ら生成*")&gt;0,"要記入",IF(Z53&lt;&gt;"都市ガス",VLOOKUP(C53,非_係数!$B$42:$D$55,2,FALSE),"")))</f>
        <v/>
      </c>
      <c r="K53" s="401"/>
      <c r="L53" s="87" t="str">
        <f t="shared" si="61"/>
        <v/>
      </c>
      <c r="M53" s="214" t="str">
        <f t="shared" si="62"/>
        <v/>
      </c>
      <c r="N53" s="400"/>
      <c r="O53" s="404"/>
      <c r="P53" s="401"/>
      <c r="Q53" s="400"/>
      <c r="R53" s="477"/>
      <c r="S53" s="509"/>
      <c r="T53" s="450" t="str">
        <f t="shared" si="70"/>
        <v/>
      </c>
      <c r="U53" s="451" t="str">
        <f t="shared" si="63"/>
        <v/>
      </c>
      <c r="V53" s="452" t="str">
        <f>IF(C53="","",VLOOKUP(C53,非_単位!$N$38:$O$53,2,FALSE))</f>
        <v/>
      </c>
      <c r="W53" s="450" t="str">
        <f t="shared" si="64"/>
        <v/>
      </c>
      <c r="X53" s="454" t="str">
        <f t="shared" si="65"/>
        <v/>
      </c>
      <c r="Z53" s="490" t="str">
        <f t="shared" si="52"/>
        <v/>
      </c>
      <c r="AA53" s="490" t="str">
        <f>IF(B53="","",IF(B53=非_燃料種類_選択リスト!$I$13,"外部供給_種類","外部供給以外_種類"))</f>
        <v/>
      </c>
      <c r="AB53" s="490" t="str">
        <f>IF(Z53&lt;&gt;"電気","",非_電気事業者!$S$4*1000)</f>
        <v/>
      </c>
      <c r="AC53" s="490" t="str">
        <f>IF(Z53&lt;&gt;"電気","",IF(ISERROR(VLOOKUP(D53&amp;F53,非_電気事業者!$R$9:$S$1500,2,FALSE)),"要記入",VLOOKUP(D53&amp;F53,非_電気事業者!$R$9:$S$1500,2,FALSE)*1000))</f>
        <v/>
      </c>
      <c r="AD53" s="490" t="str">
        <f>IF(Z53&lt;&gt;"熱","",非_熱供給事業者!$T$4)</f>
        <v/>
      </c>
      <c r="AE53" s="490" t="str">
        <f>IF(Z53&lt;&gt;"熱","",IF(ISERROR(VLOOKUP(D53&amp;F53,非_熱供給事業者!$S$8:$T$100,2,FALSE)),"要記入",VLOOKUP(D53&amp;F53,非_熱供給事業者!$S$8:$T$100,2,FALSE)))</f>
        <v/>
      </c>
      <c r="AF53" s="490" t="str">
        <f>IF(Z53&lt;&gt;"都市ガス","",非_都市ガス事業者!$AB$4)</f>
        <v/>
      </c>
      <c r="AG53" s="490" t="str">
        <f>IF(Z53&lt;&gt;"都市ガス","",IF(ISERROR(VLOOKUP(D53&amp;F53,非_都市ガス事業者!$AA$8:$AB$100,2,FALSE)),"要記入",VLOOKUP(D53&amp;F53,非_都市ガス事業者!$AA$8:$AB$100,2,FALSE)))</f>
        <v/>
      </c>
      <c r="AH53" s="490" t="str">
        <f t="shared" si="53"/>
        <v/>
      </c>
      <c r="AI53" s="490" t="str">
        <f t="shared" si="66"/>
        <v/>
      </c>
      <c r="AJ53" s="490" t="b">
        <f t="shared" si="12"/>
        <v>1</v>
      </c>
      <c r="AK53" s="490" t="str">
        <f>IF(Q53="","",VLOOKUP(Q53,非_単位補正換算!$B$3:$C$16,2,FALSE))</f>
        <v/>
      </c>
      <c r="AL53" s="490" t="str">
        <f>IF(Z53="","",IF(Z53&lt;&gt;"都市ガス",1,IF(G53="","",SUMIFS(非_単位補正換算!$D$52:$D$63,非_単位補正換算!$B$52:$B$63,"都市ガス"&amp;G53,非_単位補正換算!$C$52:$C$63,'13電気・熱_都市ガス'!Q53))))</f>
        <v/>
      </c>
      <c r="AM53" s="490" t="str">
        <f t="shared" si="67"/>
        <v/>
      </c>
      <c r="AN53" s="490" t="str">
        <f t="shared" si="54"/>
        <v/>
      </c>
      <c r="AO53" s="490" t="str">
        <f t="shared" si="55"/>
        <v/>
      </c>
      <c r="AP53" s="490" t="str">
        <f>IF(C53="","",VLOOKUP(C53,非_まとめ表行番号!$F$3:$H$12,2,FALSE))</f>
        <v/>
      </c>
      <c r="AQ53" s="490" t="b">
        <f t="shared" si="14"/>
        <v>1</v>
      </c>
      <c r="AR53" s="490" t="str">
        <f>IF(Z53="","",IF(Z53&lt;&gt;"都市ガス",1,非_係数!$G$55))</f>
        <v/>
      </c>
      <c r="AS53" s="490" t="str">
        <f t="shared" si="68"/>
        <v/>
      </c>
      <c r="AT53" s="490" t="str">
        <f t="shared" si="56"/>
        <v/>
      </c>
      <c r="AU53" s="490" t="str">
        <f>IF(C53="","",IF(COUNTIFS(C53,"*自ら生成*")&gt;0,L53,VLOOKUP(C53,非_係数!$B$42:$K$55,9,FALSE)))</f>
        <v/>
      </c>
      <c r="AV53" s="490" t="str">
        <f t="shared" si="16"/>
        <v/>
      </c>
      <c r="AW53" s="490" t="str">
        <f>IF(C53="","",VLOOKUP(C53,非_まとめ表行番号!$F$3:$H$12,3,FALSE))</f>
        <v/>
      </c>
      <c r="AX53" s="490" t="str">
        <f t="shared" si="57"/>
        <v/>
      </c>
      <c r="AZ53" s="490" t="str">
        <f>IF(AP53="","",VLOOKUP(AP53,非_まとめ表行番号!$U$3:$V$56,2,FALSE))</f>
        <v/>
      </c>
      <c r="BA53" s="490" t="str">
        <f t="shared" si="69"/>
        <v/>
      </c>
      <c r="BB53" s="490" t="str">
        <f t="shared" si="58"/>
        <v/>
      </c>
      <c r="BC53" s="490" t="str">
        <f t="shared" si="18"/>
        <v/>
      </c>
      <c r="BD53" s="490" t="str">
        <f t="shared" si="19"/>
        <v/>
      </c>
      <c r="BE53" s="490" t="str">
        <f t="shared" si="59"/>
        <v/>
      </c>
      <c r="BF53" s="490" t="str">
        <f t="shared" si="59"/>
        <v/>
      </c>
      <c r="BG53" s="490" t="str">
        <f t="shared" si="21"/>
        <v/>
      </c>
      <c r="BH53" s="490" t="str">
        <f t="shared" si="22"/>
        <v/>
      </c>
      <c r="BI53" s="84">
        <f t="shared" si="60"/>
        <v>0</v>
      </c>
    </row>
    <row r="54" spans="1:61" ht="18.75" customHeight="1">
      <c r="A54" s="581"/>
      <c r="B54" s="510"/>
      <c r="C54" s="400"/>
      <c r="D54" s="400"/>
      <c r="E54" s="401"/>
      <c r="F54" s="400"/>
      <c r="G54" s="401"/>
      <c r="H54" s="179" t="str">
        <f>IF(Z54&lt;&gt;"都市ガス","",IF(ISERROR(VLOOKUP(D54,非_都市ガス事業者!$O$8:$P$100,2,FALSE)),"",VLOOKUP(D54,非_都市ガス事業者!$O$8:$P$100,2,FALSE)))</f>
        <v/>
      </c>
      <c r="I54" s="402" t="str">
        <f>IF(Z54&lt;&gt;"都市ガス","",非_都市ガス事業者!$P$4)</f>
        <v/>
      </c>
      <c r="J54" s="520" t="str">
        <f>IF(C54="","",IF(COUNTIFS(C54,"*自ら生成*")&gt;0,"要記入",IF(Z54&lt;&gt;"都市ガス",VLOOKUP(C54,非_係数!$B$42:$D$55,2,FALSE),"")))</f>
        <v/>
      </c>
      <c r="K54" s="401"/>
      <c r="L54" s="87" t="str">
        <f t="shared" si="61"/>
        <v/>
      </c>
      <c r="M54" s="214" t="str">
        <f t="shared" si="62"/>
        <v/>
      </c>
      <c r="N54" s="400"/>
      <c r="O54" s="404"/>
      <c r="P54" s="401"/>
      <c r="Q54" s="400"/>
      <c r="R54" s="477"/>
      <c r="S54" s="509"/>
      <c r="T54" s="450" t="str">
        <f t="shared" si="70"/>
        <v/>
      </c>
      <c r="U54" s="451" t="str">
        <f t="shared" si="63"/>
        <v/>
      </c>
      <c r="V54" s="452" t="str">
        <f>IF(C54="","",VLOOKUP(C54,非_単位!$N$38:$O$53,2,FALSE))</f>
        <v/>
      </c>
      <c r="W54" s="450" t="str">
        <f t="shared" si="64"/>
        <v/>
      </c>
      <c r="X54" s="454" t="str">
        <f t="shared" si="65"/>
        <v/>
      </c>
      <c r="Z54" s="490" t="str">
        <f t="shared" si="52"/>
        <v/>
      </c>
      <c r="AA54" s="490" t="str">
        <f>IF(B54="","",IF(B54=非_燃料種類_選択リスト!$I$13,"外部供給_種類","外部供給以外_種類"))</f>
        <v/>
      </c>
      <c r="AB54" s="490" t="str">
        <f>IF(Z54&lt;&gt;"電気","",非_電気事業者!$S$4*1000)</f>
        <v/>
      </c>
      <c r="AC54" s="490" t="str">
        <f>IF(Z54&lt;&gt;"電気","",IF(ISERROR(VLOOKUP(D54&amp;F54,非_電気事業者!$R$9:$S$1500,2,FALSE)),"要記入",VLOOKUP(D54&amp;F54,非_電気事業者!$R$9:$S$1500,2,FALSE)*1000))</f>
        <v/>
      </c>
      <c r="AD54" s="490" t="str">
        <f>IF(Z54&lt;&gt;"熱","",非_熱供給事業者!$T$4)</f>
        <v/>
      </c>
      <c r="AE54" s="490" t="str">
        <f>IF(Z54&lt;&gt;"熱","",IF(ISERROR(VLOOKUP(D54&amp;F54,非_熱供給事業者!$S$8:$T$100,2,FALSE)),"要記入",VLOOKUP(D54&amp;F54,非_熱供給事業者!$S$8:$T$100,2,FALSE)))</f>
        <v/>
      </c>
      <c r="AF54" s="490" t="str">
        <f>IF(Z54&lt;&gt;"都市ガス","",非_都市ガス事業者!$AB$4)</f>
        <v/>
      </c>
      <c r="AG54" s="490" t="str">
        <f>IF(Z54&lt;&gt;"都市ガス","",IF(ISERROR(VLOOKUP(D54&amp;F54,非_都市ガス事業者!$AA$8:$AB$100,2,FALSE)),"要記入",VLOOKUP(D54&amp;F54,非_都市ガス事業者!$AA$8:$AB$100,2,FALSE)))</f>
        <v/>
      </c>
      <c r="AH54" s="490" t="str">
        <f t="shared" si="53"/>
        <v/>
      </c>
      <c r="AI54" s="490" t="str">
        <f t="shared" si="66"/>
        <v/>
      </c>
      <c r="AJ54" s="490" t="b">
        <f t="shared" si="12"/>
        <v>1</v>
      </c>
      <c r="AK54" s="490" t="str">
        <f>IF(Q54="","",VLOOKUP(Q54,非_単位補正換算!$B$3:$C$16,2,FALSE))</f>
        <v/>
      </c>
      <c r="AL54" s="490" t="str">
        <f>IF(Z54="","",IF(Z54&lt;&gt;"都市ガス",1,IF(G54="","",SUMIFS(非_単位補正換算!$D$52:$D$63,非_単位補正換算!$B$52:$B$63,"都市ガス"&amp;G54,非_単位補正換算!$C$52:$C$63,'13電気・熱_都市ガス'!Q54))))</f>
        <v/>
      </c>
      <c r="AM54" s="490" t="str">
        <f t="shared" si="67"/>
        <v/>
      </c>
      <c r="AN54" s="490" t="str">
        <f t="shared" si="54"/>
        <v/>
      </c>
      <c r="AO54" s="490" t="str">
        <f t="shared" si="55"/>
        <v/>
      </c>
      <c r="AP54" s="490" t="str">
        <f>IF(C54="","",VLOOKUP(C54,非_まとめ表行番号!$F$3:$H$12,2,FALSE))</f>
        <v/>
      </c>
      <c r="AQ54" s="490" t="b">
        <f t="shared" si="14"/>
        <v>1</v>
      </c>
      <c r="AR54" s="490" t="str">
        <f>IF(Z54="","",IF(Z54&lt;&gt;"都市ガス",1,非_係数!$G$55))</f>
        <v/>
      </c>
      <c r="AS54" s="490" t="str">
        <f t="shared" si="68"/>
        <v/>
      </c>
      <c r="AT54" s="490" t="str">
        <f t="shared" si="56"/>
        <v/>
      </c>
      <c r="AU54" s="490" t="str">
        <f>IF(C54="","",VLOOKUP(C54,非_係数!$B$42:$K$55,9,FALSE))</f>
        <v/>
      </c>
      <c r="AV54" s="490" t="str">
        <f t="shared" si="16"/>
        <v/>
      </c>
      <c r="AW54" s="490" t="str">
        <f>IF(C54="","",VLOOKUP(C54,非_まとめ表行番号!$F$3:$H$12,3,FALSE))</f>
        <v/>
      </c>
      <c r="AX54" s="490" t="str">
        <f t="shared" si="57"/>
        <v/>
      </c>
      <c r="AZ54" s="490" t="str">
        <f>IF(AP54="","",VLOOKUP(AP54,非_まとめ表行番号!$U$3:$V$56,2,FALSE))</f>
        <v/>
      </c>
      <c r="BA54" s="490" t="str">
        <f t="shared" si="69"/>
        <v/>
      </c>
      <c r="BB54" s="490" t="str">
        <f t="shared" si="58"/>
        <v/>
      </c>
      <c r="BC54" s="490" t="str">
        <f t="shared" si="18"/>
        <v/>
      </c>
      <c r="BD54" s="490" t="str">
        <f t="shared" si="19"/>
        <v/>
      </c>
      <c r="BE54" s="490" t="str">
        <f t="shared" si="59"/>
        <v/>
      </c>
      <c r="BF54" s="490" t="str">
        <f t="shared" si="59"/>
        <v/>
      </c>
      <c r="BG54" s="490" t="str">
        <f t="shared" si="21"/>
        <v/>
      </c>
      <c r="BH54" s="490" t="str">
        <f t="shared" si="22"/>
        <v/>
      </c>
      <c r="BI54" s="84">
        <f t="shared" si="60"/>
        <v>0</v>
      </c>
    </row>
    <row r="55" spans="1:61" ht="18.75" customHeight="1">
      <c r="A55" s="581"/>
      <c r="B55" s="510"/>
      <c r="C55" s="400"/>
      <c r="D55" s="400"/>
      <c r="E55" s="401"/>
      <c r="F55" s="400"/>
      <c r="G55" s="401"/>
      <c r="H55" s="179" t="str">
        <f>IF(Z55&lt;&gt;"都市ガス","",IF(ISERROR(VLOOKUP(D55,非_都市ガス事業者!$O$8:$P$100,2,FALSE)),"",VLOOKUP(D55,非_都市ガス事業者!$O$8:$P$100,2,FALSE)))</f>
        <v/>
      </c>
      <c r="I55" s="402" t="str">
        <f>IF(Z55&lt;&gt;"都市ガス","",非_都市ガス事業者!$P$4)</f>
        <v/>
      </c>
      <c r="J55" s="520" t="str">
        <f>IF(C55="","",IF(COUNTIFS(C55,"*自ら生成*")&gt;0,"要記入",IF(Z55&lt;&gt;"都市ガス",VLOOKUP(C55,非_係数!$B$42:$D$55,2,FALSE),"")))</f>
        <v/>
      </c>
      <c r="K55" s="401"/>
      <c r="L55" s="87" t="str">
        <f t="shared" si="61"/>
        <v/>
      </c>
      <c r="M55" s="214" t="str">
        <f t="shared" si="62"/>
        <v/>
      </c>
      <c r="N55" s="400"/>
      <c r="O55" s="404"/>
      <c r="P55" s="401"/>
      <c r="Q55" s="400"/>
      <c r="R55" s="477"/>
      <c r="S55" s="509"/>
      <c r="T55" s="450" t="str">
        <f t="shared" si="70"/>
        <v/>
      </c>
      <c r="U55" s="451" t="str">
        <f t="shared" si="63"/>
        <v/>
      </c>
      <c r="V55" s="452" t="str">
        <f>IF(C55="","",VLOOKUP(C55,非_単位!$N$38:$O$53,2,FALSE))</f>
        <v/>
      </c>
      <c r="W55" s="450" t="str">
        <f t="shared" si="64"/>
        <v/>
      </c>
      <c r="X55" s="454" t="str">
        <f t="shared" si="65"/>
        <v/>
      </c>
      <c r="Z55" s="490" t="str">
        <f t="shared" si="52"/>
        <v/>
      </c>
      <c r="AA55" s="490" t="str">
        <f>IF(B55="","",IF(B55=非_燃料種類_選択リスト!$I$13,"外部供給_種類","外部供給以外_種類"))</f>
        <v/>
      </c>
      <c r="AB55" s="490" t="str">
        <f>IF(Z55&lt;&gt;"電気","",非_電気事業者!$S$4*1000)</f>
        <v/>
      </c>
      <c r="AC55" s="490" t="str">
        <f>IF(Z55&lt;&gt;"電気","",IF(ISERROR(VLOOKUP(D55&amp;F55,非_電気事業者!$R$9:$S$1500,2,FALSE)),"要記入",VLOOKUP(D55&amp;F55,非_電気事業者!$R$9:$S$1500,2,FALSE)*1000))</f>
        <v/>
      </c>
      <c r="AD55" s="490" t="str">
        <f>IF(Z55&lt;&gt;"熱","",非_熱供給事業者!$T$4)</f>
        <v/>
      </c>
      <c r="AE55" s="490" t="str">
        <f>IF(Z55&lt;&gt;"熱","",IF(ISERROR(VLOOKUP(D55&amp;F55,非_熱供給事業者!$S$8:$T$100,2,FALSE)),"要記入",VLOOKUP(D55&amp;F55,非_熱供給事業者!$S$8:$T$100,2,FALSE)))</f>
        <v/>
      </c>
      <c r="AF55" s="490" t="str">
        <f>IF(Z55&lt;&gt;"都市ガス","",非_都市ガス事業者!$AB$4)</f>
        <v/>
      </c>
      <c r="AG55" s="490" t="str">
        <f>IF(Z55&lt;&gt;"都市ガス","",IF(ISERROR(VLOOKUP(D55&amp;F55,非_都市ガス事業者!$AA$8:$AB$100,2,FALSE)),"要記入",VLOOKUP(D55&amp;F55,非_都市ガス事業者!$AA$8:$AB$100,2,FALSE)))</f>
        <v/>
      </c>
      <c r="AH55" s="490" t="str">
        <f t="shared" si="53"/>
        <v/>
      </c>
      <c r="AI55" s="490" t="str">
        <f t="shared" si="66"/>
        <v/>
      </c>
      <c r="AJ55" s="490" t="b">
        <f t="shared" si="12"/>
        <v>1</v>
      </c>
      <c r="AK55" s="490" t="str">
        <f>IF(Q55="","",VLOOKUP(Q55,非_単位補正換算!$B$3:$C$16,2,FALSE))</f>
        <v/>
      </c>
      <c r="AL55" s="490" t="str">
        <f>IF(Z55="","",IF(Z55&lt;&gt;"都市ガス",1,IF(G55="","",SUMIFS(非_単位補正換算!$D$52:$D$63,非_単位補正換算!$B$52:$B$63,"都市ガス"&amp;G55,非_単位補正換算!$C$52:$C$63,'13電気・熱_都市ガス'!Q55))))</f>
        <v/>
      </c>
      <c r="AM55" s="490" t="str">
        <f t="shared" si="67"/>
        <v/>
      </c>
      <c r="AN55" s="490" t="str">
        <f t="shared" si="54"/>
        <v/>
      </c>
      <c r="AO55" s="490" t="str">
        <f t="shared" si="55"/>
        <v/>
      </c>
      <c r="AP55" s="490" t="str">
        <f>IF(C55="","",VLOOKUP(C55,非_まとめ表行番号!$F$3:$H$12,2,FALSE))</f>
        <v/>
      </c>
      <c r="AQ55" s="490" t="b">
        <f t="shared" si="14"/>
        <v>1</v>
      </c>
      <c r="AR55" s="490" t="str">
        <f>IF(Z55="","",IF(Z55&lt;&gt;"都市ガス",1,非_係数!$G$55))</f>
        <v/>
      </c>
      <c r="AS55" s="490" t="str">
        <f t="shared" si="68"/>
        <v/>
      </c>
      <c r="AT55" s="490" t="str">
        <f t="shared" si="56"/>
        <v/>
      </c>
      <c r="AU55" s="490" t="str">
        <f>IF(C55="","",VLOOKUP(C55,非_係数!$B$42:$K$55,9,FALSE))</f>
        <v/>
      </c>
      <c r="AV55" s="490" t="str">
        <f t="shared" si="16"/>
        <v/>
      </c>
      <c r="AW55" s="490" t="str">
        <f>IF(C55="","",VLOOKUP(C55,非_まとめ表行番号!$F$3:$H$12,3,FALSE))</f>
        <v/>
      </c>
      <c r="AX55" s="490" t="str">
        <f t="shared" si="57"/>
        <v/>
      </c>
      <c r="AZ55" s="490" t="str">
        <f>IF(AP55="","",VLOOKUP(AP55,非_まとめ表行番号!$U$3:$V$56,2,FALSE))</f>
        <v/>
      </c>
      <c r="BA55" s="490" t="str">
        <f t="shared" si="69"/>
        <v/>
      </c>
      <c r="BB55" s="490" t="str">
        <f t="shared" si="58"/>
        <v/>
      </c>
      <c r="BC55" s="490" t="str">
        <f t="shared" si="18"/>
        <v/>
      </c>
      <c r="BD55" s="490" t="str">
        <f t="shared" si="19"/>
        <v/>
      </c>
      <c r="BE55" s="490" t="str">
        <f t="shared" si="59"/>
        <v/>
      </c>
      <c r="BF55" s="490" t="str">
        <f t="shared" si="59"/>
        <v/>
      </c>
      <c r="BG55" s="490" t="str">
        <f t="shared" si="21"/>
        <v/>
      </c>
      <c r="BH55" s="490" t="str">
        <f t="shared" si="22"/>
        <v/>
      </c>
      <c r="BI55" s="84">
        <f t="shared" si="60"/>
        <v>0</v>
      </c>
    </row>
    <row r="56" spans="1:61" ht="18.75" customHeight="1">
      <c r="A56" s="581"/>
      <c r="B56" s="510"/>
      <c r="C56" s="400"/>
      <c r="D56" s="400"/>
      <c r="E56" s="401"/>
      <c r="F56" s="400"/>
      <c r="G56" s="401"/>
      <c r="H56" s="179" t="str">
        <f>IF(Z56&lt;&gt;"都市ガス","",IF(ISERROR(VLOOKUP(D56,非_都市ガス事業者!$O$8:$P$100,2,FALSE)),"",VLOOKUP(D56,非_都市ガス事業者!$O$8:$P$100,2,FALSE)))</f>
        <v/>
      </c>
      <c r="I56" s="402" t="str">
        <f>IF(Z56&lt;&gt;"都市ガス","",非_都市ガス事業者!$P$4)</f>
        <v/>
      </c>
      <c r="J56" s="520" t="str">
        <f>IF(C56="","",IF(COUNTIFS(C56,"*自ら生成*")&gt;0,"要記入",IF(Z56&lt;&gt;"都市ガス",VLOOKUP(C56,非_係数!$B$42:$D$55,2,FALSE),"")))</f>
        <v/>
      </c>
      <c r="K56" s="401"/>
      <c r="L56" s="87" t="str">
        <f t="shared" si="61"/>
        <v/>
      </c>
      <c r="M56" s="214" t="str">
        <f t="shared" si="62"/>
        <v/>
      </c>
      <c r="N56" s="400"/>
      <c r="O56" s="404"/>
      <c r="P56" s="401"/>
      <c r="Q56" s="400"/>
      <c r="R56" s="477"/>
      <c r="S56" s="509"/>
      <c r="T56" s="450" t="str">
        <f t="shared" si="70"/>
        <v/>
      </c>
      <c r="U56" s="451" t="str">
        <f t="shared" si="63"/>
        <v/>
      </c>
      <c r="V56" s="452" t="str">
        <f>IF(C56="","",VLOOKUP(C56,非_単位!$N$38:$O$53,2,FALSE))</f>
        <v/>
      </c>
      <c r="W56" s="450" t="str">
        <f t="shared" si="64"/>
        <v/>
      </c>
      <c r="X56" s="454" t="str">
        <f t="shared" si="65"/>
        <v/>
      </c>
      <c r="Z56" s="490" t="str">
        <f t="shared" si="52"/>
        <v/>
      </c>
      <c r="AA56" s="490" t="str">
        <f>IF(B56="","",IF(B56=非_燃料種類_選択リスト!$I$13,"外部供給_種類","外部供給以外_種類"))</f>
        <v/>
      </c>
      <c r="AB56" s="490" t="str">
        <f>IF(Z56&lt;&gt;"電気","",非_電気事業者!$S$4*1000)</f>
        <v/>
      </c>
      <c r="AC56" s="490" t="str">
        <f>IF(Z56&lt;&gt;"電気","",IF(ISERROR(VLOOKUP(D56&amp;F56,非_電気事業者!$R$9:$S$1500,2,FALSE)),"要記入",VLOOKUP(D56&amp;F56,非_電気事業者!$R$9:$S$1500,2,FALSE)*1000))</f>
        <v/>
      </c>
      <c r="AD56" s="490" t="str">
        <f>IF(Z56&lt;&gt;"熱","",非_熱供給事業者!$T$4)</f>
        <v/>
      </c>
      <c r="AE56" s="490" t="str">
        <f>IF(Z56&lt;&gt;"熱","",IF(ISERROR(VLOOKUP(D56&amp;F56,非_熱供給事業者!$S$8:$T$100,2,FALSE)),"要記入",VLOOKUP(D56&amp;F56,非_熱供給事業者!$S$8:$T$100,2,FALSE)))</f>
        <v/>
      </c>
      <c r="AF56" s="490" t="str">
        <f>IF(Z56&lt;&gt;"都市ガス","",非_都市ガス事業者!$AB$4)</f>
        <v/>
      </c>
      <c r="AG56" s="490" t="str">
        <f>IF(Z56&lt;&gt;"都市ガス","",IF(ISERROR(VLOOKUP(D56&amp;F56,非_都市ガス事業者!$AA$8:$AB$100,2,FALSE)),"要記入",VLOOKUP(D56&amp;F56,非_都市ガス事業者!$AA$8:$AB$100,2,FALSE)))</f>
        <v/>
      </c>
      <c r="AH56" s="490" t="str">
        <f t="shared" si="53"/>
        <v/>
      </c>
      <c r="AI56" s="490" t="str">
        <f t="shared" si="66"/>
        <v/>
      </c>
      <c r="AJ56" s="490" t="b">
        <f t="shared" si="12"/>
        <v>1</v>
      </c>
      <c r="AK56" s="490" t="str">
        <f>IF(Q56="","",VLOOKUP(Q56,非_単位補正換算!$B$3:$C$16,2,FALSE))</f>
        <v/>
      </c>
      <c r="AL56" s="490" t="str">
        <f>IF(Z56="","",IF(Z56&lt;&gt;"都市ガス",1,IF(G56="","",SUMIFS(非_単位補正換算!$D$52:$D$63,非_単位補正換算!$B$52:$B$63,"都市ガス"&amp;G56,非_単位補正換算!$C$52:$C$63,'13電気・熱_都市ガス'!Q56))))</f>
        <v/>
      </c>
      <c r="AM56" s="490" t="str">
        <f t="shared" si="67"/>
        <v/>
      </c>
      <c r="AN56" s="490" t="str">
        <f t="shared" si="54"/>
        <v/>
      </c>
      <c r="AO56" s="490" t="str">
        <f t="shared" si="55"/>
        <v/>
      </c>
      <c r="AP56" s="490" t="str">
        <f>IF(C56="","",VLOOKUP(C56,非_まとめ表行番号!$F$3:$H$12,2,FALSE))</f>
        <v/>
      </c>
      <c r="AQ56" s="490" t="b">
        <f t="shared" si="14"/>
        <v>1</v>
      </c>
      <c r="AR56" s="490" t="str">
        <f>IF(Z56="","",IF(Z56&lt;&gt;"都市ガス",1,非_係数!$G$55))</f>
        <v/>
      </c>
      <c r="AS56" s="490" t="str">
        <f t="shared" si="68"/>
        <v/>
      </c>
      <c r="AT56" s="490" t="str">
        <f t="shared" si="56"/>
        <v/>
      </c>
      <c r="AU56" s="490" t="str">
        <f>IF(C56="","",VLOOKUP(C56,非_係数!$B$42:$K$55,9,FALSE))</f>
        <v/>
      </c>
      <c r="AV56" s="490" t="str">
        <f t="shared" si="16"/>
        <v/>
      </c>
      <c r="AW56" s="490" t="str">
        <f>IF(C56="","",VLOOKUP(C56,非_まとめ表行番号!$F$3:$H$12,3,FALSE))</f>
        <v/>
      </c>
      <c r="AX56" s="490" t="str">
        <f t="shared" si="57"/>
        <v/>
      </c>
      <c r="AZ56" s="490" t="str">
        <f>IF(AP56="","",VLOOKUP(AP56,非_まとめ表行番号!$U$3:$V$56,2,FALSE))</f>
        <v/>
      </c>
      <c r="BA56" s="490" t="str">
        <f t="shared" si="69"/>
        <v/>
      </c>
      <c r="BB56" s="490" t="str">
        <f t="shared" si="58"/>
        <v/>
      </c>
      <c r="BC56" s="490" t="str">
        <f t="shared" si="18"/>
        <v/>
      </c>
      <c r="BD56" s="490" t="str">
        <f t="shared" si="19"/>
        <v/>
      </c>
      <c r="BE56" s="490" t="str">
        <f t="shared" si="59"/>
        <v/>
      </c>
      <c r="BF56" s="490" t="str">
        <f t="shared" si="59"/>
        <v/>
      </c>
      <c r="BG56" s="490" t="str">
        <f t="shared" si="21"/>
        <v/>
      </c>
      <c r="BH56" s="490" t="str">
        <f t="shared" si="22"/>
        <v/>
      </c>
      <c r="BI56" s="84">
        <f t="shared" si="60"/>
        <v>0</v>
      </c>
    </row>
    <row r="57" spans="1:61" ht="18.75" customHeight="1">
      <c r="A57" s="581"/>
      <c r="B57" s="510"/>
      <c r="C57" s="400"/>
      <c r="D57" s="400"/>
      <c r="E57" s="401"/>
      <c r="F57" s="400"/>
      <c r="G57" s="401"/>
      <c r="H57" s="179" t="str">
        <f>IF(Z57&lt;&gt;"都市ガス","",IF(ISERROR(VLOOKUP(D57,非_都市ガス事業者!$O$8:$P$100,2,FALSE)),"",VLOOKUP(D57,非_都市ガス事業者!$O$8:$P$100,2,FALSE)))</f>
        <v/>
      </c>
      <c r="I57" s="402" t="str">
        <f>IF(Z57&lt;&gt;"都市ガス","",非_都市ガス事業者!$P$4)</f>
        <v/>
      </c>
      <c r="J57" s="520" t="str">
        <f>IF(C57="","",IF(COUNTIFS(C57,"*自ら生成*")&gt;0,"要記入",IF(Z57&lt;&gt;"都市ガス",VLOOKUP(C57,非_係数!$B$42:$D$55,2,FALSE),"")))</f>
        <v/>
      </c>
      <c r="K57" s="401"/>
      <c r="L57" s="87" t="str">
        <f t="shared" si="61"/>
        <v/>
      </c>
      <c r="M57" s="214" t="str">
        <f t="shared" si="62"/>
        <v/>
      </c>
      <c r="N57" s="400"/>
      <c r="O57" s="404"/>
      <c r="P57" s="401"/>
      <c r="Q57" s="400"/>
      <c r="R57" s="477"/>
      <c r="S57" s="509"/>
      <c r="T57" s="450" t="str">
        <f t="shared" si="70"/>
        <v/>
      </c>
      <c r="U57" s="451" t="str">
        <f t="shared" si="63"/>
        <v/>
      </c>
      <c r="V57" s="452" t="str">
        <f>IF(C57="","",VLOOKUP(C57,非_単位!$N$38:$O$53,2,FALSE))</f>
        <v/>
      </c>
      <c r="W57" s="450" t="str">
        <f t="shared" si="64"/>
        <v/>
      </c>
      <c r="X57" s="454" t="str">
        <f t="shared" si="65"/>
        <v/>
      </c>
      <c r="Z57" s="490" t="str">
        <f t="shared" si="52"/>
        <v/>
      </c>
      <c r="AA57" s="490" t="str">
        <f>IF(B57="","",IF(B57=非_燃料種類_選択リスト!$I$13,"外部供給_種類","外部供給以外_種類"))</f>
        <v/>
      </c>
      <c r="AB57" s="490" t="str">
        <f>IF(Z57&lt;&gt;"電気","",非_電気事業者!$S$4*1000)</f>
        <v/>
      </c>
      <c r="AC57" s="490" t="str">
        <f>IF(Z57&lt;&gt;"電気","",IF(ISERROR(VLOOKUP(D57&amp;F57,非_電気事業者!$R$9:$S$1500,2,FALSE)),"要記入",VLOOKUP(D57&amp;F57,非_電気事業者!$R$9:$S$1500,2,FALSE)*1000))</f>
        <v/>
      </c>
      <c r="AD57" s="490" t="str">
        <f>IF(Z57&lt;&gt;"熱","",非_熱供給事業者!$T$4)</f>
        <v/>
      </c>
      <c r="AE57" s="490" t="str">
        <f>IF(Z57&lt;&gt;"熱","",IF(ISERROR(VLOOKUP(D57&amp;F57,非_熱供給事業者!$S$8:$T$100,2,FALSE)),"要記入",VLOOKUP(D57&amp;F57,非_熱供給事業者!$S$8:$T$100,2,FALSE)))</f>
        <v/>
      </c>
      <c r="AF57" s="490" t="str">
        <f>IF(Z57&lt;&gt;"都市ガス","",非_都市ガス事業者!$AB$4)</f>
        <v/>
      </c>
      <c r="AG57" s="490" t="str">
        <f>IF(Z57&lt;&gt;"都市ガス","",IF(ISERROR(VLOOKUP(D57&amp;F57,非_都市ガス事業者!$AA$8:$AB$100,2,FALSE)),"要記入",VLOOKUP(D57&amp;F57,非_都市ガス事業者!$AA$8:$AB$100,2,FALSE)))</f>
        <v/>
      </c>
      <c r="AH57" s="490" t="str">
        <f t="shared" si="53"/>
        <v/>
      </c>
      <c r="AI57" s="490" t="str">
        <f t="shared" si="66"/>
        <v/>
      </c>
      <c r="AJ57" s="490" t="b">
        <f t="shared" si="12"/>
        <v>1</v>
      </c>
      <c r="AK57" s="490" t="str">
        <f>IF(Q57="","",VLOOKUP(Q57,非_単位補正換算!$B$3:$C$16,2,FALSE))</f>
        <v/>
      </c>
      <c r="AL57" s="490" t="str">
        <f>IF(Z57="","",IF(Z57&lt;&gt;"都市ガス",1,IF(G57="","",SUMIFS(非_単位補正換算!$D$52:$D$63,非_単位補正換算!$B$52:$B$63,"都市ガス"&amp;G57,非_単位補正換算!$C$52:$C$63,'13電気・熱_都市ガス'!Q57))))</f>
        <v/>
      </c>
      <c r="AM57" s="490" t="str">
        <f t="shared" si="67"/>
        <v/>
      </c>
      <c r="AN57" s="490" t="str">
        <f t="shared" si="54"/>
        <v/>
      </c>
      <c r="AO57" s="490" t="str">
        <f t="shared" si="55"/>
        <v/>
      </c>
      <c r="AP57" s="490" t="str">
        <f>IF(C57="","",VLOOKUP(C57,非_まとめ表行番号!$F$3:$H$12,2,FALSE))</f>
        <v/>
      </c>
      <c r="AQ57" s="490" t="b">
        <f t="shared" si="14"/>
        <v>1</v>
      </c>
      <c r="AR57" s="490" t="str">
        <f>IF(Z57="","",IF(Z57&lt;&gt;"都市ガス",1,非_係数!$G$55))</f>
        <v/>
      </c>
      <c r="AS57" s="490" t="str">
        <f t="shared" si="68"/>
        <v/>
      </c>
      <c r="AT57" s="490" t="str">
        <f t="shared" si="56"/>
        <v/>
      </c>
      <c r="AU57" s="490" t="str">
        <f>IF(C57="","",VLOOKUP(C57,非_係数!$B$42:$K$55,9,FALSE))</f>
        <v/>
      </c>
      <c r="AV57" s="490" t="str">
        <f t="shared" si="16"/>
        <v/>
      </c>
      <c r="AW57" s="490" t="str">
        <f>IF(C57="","",VLOOKUP(C57,非_まとめ表行番号!$F$3:$H$12,3,FALSE))</f>
        <v/>
      </c>
      <c r="AX57" s="490" t="str">
        <f t="shared" si="57"/>
        <v/>
      </c>
      <c r="AZ57" s="490" t="str">
        <f>IF(AP57="","",VLOOKUP(AP57,非_まとめ表行番号!$U$3:$V$56,2,FALSE))</f>
        <v/>
      </c>
      <c r="BA57" s="490" t="str">
        <f t="shared" si="69"/>
        <v/>
      </c>
      <c r="BB57" s="490" t="str">
        <f t="shared" si="58"/>
        <v/>
      </c>
      <c r="BC57" s="490" t="str">
        <f t="shared" si="18"/>
        <v/>
      </c>
      <c r="BD57" s="490" t="str">
        <f t="shared" si="19"/>
        <v/>
      </c>
      <c r="BE57" s="490" t="str">
        <f t="shared" si="59"/>
        <v/>
      </c>
      <c r="BF57" s="490" t="str">
        <f t="shared" si="59"/>
        <v/>
      </c>
      <c r="BG57" s="490" t="str">
        <f t="shared" si="21"/>
        <v/>
      </c>
      <c r="BH57" s="490" t="str">
        <f t="shared" si="22"/>
        <v/>
      </c>
      <c r="BI57" s="84">
        <f t="shared" si="60"/>
        <v>0</v>
      </c>
    </row>
    <row r="58" spans="1:61" ht="18.75" customHeight="1" thickBot="1">
      <c r="A58" s="628"/>
      <c r="B58" s="633"/>
      <c r="C58" s="611"/>
      <c r="D58" s="611"/>
      <c r="E58" s="618"/>
      <c r="F58" s="611"/>
      <c r="G58" s="401"/>
      <c r="H58" s="179" t="str">
        <f>IF(Z58&lt;&gt;"都市ガス","",IF(ISERROR(VLOOKUP(D58,非_都市ガス事業者!$O$8:$P$100,2,FALSE)),"",VLOOKUP(D58,非_都市ガス事業者!$O$8:$P$100,2,FALSE)))</f>
        <v/>
      </c>
      <c r="I58" s="402" t="str">
        <f>IF(Z58&lt;&gt;"都市ガス","",非_都市ガス事業者!$P$4)</f>
        <v/>
      </c>
      <c r="J58" s="520" t="str">
        <f>IF(C58="","",IF(COUNTIFS(C58,"*自ら生成*")&gt;0,"要記入",IF(Z58&lt;&gt;"都市ガス",VLOOKUP(C58,非_係数!$B$42:$D$55,2,FALSE),"")))</f>
        <v/>
      </c>
      <c r="K58" s="618"/>
      <c r="L58" s="638" t="str">
        <f t="shared" si="61"/>
        <v/>
      </c>
      <c r="M58" s="639" t="str">
        <f t="shared" si="62"/>
        <v/>
      </c>
      <c r="N58" s="611"/>
      <c r="O58" s="405"/>
      <c r="P58" s="618"/>
      <c r="Q58" s="611"/>
      <c r="R58" s="640"/>
      <c r="S58" s="641"/>
      <c r="T58" s="642" t="str">
        <f t="shared" si="70"/>
        <v/>
      </c>
      <c r="U58" s="643" t="str">
        <f t="shared" si="63"/>
        <v/>
      </c>
      <c r="V58" s="458" t="str">
        <f>IF(C58="","",VLOOKUP(C58,非_単位!$N$38:$O$53,2,FALSE))</f>
        <v/>
      </c>
      <c r="W58" s="642" t="str">
        <f t="shared" si="64"/>
        <v/>
      </c>
      <c r="X58" s="644" t="str">
        <f t="shared" si="65"/>
        <v/>
      </c>
      <c r="Z58" s="577" t="str">
        <f t="shared" si="52"/>
        <v/>
      </c>
      <c r="AA58" s="577" t="str">
        <f>IF(B58="","",IF(B58=非_燃料種類_選択リスト!$I$13,"外部供給_種類","外部供給以外_種類"))</f>
        <v/>
      </c>
      <c r="AB58" s="577" t="str">
        <f>IF(Z58&lt;&gt;"電気","",非_電気事業者!$S$4*1000)</f>
        <v/>
      </c>
      <c r="AC58" s="577" t="str">
        <f>IF(Z58&lt;&gt;"電気","",IF(ISERROR(VLOOKUP(D58&amp;F58,非_電気事業者!$R$9:$S$1500,2,FALSE)),"要記入",VLOOKUP(D58&amp;F58,非_電気事業者!$R$9:$S$1500,2,FALSE)*1000))</f>
        <v/>
      </c>
      <c r="AD58" s="577" t="str">
        <f>IF(Z58&lt;&gt;"熱","",非_熱供給事業者!$T$4)</f>
        <v/>
      </c>
      <c r="AE58" s="577" t="str">
        <f>IF(Z58&lt;&gt;"熱","",IF(ISERROR(VLOOKUP(D58&amp;F58,非_熱供給事業者!$S$8:$T$100,2,FALSE)),"要記入",VLOOKUP(D58&amp;F58,非_熱供給事業者!$S$8:$T$100,2,FALSE)))</f>
        <v/>
      </c>
      <c r="AF58" s="577" t="str">
        <f>IF(Z58&lt;&gt;"都市ガス","",非_都市ガス事業者!$AB$4)</f>
        <v/>
      </c>
      <c r="AG58" s="577" t="str">
        <f>IF(Z58&lt;&gt;"都市ガス","",IF(ISERROR(VLOOKUP(D58&amp;F58,非_都市ガス事業者!$AA$8:$AB$100,2,FALSE)),"要記入",VLOOKUP(D58&amp;F58,非_都市ガス事業者!$AA$8:$AB$100,2,FALSE)))</f>
        <v/>
      </c>
      <c r="AH58" s="577" t="str">
        <f t="shared" si="53"/>
        <v/>
      </c>
      <c r="AI58" s="577" t="str">
        <f t="shared" si="66"/>
        <v/>
      </c>
      <c r="AJ58" s="577" t="b">
        <f t="shared" si="12"/>
        <v>1</v>
      </c>
      <c r="AK58" s="577" t="str">
        <f>IF(Q58="","",VLOOKUP(Q58,非_単位補正換算!$B$3:$C$16,2,FALSE))</f>
        <v/>
      </c>
      <c r="AL58" s="577" t="str">
        <f>IF(Z58="","",IF(Z58&lt;&gt;"都市ガス",1,IF(G58="","",SUMIFS(非_単位補正換算!$D$52:$D$63,非_単位補正換算!$B$52:$B$63,"都市ガス"&amp;G58,非_単位補正換算!$C$52:$C$63,'13電気・熱_都市ガス'!Q58))))</f>
        <v/>
      </c>
      <c r="AM58" s="577" t="str">
        <f t="shared" si="67"/>
        <v/>
      </c>
      <c r="AN58" s="577" t="str">
        <f t="shared" si="54"/>
        <v/>
      </c>
      <c r="AO58" s="577" t="str">
        <f t="shared" si="55"/>
        <v/>
      </c>
      <c r="AP58" s="577" t="str">
        <f>IF(C58="","",VLOOKUP(C58,非_まとめ表行番号!$F$3:$H$12,2,FALSE))</f>
        <v/>
      </c>
      <c r="AQ58" s="577" t="b">
        <f t="shared" si="14"/>
        <v>1</v>
      </c>
      <c r="AR58" s="577" t="str">
        <f>IF(Z58="","",IF(Z58&lt;&gt;"都市ガス",1,非_係数!$G$55))</f>
        <v/>
      </c>
      <c r="AS58" s="577" t="str">
        <f t="shared" si="68"/>
        <v/>
      </c>
      <c r="AT58" s="577" t="str">
        <f t="shared" si="56"/>
        <v/>
      </c>
      <c r="AU58" s="577" t="str">
        <f>IF(C58="","",VLOOKUP(C58,非_係数!$B$42:$K$55,9,FALSE))</f>
        <v/>
      </c>
      <c r="AV58" s="577" t="str">
        <f t="shared" si="16"/>
        <v/>
      </c>
      <c r="AW58" s="577" t="str">
        <f>IF(C58="","",VLOOKUP(C58,非_まとめ表行番号!$F$3:$H$12,3,FALSE))</f>
        <v/>
      </c>
      <c r="AX58" s="577" t="str">
        <f t="shared" si="57"/>
        <v/>
      </c>
      <c r="AZ58" s="577" t="str">
        <f>IF(AP58="","",VLOOKUP(AP58,非_まとめ表行番号!$U$3:$V$56,2,FALSE))</f>
        <v/>
      </c>
      <c r="BA58" s="577" t="str">
        <f t="shared" si="69"/>
        <v/>
      </c>
      <c r="BB58" s="577" t="str">
        <f t="shared" si="58"/>
        <v/>
      </c>
      <c r="BC58" s="577" t="str">
        <f t="shared" si="18"/>
        <v/>
      </c>
      <c r="BD58" s="577" t="str">
        <f t="shared" si="19"/>
        <v/>
      </c>
      <c r="BE58" s="577" t="str">
        <f t="shared" si="59"/>
        <v/>
      </c>
      <c r="BF58" s="577" t="str">
        <f t="shared" si="59"/>
        <v/>
      </c>
      <c r="BG58" s="577" t="str">
        <f t="shared" si="21"/>
        <v/>
      </c>
      <c r="BH58" s="577" t="str">
        <f t="shared" si="22"/>
        <v/>
      </c>
      <c r="BI58" s="708">
        <f t="shared" si="60"/>
        <v>0</v>
      </c>
    </row>
    <row r="59" spans="1:61" ht="18.75" customHeight="1" thickTop="1">
      <c r="A59" s="629" t="s">
        <v>2053</v>
      </c>
      <c r="B59" s="634"/>
      <c r="C59" s="613"/>
      <c r="D59" s="613"/>
      <c r="E59" s="619"/>
      <c r="F59" s="613"/>
      <c r="G59" s="401"/>
      <c r="H59" s="179" t="str">
        <f>IF(Z59&lt;&gt;"都市ガス","",IF(ISERROR(VLOOKUP(D59,非_都市ガス事業者!$O$8:$P$100,2,FALSE)),"",VLOOKUP(D59,非_都市ガス事業者!$O$8:$P$100,2,FALSE)))</f>
        <v/>
      </c>
      <c r="I59" s="402" t="str">
        <f>IF(Z59&lt;&gt;"都市ガス","",非_都市ガス事業者!$P$4)</f>
        <v/>
      </c>
      <c r="J59" s="520" t="str">
        <f>IF(C59="","",IF(COUNTIFS(C59,"*自ら生成*")&gt;0,"要記入",IF(Z59&lt;&gt;"都市ガス",VLOOKUP(C59,非_係数!$B$42:$D$55,2,FALSE),"")))</f>
        <v/>
      </c>
      <c r="K59" s="619"/>
      <c r="L59" s="648" t="str">
        <f t="shared" si="61"/>
        <v/>
      </c>
      <c r="M59" s="213" t="str">
        <f t="shared" si="62"/>
        <v/>
      </c>
      <c r="N59" s="613"/>
      <c r="O59" s="527"/>
      <c r="P59" s="528"/>
      <c r="Q59" s="613"/>
      <c r="R59" s="649"/>
      <c r="S59" s="530"/>
      <c r="T59" s="650" t="str">
        <f t="shared" si="70"/>
        <v/>
      </c>
      <c r="U59" s="651" t="str">
        <f t="shared" si="63"/>
        <v/>
      </c>
      <c r="V59" s="652" t="str">
        <f>IF(C59="","",VLOOKUP(C59,非_単位!$N$38:$O$53,2,FALSE))</f>
        <v/>
      </c>
      <c r="W59" s="650" t="str">
        <f t="shared" si="64"/>
        <v/>
      </c>
      <c r="X59" s="653" t="str">
        <f t="shared" si="65"/>
        <v/>
      </c>
      <c r="Z59" s="662" t="str">
        <f t="shared" si="52"/>
        <v/>
      </c>
      <c r="AA59" s="662" t="str">
        <f>IF(B59="","",IF(B59=非_燃料種類_選択リスト!$I$13,"外部供給_種類","外部供給以外_種類"))</f>
        <v/>
      </c>
      <c r="AB59" s="662" t="str">
        <f>IF(Z59&lt;&gt;"電気","",非_電気事業者!$S$4*1000)</f>
        <v/>
      </c>
      <c r="AC59" s="662" t="str">
        <f>IF(Z59&lt;&gt;"電気","",IF(ISERROR(VLOOKUP(D59&amp;F59,非_電気事業者!$R$9:$S$1500,2,FALSE)),"要記入",VLOOKUP(D59&amp;F59,非_電気事業者!$R$9:$S$1500,2,FALSE)*1000))</f>
        <v/>
      </c>
      <c r="AD59" s="662" t="str">
        <f>IF(Z59&lt;&gt;"熱","",非_熱供給事業者!$T$4)</f>
        <v/>
      </c>
      <c r="AE59" s="662" t="str">
        <f>IF(Z59&lt;&gt;"熱","",IF(ISERROR(VLOOKUP(D59&amp;F59,非_熱供給事業者!$S$8:$T$100,2,FALSE)),"要記入",VLOOKUP(D59&amp;F59,非_熱供給事業者!$S$8:$T$100,2,FALSE)))</f>
        <v/>
      </c>
      <c r="AF59" s="662" t="str">
        <f>IF(Z59&lt;&gt;"都市ガス","",非_都市ガス事業者!$AB$4)</f>
        <v/>
      </c>
      <c r="AG59" s="662" t="str">
        <f>IF(Z59&lt;&gt;"都市ガス","",IF(ISERROR(VLOOKUP(D59&amp;F59,非_都市ガス事業者!$AA$8:$AB$100,2,FALSE)),"要記入",VLOOKUP(D59&amp;F59,非_都市ガス事業者!$AA$8:$AB$100,2,FALSE)))</f>
        <v/>
      </c>
      <c r="AH59" s="662" t="str">
        <f t="shared" si="53"/>
        <v/>
      </c>
      <c r="AI59" s="662" t="str">
        <f t="shared" si="66"/>
        <v/>
      </c>
      <c r="AJ59" s="662" t="b">
        <f t="shared" si="12"/>
        <v>1</v>
      </c>
      <c r="AK59" s="662" t="str">
        <f>IF(Q59="","",VLOOKUP(Q59,非_単位補正換算!$B$3:$C$16,2,FALSE))</f>
        <v/>
      </c>
      <c r="AL59" s="662" t="str">
        <f>IF(Z59="","",IF(Z59&lt;&gt;"都市ガス",1,IF(G59="","",SUMIFS(非_単位補正換算!$D$52:$D$63,非_単位補正換算!$B$52:$B$63,"都市ガス"&amp;G59,非_単位補正換算!$C$52:$C$63,'13電気・熱_都市ガス'!Q59))))</f>
        <v/>
      </c>
      <c r="AM59" s="662" t="str">
        <f t="shared" si="67"/>
        <v/>
      </c>
      <c r="AN59" s="662" t="str">
        <f t="shared" si="54"/>
        <v/>
      </c>
      <c r="AO59" s="662" t="str">
        <f t="shared" si="55"/>
        <v/>
      </c>
      <c r="AP59" s="662" t="str">
        <f>IF(C59="","",VLOOKUP(C59,非_まとめ表行番号!$F$3:$H$12,2,FALSE))</f>
        <v/>
      </c>
      <c r="AQ59" s="662" t="b">
        <f t="shared" si="14"/>
        <v>1</v>
      </c>
      <c r="AR59" s="662" t="str">
        <f>IF(Z59="","",IF(Z59&lt;&gt;"都市ガス",1,非_係数!$G$55))</f>
        <v/>
      </c>
      <c r="AS59" s="662" t="str">
        <f t="shared" si="68"/>
        <v/>
      </c>
      <c r="AT59" s="662" t="str">
        <f t="shared" si="56"/>
        <v/>
      </c>
      <c r="AU59" s="662" t="str">
        <f>IF(C59="","",VLOOKUP(C59,非_係数!$B$42:$K$55,9,FALSE))</f>
        <v/>
      </c>
      <c r="AV59" s="662" t="str">
        <f t="shared" si="16"/>
        <v/>
      </c>
      <c r="AW59" s="662" t="str">
        <f>IF(C59="","",VLOOKUP(C59,非_まとめ表行番号!$F$3:$H$12,3,FALSE))</f>
        <v/>
      </c>
      <c r="AX59" s="662" t="str">
        <f t="shared" si="57"/>
        <v/>
      </c>
      <c r="AZ59" s="662" t="str">
        <f>IF(AP59="","",VLOOKUP(AP59,非_まとめ表行番号!$U$3:$V$56,2,FALSE))</f>
        <v/>
      </c>
      <c r="BA59" s="662" t="str">
        <f t="shared" si="69"/>
        <v/>
      </c>
      <c r="BB59" s="662" t="str">
        <f t="shared" si="58"/>
        <v/>
      </c>
      <c r="BC59" s="662" t="str">
        <f t="shared" si="18"/>
        <v/>
      </c>
      <c r="BD59" s="662" t="str">
        <f t="shared" si="19"/>
        <v/>
      </c>
      <c r="BE59" s="662" t="str">
        <f t="shared" si="59"/>
        <v/>
      </c>
      <c r="BF59" s="662" t="str">
        <f t="shared" si="59"/>
        <v/>
      </c>
      <c r="BG59" s="662" t="str">
        <f t="shared" si="21"/>
        <v/>
      </c>
      <c r="BH59" s="662" t="str">
        <f t="shared" si="22"/>
        <v/>
      </c>
      <c r="BI59" s="84">
        <f t="shared" si="60"/>
        <v>0</v>
      </c>
    </row>
    <row r="60" spans="1:61" ht="18.75" customHeight="1">
      <c r="A60" s="629"/>
      <c r="B60" s="635"/>
      <c r="C60" s="615"/>
      <c r="D60" s="615"/>
      <c r="E60" s="620"/>
      <c r="F60" s="615"/>
      <c r="G60" s="401"/>
      <c r="H60" s="179" t="str">
        <f>IF(Z60&lt;&gt;"都市ガス","",IF(ISERROR(VLOOKUP(D60,非_都市ガス事業者!$O$8:$P$100,2,FALSE)),"",VLOOKUP(D60,非_都市ガス事業者!$O$8:$P$100,2,FALSE)))</f>
        <v/>
      </c>
      <c r="I60" s="402" t="str">
        <f>IF(Z60&lt;&gt;"都市ガス","",非_都市ガス事業者!$P$4)</f>
        <v/>
      </c>
      <c r="J60" s="520" t="str">
        <f>IF(C60="","",IF(COUNTIFS(C60,"*自ら生成*")&gt;0,"要記入",IF(Z60&lt;&gt;"都市ガス",VLOOKUP(C60,非_係数!$B$42:$D$55,2,FALSE),"")))</f>
        <v/>
      </c>
      <c r="K60" s="620"/>
      <c r="L60" s="87" t="str">
        <f t="shared" ref="L60:L64" si="71">AH60</f>
        <v/>
      </c>
      <c r="M60" s="214" t="str">
        <f t="shared" ref="M60:M64" si="72">AI60</f>
        <v/>
      </c>
      <c r="N60" s="615"/>
      <c r="O60" s="404"/>
      <c r="P60" s="401"/>
      <c r="Q60" s="615"/>
      <c r="R60" s="477"/>
      <c r="S60" s="509"/>
      <c r="T60" s="450" t="str">
        <f t="shared" si="70"/>
        <v/>
      </c>
      <c r="U60" s="451" t="str">
        <f t="shared" ref="U60:U64" si="73">IF(AM60="","",-1*AM60)</f>
        <v/>
      </c>
      <c r="V60" s="452" t="str">
        <f>IF(C60="","",VLOOKUP(C60,非_単位!$N$38:$O$53,2,FALSE))</f>
        <v/>
      </c>
      <c r="W60" s="450" t="str">
        <f t="shared" ref="W60:W64" si="74">IF(AN60="","",-1*AN60)</f>
        <v/>
      </c>
      <c r="X60" s="454" t="str">
        <f t="shared" ref="X60:X64" si="75">IF(AO60="","",-1*AO60)</f>
        <v/>
      </c>
      <c r="Z60" s="490" t="str">
        <f t="shared" si="52"/>
        <v/>
      </c>
      <c r="AA60" s="490" t="str">
        <f>IF(B60="","",IF(B60=非_燃料種類_選択リスト!$I$13,"外部供給_種類","外部供給以外_種類"))</f>
        <v/>
      </c>
      <c r="AB60" s="490" t="str">
        <f>IF(Z60&lt;&gt;"電気","",非_電気事業者!$S$4*1000)</f>
        <v/>
      </c>
      <c r="AC60" s="490" t="str">
        <f>IF(Z60&lt;&gt;"電気","",IF(ISERROR(VLOOKUP(D60&amp;F60,非_電気事業者!$R$9:$S$1500,2,FALSE)),"要記入",VLOOKUP(D60&amp;F60,非_電気事業者!$R$9:$S$1500,2,FALSE)*1000))</f>
        <v/>
      </c>
      <c r="AD60" s="490" t="str">
        <f>IF(Z60&lt;&gt;"熱","",非_熱供給事業者!$T$4)</f>
        <v/>
      </c>
      <c r="AE60" s="490" t="str">
        <f>IF(Z60&lt;&gt;"熱","",IF(ISERROR(VLOOKUP(D60&amp;F60,非_熱供給事業者!$S$8:$T$100,2,FALSE)),"要記入",VLOOKUP(D60&amp;F60,非_熱供給事業者!$S$8:$T$100,2,FALSE)))</f>
        <v/>
      </c>
      <c r="AF60" s="490" t="str">
        <f>IF(Z60&lt;&gt;"都市ガス","",非_都市ガス事業者!$AB$4)</f>
        <v/>
      </c>
      <c r="AG60" s="490" t="str">
        <f>IF(Z60&lt;&gt;"都市ガス","",IF(ISERROR(VLOOKUP(D60&amp;F60,非_都市ガス事業者!$AA$8:$AB$100,2,FALSE)),"要記入",VLOOKUP(D60&amp;F60,非_都市ガス事業者!$AA$8:$AB$100,2,FALSE)))</f>
        <v/>
      </c>
      <c r="AH60" s="490" t="str">
        <f t="shared" si="53"/>
        <v/>
      </c>
      <c r="AI60" s="490" t="str">
        <f t="shared" si="66"/>
        <v/>
      </c>
      <c r="AJ60" s="490" t="b">
        <f t="shared" si="12"/>
        <v>1</v>
      </c>
      <c r="AK60" s="490" t="str">
        <f>IF(Q60="","",VLOOKUP(Q60,非_単位補正換算!$B$3:$C$16,2,FALSE))</f>
        <v/>
      </c>
      <c r="AL60" s="490" t="str">
        <f>IF(Z60="","",IF(Z60&lt;&gt;"都市ガス",1,IF(G60="","",SUMIFS(非_単位補正換算!$D$52:$D$63,非_単位補正換算!$B$52:$B$63,"都市ガス"&amp;G60,非_単位補正換算!$C$52:$C$63,'13電気・熱_都市ガス'!Q60))))</f>
        <v/>
      </c>
      <c r="AM60" s="490" t="str">
        <f t="shared" si="67"/>
        <v/>
      </c>
      <c r="AN60" s="490" t="str">
        <f t="shared" si="54"/>
        <v/>
      </c>
      <c r="AO60" s="490" t="str">
        <f t="shared" si="55"/>
        <v/>
      </c>
      <c r="AP60" s="490" t="str">
        <f>IF(C60="","",VLOOKUP(C60,非_まとめ表行番号!$F$3:$H$12,2,FALSE))</f>
        <v/>
      </c>
      <c r="AQ60" s="490" t="b">
        <f t="shared" si="14"/>
        <v>1</v>
      </c>
      <c r="AR60" s="490" t="str">
        <f>IF(Z60="","",IF(Z60&lt;&gt;"都市ガス",1,非_係数!$G$55))</f>
        <v/>
      </c>
      <c r="AS60" s="490" t="str">
        <f t="shared" si="68"/>
        <v/>
      </c>
      <c r="AT60" s="490" t="str">
        <f t="shared" si="56"/>
        <v/>
      </c>
      <c r="AU60" s="490" t="str">
        <f>IF(C60="","",VLOOKUP(C60,非_係数!$B$42:$K$55,9,FALSE))</f>
        <v/>
      </c>
      <c r="AV60" s="490" t="str">
        <f t="shared" si="16"/>
        <v/>
      </c>
      <c r="AW60" s="490" t="str">
        <f>IF(C60="","",VLOOKUP(C60,非_まとめ表行番号!$F$3:$H$12,3,FALSE))</f>
        <v/>
      </c>
      <c r="AX60" s="490" t="str">
        <f t="shared" si="57"/>
        <v/>
      </c>
      <c r="AZ60" s="490" t="str">
        <f>IF(AP60="","",VLOOKUP(AP60,非_まとめ表行番号!$U$3:$V$56,2,FALSE))</f>
        <v/>
      </c>
      <c r="BA60" s="490" t="str">
        <f t="shared" si="69"/>
        <v/>
      </c>
      <c r="BB60" s="490" t="str">
        <f t="shared" si="58"/>
        <v/>
      </c>
      <c r="BC60" s="490" t="str">
        <f t="shared" si="18"/>
        <v/>
      </c>
      <c r="BD60" s="490" t="str">
        <f t="shared" si="19"/>
        <v/>
      </c>
      <c r="BE60" s="490" t="str">
        <f t="shared" si="59"/>
        <v/>
      </c>
      <c r="BF60" s="490" t="str">
        <f t="shared" si="59"/>
        <v/>
      </c>
      <c r="BG60" s="490" t="str">
        <f t="shared" si="21"/>
        <v/>
      </c>
      <c r="BH60" s="490" t="str">
        <f t="shared" si="22"/>
        <v/>
      </c>
      <c r="BI60" s="84">
        <f t="shared" si="60"/>
        <v>0</v>
      </c>
    </row>
    <row r="61" spans="1:61" ht="18.75" customHeight="1">
      <c r="A61" s="629"/>
      <c r="B61" s="635"/>
      <c r="C61" s="615"/>
      <c r="D61" s="615"/>
      <c r="E61" s="620"/>
      <c r="F61" s="615"/>
      <c r="G61" s="401"/>
      <c r="H61" s="179" t="str">
        <f>IF(Z61&lt;&gt;"都市ガス","",IF(ISERROR(VLOOKUP(D61,非_都市ガス事業者!$O$8:$P$100,2,FALSE)),"",VLOOKUP(D61,非_都市ガス事業者!$O$8:$P$100,2,FALSE)))</f>
        <v/>
      </c>
      <c r="I61" s="402" t="str">
        <f>IF(Z61&lt;&gt;"都市ガス","",非_都市ガス事業者!$P$4)</f>
        <v/>
      </c>
      <c r="J61" s="520" t="str">
        <f>IF(C61="","",IF(COUNTIFS(C61,"*自ら生成*")&gt;0,"要記入",IF(Z61&lt;&gt;"都市ガス",VLOOKUP(C61,非_係数!$B$42:$D$55,2,FALSE),"")))</f>
        <v/>
      </c>
      <c r="K61" s="620"/>
      <c r="L61" s="87" t="str">
        <f t="shared" si="71"/>
        <v/>
      </c>
      <c r="M61" s="214" t="str">
        <f t="shared" si="72"/>
        <v/>
      </c>
      <c r="N61" s="615"/>
      <c r="O61" s="404"/>
      <c r="P61" s="401"/>
      <c r="Q61" s="615"/>
      <c r="R61" s="477"/>
      <c r="S61" s="509"/>
      <c r="T61" s="450" t="str">
        <f t="shared" si="70"/>
        <v/>
      </c>
      <c r="U61" s="451" t="str">
        <f t="shared" si="73"/>
        <v/>
      </c>
      <c r="V61" s="452" t="str">
        <f>IF(C61="","",VLOOKUP(C61,非_単位!$N$38:$O$53,2,FALSE))</f>
        <v/>
      </c>
      <c r="W61" s="450" t="str">
        <f t="shared" si="74"/>
        <v/>
      </c>
      <c r="X61" s="454" t="str">
        <f t="shared" si="75"/>
        <v/>
      </c>
      <c r="Z61" s="490" t="str">
        <f t="shared" si="52"/>
        <v/>
      </c>
      <c r="AA61" s="490" t="str">
        <f>IF(B61="","",IF(B61=非_燃料種類_選択リスト!$I$13,"外部供給_種類","外部供給以外_種類"))</f>
        <v/>
      </c>
      <c r="AB61" s="490" t="str">
        <f>IF(Z61&lt;&gt;"電気","",非_電気事業者!$S$4*1000)</f>
        <v/>
      </c>
      <c r="AC61" s="490" t="str">
        <f>IF(Z61&lt;&gt;"電気","",IF(ISERROR(VLOOKUP(D61&amp;F61,非_電気事業者!$R$9:$S$1500,2,FALSE)),"要記入",VLOOKUP(D61&amp;F61,非_電気事業者!$R$9:$S$1500,2,FALSE)*1000))</f>
        <v/>
      </c>
      <c r="AD61" s="490" t="str">
        <f>IF(Z61&lt;&gt;"熱","",非_熱供給事業者!$T$4)</f>
        <v/>
      </c>
      <c r="AE61" s="490" t="str">
        <f>IF(Z61&lt;&gt;"熱","",IF(ISERROR(VLOOKUP(D61&amp;F61,非_熱供給事業者!$S$8:$T$100,2,FALSE)),"要記入",VLOOKUP(D61&amp;F61,非_熱供給事業者!$S$8:$T$100,2,FALSE)))</f>
        <v/>
      </c>
      <c r="AF61" s="490" t="str">
        <f>IF(Z61&lt;&gt;"都市ガス","",非_都市ガス事業者!$AB$4)</f>
        <v/>
      </c>
      <c r="AG61" s="490" t="str">
        <f>IF(Z61&lt;&gt;"都市ガス","",IF(ISERROR(VLOOKUP(D61&amp;F61,非_都市ガス事業者!$AA$8:$AB$100,2,FALSE)),"要記入",VLOOKUP(D61&amp;F61,非_都市ガス事業者!$AA$8:$AB$100,2,FALSE)))</f>
        <v/>
      </c>
      <c r="AH61" s="490" t="str">
        <f t="shared" si="53"/>
        <v/>
      </c>
      <c r="AI61" s="490" t="str">
        <f t="shared" si="66"/>
        <v/>
      </c>
      <c r="AJ61" s="490" t="b">
        <f t="shared" si="12"/>
        <v>1</v>
      </c>
      <c r="AK61" s="490" t="str">
        <f>IF(Q61="","",VLOOKUP(Q61,非_単位補正換算!$B$3:$C$16,2,FALSE))</f>
        <v/>
      </c>
      <c r="AL61" s="490" t="str">
        <f>IF(Z61="","",IF(Z61&lt;&gt;"都市ガス",1,IF(G61="","",SUMIFS(非_単位補正換算!$D$52:$D$63,非_単位補正換算!$B$52:$B$63,"都市ガス"&amp;G61,非_単位補正換算!$C$52:$C$63,'13電気・熱_都市ガス'!Q61))))</f>
        <v/>
      </c>
      <c r="AM61" s="490" t="str">
        <f t="shared" si="67"/>
        <v/>
      </c>
      <c r="AN61" s="490" t="str">
        <f t="shared" si="54"/>
        <v/>
      </c>
      <c r="AO61" s="490" t="str">
        <f t="shared" si="55"/>
        <v/>
      </c>
      <c r="AP61" s="490" t="str">
        <f>IF(C61="","",VLOOKUP(C61,非_まとめ表行番号!$F$3:$H$12,2,FALSE))</f>
        <v/>
      </c>
      <c r="AQ61" s="490" t="b">
        <f t="shared" si="14"/>
        <v>1</v>
      </c>
      <c r="AR61" s="490" t="str">
        <f>IF(Z61="","",IF(Z61&lt;&gt;"都市ガス",1,非_係数!$G$55))</f>
        <v/>
      </c>
      <c r="AS61" s="490" t="str">
        <f t="shared" si="68"/>
        <v/>
      </c>
      <c r="AT61" s="490" t="str">
        <f t="shared" si="56"/>
        <v/>
      </c>
      <c r="AU61" s="490" t="str">
        <f>IF(C61="","",VLOOKUP(C61,非_係数!$B$42:$K$55,9,FALSE))</f>
        <v/>
      </c>
      <c r="AV61" s="490" t="str">
        <f t="shared" si="16"/>
        <v/>
      </c>
      <c r="AW61" s="490" t="str">
        <f>IF(C61="","",VLOOKUP(C61,非_まとめ表行番号!$F$3:$H$12,3,FALSE))</f>
        <v/>
      </c>
      <c r="AX61" s="490" t="str">
        <f t="shared" si="57"/>
        <v/>
      </c>
      <c r="AZ61" s="490" t="str">
        <f>IF(AP61="","",VLOOKUP(AP61,非_まとめ表行番号!$U$3:$V$56,2,FALSE))</f>
        <v/>
      </c>
      <c r="BA61" s="490" t="str">
        <f t="shared" si="69"/>
        <v/>
      </c>
      <c r="BB61" s="490" t="str">
        <f t="shared" si="58"/>
        <v/>
      </c>
      <c r="BC61" s="490" t="str">
        <f t="shared" si="18"/>
        <v/>
      </c>
      <c r="BD61" s="490" t="str">
        <f t="shared" si="19"/>
        <v/>
      </c>
      <c r="BE61" s="490" t="str">
        <f t="shared" si="59"/>
        <v/>
      </c>
      <c r="BF61" s="490" t="str">
        <f t="shared" si="59"/>
        <v/>
      </c>
      <c r="BG61" s="490" t="str">
        <f t="shared" si="21"/>
        <v/>
      </c>
      <c r="BH61" s="490" t="str">
        <f t="shared" si="22"/>
        <v/>
      </c>
      <c r="BI61" s="84">
        <f t="shared" si="60"/>
        <v>0</v>
      </c>
    </row>
    <row r="62" spans="1:61" ht="18.75" customHeight="1">
      <c r="A62" s="629"/>
      <c r="B62" s="635"/>
      <c r="C62" s="615"/>
      <c r="D62" s="615"/>
      <c r="E62" s="620"/>
      <c r="F62" s="615"/>
      <c r="G62" s="401"/>
      <c r="H62" s="179" t="str">
        <f>IF(Z62&lt;&gt;"都市ガス","",IF(ISERROR(VLOOKUP(D62,非_都市ガス事業者!$O$8:$P$100,2,FALSE)),"",VLOOKUP(D62,非_都市ガス事業者!$O$8:$P$100,2,FALSE)))</f>
        <v/>
      </c>
      <c r="I62" s="402" t="str">
        <f>IF(Z62&lt;&gt;"都市ガス","",非_都市ガス事業者!$P$4)</f>
        <v/>
      </c>
      <c r="J62" s="520" t="str">
        <f>IF(C62="","",IF(COUNTIFS(C62,"*自ら生成*")&gt;0,"要記入",IF(Z62&lt;&gt;"都市ガス",VLOOKUP(C62,非_係数!$B$42:$D$55,2,FALSE),"")))</f>
        <v/>
      </c>
      <c r="K62" s="620"/>
      <c r="L62" s="87" t="str">
        <f t="shared" si="71"/>
        <v/>
      </c>
      <c r="M62" s="214" t="str">
        <f t="shared" si="72"/>
        <v/>
      </c>
      <c r="N62" s="615"/>
      <c r="O62" s="404"/>
      <c r="P62" s="401"/>
      <c r="Q62" s="615"/>
      <c r="R62" s="477"/>
      <c r="S62" s="509"/>
      <c r="T62" s="450" t="str">
        <f t="shared" si="70"/>
        <v/>
      </c>
      <c r="U62" s="451" t="str">
        <f t="shared" si="73"/>
        <v/>
      </c>
      <c r="V62" s="452" t="str">
        <f>IF(C62="","",VLOOKUP(C62,非_単位!$N$38:$O$53,2,FALSE))</f>
        <v/>
      </c>
      <c r="W62" s="450" t="str">
        <f t="shared" si="74"/>
        <v/>
      </c>
      <c r="X62" s="454" t="str">
        <f t="shared" si="75"/>
        <v/>
      </c>
      <c r="Z62" s="490" t="str">
        <f t="shared" si="52"/>
        <v/>
      </c>
      <c r="AA62" s="490" t="str">
        <f>IF(B62="","",IF(B62=非_燃料種類_選択リスト!$I$13,"外部供給_種類","外部供給以外_種類"))</f>
        <v/>
      </c>
      <c r="AB62" s="490" t="str">
        <f>IF(Z62&lt;&gt;"電気","",非_電気事業者!$S$4*1000)</f>
        <v/>
      </c>
      <c r="AC62" s="490" t="str">
        <f>IF(Z62&lt;&gt;"電気","",IF(ISERROR(VLOOKUP(D62&amp;F62,非_電気事業者!$R$9:$S$1500,2,FALSE)),"要記入",VLOOKUP(D62&amp;F62,非_電気事業者!$R$9:$S$1500,2,FALSE)*1000))</f>
        <v/>
      </c>
      <c r="AD62" s="490" t="str">
        <f>IF(Z62&lt;&gt;"熱","",非_熱供給事業者!$T$4)</f>
        <v/>
      </c>
      <c r="AE62" s="490" t="str">
        <f>IF(Z62&lt;&gt;"熱","",IF(ISERROR(VLOOKUP(D62&amp;F62,非_熱供給事業者!$S$8:$T$100,2,FALSE)),"要記入",VLOOKUP(D62&amp;F62,非_熱供給事業者!$S$8:$T$100,2,FALSE)))</f>
        <v/>
      </c>
      <c r="AF62" s="490" t="str">
        <f>IF(Z62&lt;&gt;"都市ガス","",非_都市ガス事業者!$AB$4)</f>
        <v/>
      </c>
      <c r="AG62" s="490" t="str">
        <f>IF(Z62&lt;&gt;"都市ガス","",IF(ISERROR(VLOOKUP(D62&amp;F62,非_都市ガス事業者!$AA$8:$AB$100,2,FALSE)),"要記入",VLOOKUP(D62&amp;F62,非_都市ガス事業者!$AA$8:$AB$100,2,FALSE)))</f>
        <v/>
      </c>
      <c r="AH62" s="490" t="str">
        <f t="shared" si="53"/>
        <v/>
      </c>
      <c r="AI62" s="490" t="str">
        <f t="shared" si="66"/>
        <v/>
      </c>
      <c r="AJ62" s="490" t="b">
        <f t="shared" si="12"/>
        <v>1</v>
      </c>
      <c r="AK62" s="490" t="str">
        <f>IF(Q62="","",VLOOKUP(Q62,非_単位補正換算!$B$3:$C$16,2,FALSE))</f>
        <v/>
      </c>
      <c r="AL62" s="490" t="str">
        <f>IF(Z62="","",IF(Z62&lt;&gt;"都市ガス",1,IF(G62="","",SUMIFS(非_単位補正換算!$D$52:$D$63,非_単位補正換算!$B$52:$B$63,"都市ガス"&amp;G62,非_単位補正換算!$C$52:$C$63,'13電気・熱_都市ガス'!Q62))))</f>
        <v/>
      </c>
      <c r="AM62" s="490" t="str">
        <f t="shared" si="67"/>
        <v/>
      </c>
      <c r="AN62" s="490" t="str">
        <f t="shared" si="54"/>
        <v/>
      </c>
      <c r="AO62" s="490" t="str">
        <f t="shared" si="55"/>
        <v/>
      </c>
      <c r="AP62" s="490" t="str">
        <f>IF(C62="","",VLOOKUP(C62,非_まとめ表行番号!$F$3:$H$12,2,FALSE))</f>
        <v/>
      </c>
      <c r="AQ62" s="490" t="b">
        <f t="shared" si="14"/>
        <v>1</v>
      </c>
      <c r="AR62" s="490" t="str">
        <f>IF(Z62="","",IF(Z62&lt;&gt;"都市ガス",1,非_係数!$G$55))</f>
        <v/>
      </c>
      <c r="AS62" s="490" t="str">
        <f t="shared" si="68"/>
        <v/>
      </c>
      <c r="AT62" s="490" t="str">
        <f t="shared" si="56"/>
        <v/>
      </c>
      <c r="AU62" s="490" t="str">
        <f>IF(C62="","",VLOOKUP(C62,非_係数!$B$42:$K$55,9,FALSE))</f>
        <v/>
      </c>
      <c r="AV62" s="490" t="str">
        <f t="shared" si="16"/>
        <v/>
      </c>
      <c r="AW62" s="490" t="str">
        <f>IF(C62="","",VLOOKUP(C62,非_まとめ表行番号!$F$3:$H$12,3,FALSE))</f>
        <v/>
      </c>
      <c r="AX62" s="490" t="str">
        <f t="shared" si="57"/>
        <v/>
      </c>
      <c r="AZ62" s="490" t="str">
        <f>IF(AP62="","",VLOOKUP(AP62,非_まとめ表行番号!$U$3:$V$56,2,FALSE))</f>
        <v/>
      </c>
      <c r="BA62" s="490" t="str">
        <f t="shared" si="69"/>
        <v/>
      </c>
      <c r="BB62" s="490" t="str">
        <f t="shared" si="58"/>
        <v/>
      </c>
      <c r="BC62" s="490" t="str">
        <f t="shared" si="18"/>
        <v/>
      </c>
      <c r="BD62" s="490" t="str">
        <f t="shared" si="19"/>
        <v/>
      </c>
      <c r="BE62" s="490" t="str">
        <f t="shared" si="59"/>
        <v/>
      </c>
      <c r="BF62" s="490" t="str">
        <f t="shared" si="59"/>
        <v/>
      </c>
      <c r="BG62" s="490" t="str">
        <f t="shared" si="21"/>
        <v/>
      </c>
      <c r="BH62" s="490" t="str">
        <f t="shared" si="22"/>
        <v/>
      </c>
      <c r="BI62" s="84">
        <f t="shared" si="60"/>
        <v>0</v>
      </c>
    </row>
    <row r="63" spans="1:61" ht="18.75" customHeight="1">
      <c r="A63" s="629"/>
      <c r="B63" s="635"/>
      <c r="C63" s="615"/>
      <c r="D63" s="615"/>
      <c r="E63" s="620"/>
      <c r="F63" s="615"/>
      <c r="G63" s="401"/>
      <c r="H63" s="179" t="str">
        <f>IF(Z63&lt;&gt;"都市ガス","",IF(ISERROR(VLOOKUP(D63,非_都市ガス事業者!$O$8:$P$100,2,FALSE)),"",VLOOKUP(D63,非_都市ガス事業者!$O$8:$P$100,2,FALSE)))</f>
        <v/>
      </c>
      <c r="I63" s="402" t="str">
        <f>IF(Z63&lt;&gt;"都市ガス","",非_都市ガス事業者!$P$4)</f>
        <v/>
      </c>
      <c r="J63" s="520" t="str">
        <f>IF(C63="","",IF(COUNTIFS(C63,"*自ら生成*")&gt;0,"要記入",IF(Z63&lt;&gt;"都市ガス",VLOOKUP(C63,非_係数!$B$42:$D$55,2,FALSE),"")))</f>
        <v/>
      </c>
      <c r="K63" s="620"/>
      <c r="L63" s="87" t="str">
        <f t="shared" si="71"/>
        <v/>
      </c>
      <c r="M63" s="214" t="str">
        <f t="shared" si="72"/>
        <v/>
      </c>
      <c r="N63" s="615"/>
      <c r="O63" s="404"/>
      <c r="P63" s="401"/>
      <c r="Q63" s="615"/>
      <c r="R63" s="477"/>
      <c r="S63" s="509"/>
      <c r="T63" s="450" t="str">
        <f t="shared" si="70"/>
        <v/>
      </c>
      <c r="U63" s="451" t="str">
        <f t="shared" si="73"/>
        <v/>
      </c>
      <c r="V63" s="452" t="str">
        <f>IF(C63="","",VLOOKUP(C63,非_単位!$N$38:$O$53,2,FALSE))</f>
        <v/>
      </c>
      <c r="W63" s="450" t="str">
        <f t="shared" si="74"/>
        <v/>
      </c>
      <c r="X63" s="454" t="str">
        <f t="shared" si="75"/>
        <v/>
      </c>
      <c r="Z63" s="490" t="str">
        <f t="shared" si="52"/>
        <v/>
      </c>
      <c r="AA63" s="490" t="str">
        <f>IF(B63="","",IF(B63=非_燃料種類_選択リスト!$I$13,"外部供給_種類","外部供給以外_種類"))</f>
        <v/>
      </c>
      <c r="AB63" s="490" t="str">
        <f>IF(Z63&lt;&gt;"電気","",非_電気事業者!$S$4*1000)</f>
        <v/>
      </c>
      <c r="AC63" s="490" t="str">
        <f>IF(Z63&lt;&gt;"電気","",IF(ISERROR(VLOOKUP(D63&amp;F63,非_電気事業者!$R$9:$S$1500,2,FALSE)),"要記入",VLOOKUP(D63&amp;F63,非_電気事業者!$R$9:$S$1500,2,FALSE)*1000))</f>
        <v/>
      </c>
      <c r="AD63" s="490" t="str">
        <f>IF(Z63&lt;&gt;"熱","",非_熱供給事業者!$T$4)</f>
        <v/>
      </c>
      <c r="AE63" s="490" t="str">
        <f>IF(Z63&lt;&gt;"熱","",IF(ISERROR(VLOOKUP(D63&amp;F63,非_熱供給事業者!$S$8:$T$100,2,FALSE)),"要記入",VLOOKUP(D63&amp;F63,非_熱供給事業者!$S$8:$T$100,2,FALSE)))</f>
        <v/>
      </c>
      <c r="AF63" s="490" t="str">
        <f>IF(Z63&lt;&gt;"都市ガス","",非_都市ガス事業者!$AB$4)</f>
        <v/>
      </c>
      <c r="AG63" s="490" t="str">
        <f>IF(Z63&lt;&gt;"都市ガス","",IF(ISERROR(VLOOKUP(D63&amp;F63,非_都市ガス事業者!$AA$8:$AB$100,2,FALSE)),"要記入",VLOOKUP(D63&amp;F63,非_都市ガス事業者!$AA$8:$AB$100,2,FALSE)))</f>
        <v/>
      </c>
      <c r="AH63" s="490" t="str">
        <f t="shared" si="53"/>
        <v/>
      </c>
      <c r="AI63" s="490" t="str">
        <f t="shared" si="66"/>
        <v/>
      </c>
      <c r="AJ63" s="490" t="b">
        <f t="shared" si="12"/>
        <v>1</v>
      </c>
      <c r="AK63" s="490" t="str">
        <f>IF(Q63="","",VLOOKUP(Q63,非_単位補正換算!$B$3:$C$16,2,FALSE))</f>
        <v/>
      </c>
      <c r="AL63" s="490" t="str">
        <f>IF(Z63="","",IF(Z63&lt;&gt;"都市ガス",1,IF(G63="","",SUMIFS(非_単位補正換算!$D$52:$D$63,非_単位補正換算!$B$52:$B$63,"都市ガス"&amp;G63,非_単位補正換算!$C$52:$C$63,'13電気・熱_都市ガス'!Q63))))</f>
        <v/>
      </c>
      <c r="AM63" s="490" t="str">
        <f t="shared" si="67"/>
        <v/>
      </c>
      <c r="AN63" s="490" t="str">
        <f t="shared" si="54"/>
        <v/>
      </c>
      <c r="AO63" s="490" t="str">
        <f t="shared" si="55"/>
        <v/>
      </c>
      <c r="AP63" s="490" t="str">
        <f>IF(C63="","",VLOOKUP(C63,非_まとめ表行番号!$F$3:$H$12,2,FALSE))</f>
        <v/>
      </c>
      <c r="AQ63" s="490" t="b">
        <f t="shared" si="14"/>
        <v>1</v>
      </c>
      <c r="AR63" s="490" t="str">
        <f>IF(Z63="","",IF(Z63&lt;&gt;"都市ガス",1,非_係数!$G$55))</f>
        <v/>
      </c>
      <c r="AS63" s="490" t="str">
        <f t="shared" si="68"/>
        <v/>
      </c>
      <c r="AT63" s="490" t="str">
        <f t="shared" si="56"/>
        <v/>
      </c>
      <c r="AU63" s="490" t="str">
        <f>IF(C63="","",VLOOKUP(C63,非_係数!$B$42:$K$55,9,FALSE))</f>
        <v/>
      </c>
      <c r="AV63" s="490" t="str">
        <f t="shared" si="16"/>
        <v/>
      </c>
      <c r="AW63" s="490" t="str">
        <f>IF(C63="","",VLOOKUP(C63,非_まとめ表行番号!$F$3:$H$12,3,FALSE))</f>
        <v/>
      </c>
      <c r="AX63" s="490" t="str">
        <f t="shared" si="57"/>
        <v/>
      </c>
      <c r="AZ63" s="490" t="str">
        <f>IF(AP63="","",VLOOKUP(AP63,非_まとめ表行番号!$U$3:$V$56,2,FALSE))</f>
        <v/>
      </c>
      <c r="BA63" s="490" t="str">
        <f t="shared" si="69"/>
        <v/>
      </c>
      <c r="BB63" s="490" t="str">
        <f t="shared" si="58"/>
        <v/>
      </c>
      <c r="BC63" s="490" t="str">
        <f t="shared" si="18"/>
        <v/>
      </c>
      <c r="BD63" s="490" t="str">
        <f t="shared" si="19"/>
        <v/>
      </c>
      <c r="BE63" s="490" t="str">
        <f t="shared" si="59"/>
        <v/>
      </c>
      <c r="BF63" s="490" t="str">
        <f t="shared" si="59"/>
        <v/>
      </c>
      <c r="BG63" s="490" t="str">
        <f t="shared" si="21"/>
        <v/>
      </c>
      <c r="BH63" s="490" t="str">
        <f t="shared" si="22"/>
        <v/>
      </c>
      <c r="BI63" s="84">
        <f t="shared" si="60"/>
        <v>0</v>
      </c>
    </row>
    <row r="64" spans="1:61" ht="18.75" customHeight="1">
      <c r="A64" s="629"/>
      <c r="B64" s="635"/>
      <c r="C64" s="615"/>
      <c r="D64" s="615"/>
      <c r="E64" s="620"/>
      <c r="F64" s="615"/>
      <c r="G64" s="401"/>
      <c r="H64" s="179" t="str">
        <f>IF(Z64&lt;&gt;"都市ガス","",IF(ISERROR(VLOOKUP(D64,非_都市ガス事業者!$O$8:$P$100,2,FALSE)),"",VLOOKUP(D64,非_都市ガス事業者!$O$8:$P$100,2,FALSE)))</f>
        <v/>
      </c>
      <c r="I64" s="402" t="str">
        <f>IF(Z64&lt;&gt;"都市ガス","",非_都市ガス事業者!$P$4)</f>
        <v/>
      </c>
      <c r="J64" s="520" t="str">
        <f>IF(C64="","",IF(COUNTIFS(C64,"*自ら生成*")&gt;0,"要記入",IF(Z64&lt;&gt;"都市ガス",VLOOKUP(C64,非_係数!$B$42:$D$55,2,FALSE),"")))</f>
        <v/>
      </c>
      <c r="K64" s="620"/>
      <c r="L64" s="87" t="str">
        <f t="shared" si="71"/>
        <v/>
      </c>
      <c r="M64" s="214" t="str">
        <f t="shared" si="72"/>
        <v/>
      </c>
      <c r="N64" s="615"/>
      <c r="O64" s="404"/>
      <c r="P64" s="401"/>
      <c r="Q64" s="615"/>
      <c r="R64" s="477"/>
      <c r="S64" s="509"/>
      <c r="T64" s="450" t="str">
        <f t="shared" si="70"/>
        <v/>
      </c>
      <c r="U64" s="451" t="str">
        <f t="shared" si="73"/>
        <v/>
      </c>
      <c r="V64" s="452" t="str">
        <f>IF(C64="","",VLOOKUP(C64,非_単位!$N$38:$O$53,2,FALSE))</f>
        <v/>
      </c>
      <c r="W64" s="450" t="str">
        <f t="shared" si="74"/>
        <v/>
      </c>
      <c r="X64" s="454" t="str">
        <f t="shared" si="75"/>
        <v/>
      </c>
      <c r="Z64" s="490" t="str">
        <f t="shared" si="52"/>
        <v/>
      </c>
      <c r="AA64" s="490" t="str">
        <f>IF(B64="","",IF(B64=非_燃料種類_選択リスト!$I$13,"外部供給_種類","外部供給以外_種類"))</f>
        <v/>
      </c>
      <c r="AB64" s="490" t="str">
        <f>IF(Z64&lt;&gt;"電気","",非_電気事業者!$S$4*1000)</f>
        <v/>
      </c>
      <c r="AC64" s="490" t="str">
        <f>IF(Z64&lt;&gt;"電気","",IF(ISERROR(VLOOKUP(D64&amp;F64,非_電気事業者!$R$9:$S$1500,2,FALSE)),"要記入",VLOOKUP(D64&amp;F64,非_電気事業者!$R$9:$S$1500,2,FALSE)*1000))</f>
        <v/>
      </c>
      <c r="AD64" s="490" t="str">
        <f>IF(Z64&lt;&gt;"熱","",非_熱供給事業者!$T$4)</f>
        <v/>
      </c>
      <c r="AE64" s="490" t="str">
        <f>IF(Z64&lt;&gt;"熱","",IF(ISERROR(VLOOKUP(D64&amp;F64,非_熱供給事業者!$S$8:$T$100,2,FALSE)),"要記入",VLOOKUP(D64&amp;F64,非_熱供給事業者!$S$8:$T$100,2,FALSE)))</f>
        <v/>
      </c>
      <c r="AF64" s="490" t="str">
        <f>IF(Z64&lt;&gt;"都市ガス","",非_都市ガス事業者!$AB$4)</f>
        <v/>
      </c>
      <c r="AG64" s="490" t="str">
        <f>IF(Z64&lt;&gt;"都市ガス","",IF(ISERROR(VLOOKUP(D64&amp;F64,非_都市ガス事業者!$AA$8:$AB$100,2,FALSE)),"要記入",VLOOKUP(D64&amp;F64,非_都市ガス事業者!$AA$8:$AB$100,2,FALSE)))</f>
        <v/>
      </c>
      <c r="AH64" s="490" t="str">
        <f t="shared" si="53"/>
        <v/>
      </c>
      <c r="AI64" s="490" t="str">
        <f t="shared" si="66"/>
        <v/>
      </c>
      <c r="AJ64" s="490" t="b">
        <f t="shared" si="12"/>
        <v>1</v>
      </c>
      <c r="AK64" s="490" t="str">
        <f>IF(Q64="","",VLOOKUP(Q64,非_単位補正換算!$B$3:$C$16,2,FALSE))</f>
        <v/>
      </c>
      <c r="AL64" s="490" t="str">
        <f>IF(Z64="","",IF(Z64&lt;&gt;"都市ガス",1,IF(G64="","",SUMIFS(非_単位補正換算!$D$52:$D$63,非_単位補正換算!$B$52:$B$63,"都市ガス"&amp;G64,非_単位補正換算!$C$52:$C$63,'13電気・熱_都市ガス'!Q64))))</f>
        <v/>
      </c>
      <c r="AM64" s="490" t="str">
        <f t="shared" si="67"/>
        <v/>
      </c>
      <c r="AN64" s="490" t="str">
        <f t="shared" si="54"/>
        <v/>
      </c>
      <c r="AO64" s="490" t="str">
        <f t="shared" si="55"/>
        <v/>
      </c>
      <c r="AP64" s="490" t="str">
        <f>IF(C64="","",VLOOKUP(C64,非_まとめ表行番号!$F$3:$H$12,2,FALSE))</f>
        <v/>
      </c>
      <c r="AQ64" s="490" t="b">
        <f t="shared" si="14"/>
        <v>1</v>
      </c>
      <c r="AR64" s="490" t="str">
        <f>IF(Z64="","",IF(Z64&lt;&gt;"都市ガス",1,非_係数!$G$55))</f>
        <v/>
      </c>
      <c r="AS64" s="490" t="str">
        <f t="shared" si="68"/>
        <v/>
      </c>
      <c r="AT64" s="490" t="str">
        <f t="shared" si="56"/>
        <v/>
      </c>
      <c r="AU64" s="490" t="str">
        <f>IF(C64="","",VLOOKUP(C64,非_係数!$B$42:$K$55,9,FALSE))</f>
        <v/>
      </c>
      <c r="AV64" s="490" t="str">
        <f t="shared" si="16"/>
        <v/>
      </c>
      <c r="AW64" s="490" t="str">
        <f>IF(C64="","",VLOOKUP(C64,非_まとめ表行番号!$F$3:$H$12,3,FALSE))</f>
        <v/>
      </c>
      <c r="AX64" s="490" t="str">
        <f t="shared" si="57"/>
        <v/>
      </c>
      <c r="AZ64" s="490" t="str">
        <f>IF(AP64="","",VLOOKUP(AP64,非_まとめ表行番号!$U$3:$V$56,2,FALSE))</f>
        <v/>
      </c>
      <c r="BA64" s="490" t="str">
        <f t="shared" si="69"/>
        <v/>
      </c>
      <c r="BB64" s="490" t="str">
        <f t="shared" si="58"/>
        <v/>
      </c>
      <c r="BC64" s="490" t="str">
        <f t="shared" si="18"/>
        <v/>
      </c>
      <c r="BD64" s="490" t="str">
        <f t="shared" si="19"/>
        <v/>
      </c>
      <c r="BE64" s="490" t="str">
        <f t="shared" ref="BE64:BF72" si="76">IF(K64="","",K64)</f>
        <v/>
      </c>
      <c r="BF64" s="490" t="str">
        <f t="shared" si="76"/>
        <v/>
      </c>
      <c r="BG64" s="490" t="str">
        <f t="shared" si="21"/>
        <v/>
      </c>
      <c r="BH64" s="490" t="str">
        <f t="shared" si="22"/>
        <v/>
      </c>
      <c r="BI64" s="84">
        <f t="shared" si="60"/>
        <v>0</v>
      </c>
    </row>
    <row r="65" spans="1:61" ht="18.75" customHeight="1">
      <c r="A65" s="629"/>
      <c r="B65" s="635"/>
      <c r="C65" s="615"/>
      <c r="D65" s="615"/>
      <c r="E65" s="620"/>
      <c r="F65" s="615"/>
      <c r="G65" s="401"/>
      <c r="H65" s="179" t="str">
        <f>IF(Z65&lt;&gt;"都市ガス","",IF(ISERROR(VLOOKUP(D65,非_都市ガス事業者!$O$8:$P$100,2,FALSE)),"",VLOOKUP(D65,非_都市ガス事業者!$O$8:$P$100,2,FALSE)))</f>
        <v/>
      </c>
      <c r="I65" s="402" t="str">
        <f>IF(Z65&lt;&gt;"都市ガス","",非_都市ガス事業者!$P$4)</f>
        <v/>
      </c>
      <c r="J65" s="520" t="str">
        <f>IF(C65="","",IF(COUNTIFS(C65,"*自ら生成*")&gt;0,"要記入",IF(Z65&lt;&gt;"都市ガス",VLOOKUP(C65,非_係数!$B$42:$D$55,2,FALSE),"")))</f>
        <v/>
      </c>
      <c r="K65" s="620"/>
      <c r="L65" s="87" t="str">
        <f t="shared" si="61"/>
        <v/>
      </c>
      <c r="M65" s="214" t="str">
        <f t="shared" si="62"/>
        <v/>
      </c>
      <c r="N65" s="615"/>
      <c r="O65" s="404"/>
      <c r="P65" s="401"/>
      <c r="Q65" s="615"/>
      <c r="R65" s="477"/>
      <c r="S65" s="509"/>
      <c r="T65" s="450" t="str">
        <f t="shared" si="70"/>
        <v/>
      </c>
      <c r="U65" s="451" t="str">
        <f t="shared" si="63"/>
        <v/>
      </c>
      <c r="V65" s="452" t="str">
        <f>IF(C65="","",VLOOKUP(C65,非_単位!$N$38:$O$53,2,FALSE))</f>
        <v/>
      </c>
      <c r="W65" s="450" t="str">
        <f t="shared" si="64"/>
        <v/>
      </c>
      <c r="X65" s="454" t="str">
        <f t="shared" si="65"/>
        <v/>
      </c>
      <c r="Z65" s="490" t="str">
        <f t="shared" si="52"/>
        <v/>
      </c>
      <c r="AA65" s="490" t="str">
        <f>IF(B65="","",IF(B65=非_燃料種類_選択リスト!$I$13,"外部供給_種類","外部供給以外_種類"))</f>
        <v/>
      </c>
      <c r="AB65" s="490" t="str">
        <f>IF(Z65&lt;&gt;"電気","",非_電気事業者!$S$4*1000)</f>
        <v/>
      </c>
      <c r="AC65" s="490" t="str">
        <f>IF(Z65&lt;&gt;"電気","",IF(ISERROR(VLOOKUP(D65&amp;F65,非_電気事業者!$R$9:$S$1500,2,FALSE)),"要記入",VLOOKUP(D65&amp;F65,非_電気事業者!$R$9:$S$1500,2,FALSE)*1000))</f>
        <v/>
      </c>
      <c r="AD65" s="490" t="str">
        <f>IF(Z65&lt;&gt;"熱","",非_熱供給事業者!$T$4)</f>
        <v/>
      </c>
      <c r="AE65" s="490" t="str">
        <f>IF(Z65&lt;&gt;"熱","",IF(ISERROR(VLOOKUP(D65&amp;F65,非_熱供給事業者!$S$8:$T$100,2,FALSE)),"要記入",VLOOKUP(D65&amp;F65,非_熱供給事業者!$S$8:$T$100,2,FALSE)))</f>
        <v/>
      </c>
      <c r="AF65" s="490" t="str">
        <f>IF(Z65&lt;&gt;"都市ガス","",非_都市ガス事業者!$AB$4)</f>
        <v/>
      </c>
      <c r="AG65" s="490" t="str">
        <f>IF(Z65&lt;&gt;"都市ガス","",IF(ISERROR(VLOOKUP(D65&amp;F65,非_都市ガス事業者!$AA$8:$AB$100,2,FALSE)),"要記入",VLOOKUP(D65&amp;F65,非_都市ガス事業者!$AA$8:$AB$100,2,FALSE)))</f>
        <v/>
      </c>
      <c r="AH65" s="490" t="str">
        <f t="shared" si="53"/>
        <v/>
      </c>
      <c r="AI65" s="490" t="str">
        <f t="shared" si="66"/>
        <v/>
      </c>
      <c r="AJ65" s="490" t="b">
        <f t="shared" si="12"/>
        <v>1</v>
      </c>
      <c r="AK65" s="490" t="str">
        <f>IF(Q65="","",VLOOKUP(Q65,非_単位補正換算!$B$3:$C$16,2,FALSE))</f>
        <v/>
      </c>
      <c r="AL65" s="490" t="str">
        <f>IF(Z65="","",IF(Z65&lt;&gt;"都市ガス",1,IF(G65="","",SUMIFS(非_単位補正換算!$D$52:$D$63,非_単位補正換算!$B$52:$B$63,"都市ガス"&amp;G65,非_単位補正換算!$C$52:$C$63,'13電気・熱_都市ガス'!Q65))))</f>
        <v/>
      </c>
      <c r="AM65" s="490" t="str">
        <f t="shared" si="67"/>
        <v/>
      </c>
      <c r="AN65" s="490" t="str">
        <f t="shared" si="54"/>
        <v/>
      </c>
      <c r="AO65" s="490" t="str">
        <f t="shared" si="55"/>
        <v/>
      </c>
      <c r="AP65" s="490" t="str">
        <f>IF(C65="","",VLOOKUP(C65,非_まとめ表行番号!$F$3:$H$12,2,FALSE))</f>
        <v/>
      </c>
      <c r="AQ65" s="490" t="b">
        <f t="shared" si="14"/>
        <v>1</v>
      </c>
      <c r="AR65" s="490" t="str">
        <f>IF(Z65="","",IF(Z65&lt;&gt;"都市ガス",1,非_係数!$G$55))</f>
        <v/>
      </c>
      <c r="AS65" s="490" t="str">
        <f t="shared" si="68"/>
        <v/>
      </c>
      <c r="AT65" s="490" t="str">
        <f t="shared" si="56"/>
        <v/>
      </c>
      <c r="AU65" s="490" t="str">
        <f>IF(C65="","",VLOOKUP(C65,非_係数!$B$42:$K$55,9,FALSE))</f>
        <v/>
      </c>
      <c r="AV65" s="490" t="str">
        <f t="shared" si="16"/>
        <v/>
      </c>
      <c r="AW65" s="490" t="str">
        <f>IF(C65="","",VLOOKUP(C65,非_まとめ表行番号!$F$3:$H$12,3,FALSE))</f>
        <v/>
      </c>
      <c r="AX65" s="490" t="str">
        <f t="shared" si="57"/>
        <v/>
      </c>
      <c r="AZ65" s="490" t="str">
        <f>IF(AP65="","",VLOOKUP(AP65,非_まとめ表行番号!$U$3:$V$56,2,FALSE))</f>
        <v/>
      </c>
      <c r="BA65" s="490" t="str">
        <f t="shared" si="69"/>
        <v/>
      </c>
      <c r="BB65" s="490" t="str">
        <f t="shared" si="58"/>
        <v/>
      </c>
      <c r="BC65" s="490" t="str">
        <f t="shared" si="18"/>
        <v/>
      </c>
      <c r="BD65" s="490" t="str">
        <f t="shared" si="19"/>
        <v/>
      </c>
      <c r="BE65" s="490" t="str">
        <f t="shared" si="76"/>
        <v/>
      </c>
      <c r="BF65" s="490" t="str">
        <f t="shared" si="76"/>
        <v/>
      </c>
      <c r="BG65" s="490" t="str">
        <f t="shared" si="21"/>
        <v/>
      </c>
      <c r="BH65" s="490" t="str">
        <f t="shared" si="22"/>
        <v/>
      </c>
      <c r="BI65" s="84">
        <f t="shared" si="60"/>
        <v>0</v>
      </c>
    </row>
    <row r="66" spans="1:61" ht="18.75" customHeight="1">
      <c r="A66" s="629"/>
      <c r="B66" s="635"/>
      <c r="C66" s="615"/>
      <c r="D66" s="615"/>
      <c r="E66" s="620"/>
      <c r="F66" s="615"/>
      <c r="G66" s="401"/>
      <c r="H66" s="179" t="str">
        <f>IF(Z66&lt;&gt;"都市ガス","",IF(ISERROR(VLOOKUP(D66,非_都市ガス事業者!$O$8:$P$100,2,FALSE)),"",VLOOKUP(D66,非_都市ガス事業者!$O$8:$P$100,2,FALSE)))</f>
        <v/>
      </c>
      <c r="I66" s="402" t="str">
        <f>IF(Z66&lt;&gt;"都市ガス","",非_都市ガス事業者!$P$4)</f>
        <v/>
      </c>
      <c r="J66" s="520" t="str">
        <f>IF(C66="","",IF(COUNTIFS(C66,"*自ら生成*")&gt;0,"要記入",IF(Z66&lt;&gt;"都市ガス",VLOOKUP(C66,非_係数!$B$42:$D$55,2,FALSE),"")))</f>
        <v/>
      </c>
      <c r="K66" s="620"/>
      <c r="L66" s="87" t="str">
        <f t="shared" si="61"/>
        <v/>
      </c>
      <c r="M66" s="214" t="str">
        <f t="shared" si="62"/>
        <v/>
      </c>
      <c r="N66" s="615"/>
      <c r="O66" s="404"/>
      <c r="P66" s="401"/>
      <c r="Q66" s="615"/>
      <c r="R66" s="569"/>
      <c r="S66" s="509"/>
      <c r="T66" s="450" t="str">
        <f t="shared" si="70"/>
        <v/>
      </c>
      <c r="U66" s="451" t="str">
        <f t="shared" si="63"/>
        <v/>
      </c>
      <c r="V66" s="452" t="str">
        <f>IF(C66="","",VLOOKUP(C66,非_単位!$N$38:$O$53,2,FALSE))</f>
        <v/>
      </c>
      <c r="W66" s="450" t="str">
        <f t="shared" si="64"/>
        <v/>
      </c>
      <c r="X66" s="454" t="str">
        <f t="shared" si="65"/>
        <v/>
      </c>
      <c r="Z66" s="490" t="str">
        <f t="shared" si="52"/>
        <v/>
      </c>
      <c r="AA66" s="490" t="str">
        <f>IF(B66="","",IF(B66=非_燃料種類_選択リスト!$I$13,"外部供給_種類","外部供給以外_種類"))</f>
        <v/>
      </c>
      <c r="AB66" s="490" t="str">
        <f>IF(Z66&lt;&gt;"電気","",非_電気事業者!$S$4*1000)</f>
        <v/>
      </c>
      <c r="AC66" s="490" t="str">
        <f>IF(Z66&lt;&gt;"電気","",IF(ISERROR(VLOOKUP(D66&amp;F66,非_電気事業者!$R$9:$S$1500,2,FALSE)),"要記入",VLOOKUP(D66&amp;F66,非_電気事業者!$R$9:$S$1500,2,FALSE)*1000))</f>
        <v/>
      </c>
      <c r="AD66" s="490" t="str">
        <f>IF(Z66&lt;&gt;"熱","",非_熱供給事業者!$T$4)</f>
        <v/>
      </c>
      <c r="AE66" s="490" t="str">
        <f>IF(Z66&lt;&gt;"熱","",IF(ISERROR(VLOOKUP(D66&amp;F66,非_熱供給事業者!$S$8:$T$100,2,FALSE)),"要記入",VLOOKUP(D66&amp;F66,非_熱供給事業者!$S$8:$T$100,2,FALSE)))</f>
        <v/>
      </c>
      <c r="AF66" s="490" t="str">
        <f>IF(Z66&lt;&gt;"都市ガス","",非_都市ガス事業者!$AB$4)</f>
        <v/>
      </c>
      <c r="AG66" s="490" t="str">
        <f>IF(Z66&lt;&gt;"都市ガス","",IF(ISERROR(VLOOKUP(D66&amp;F66,非_都市ガス事業者!$AA$8:$AB$100,2,FALSE)),"要記入",VLOOKUP(D66&amp;F66,非_都市ガス事業者!$AA$8:$AB$100,2,FALSE)))</f>
        <v/>
      </c>
      <c r="AH66" s="490" t="str">
        <f t="shared" si="53"/>
        <v/>
      </c>
      <c r="AI66" s="490" t="str">
        <f t="shared" si="66"/>
        <v/>
      </c>
      <c r="AJ66" s="490" t="b">
        <f t="shared" si="12"/>
        <v>1</v>
      </c>
      <c r="AK66" s="490" t="str">
        <f>IF(Q66="","",VLOOKUP(Q66,非_単位補正換算!$B$3:$C$16,2,FALSE))</f>
        <v/>
      </c>
      <c r="AL66" s="490" t="str">
        <f>IF(Z66="","",IF(Z66&lt;&gt;"都市ガス",1,IF(G66="","",SUMIFS(非_単位補正換算!$D$52:$D$63,非_単位補正換算!$B$52:$B$63,"都市ガス"&amp;G66,非_単位補正換算!$C$52:$C$63,'13電気・熱_都市ガス'!Q66))))</f>
        <v/>
      </c>
      <c r="AM66" s="490" t="str">
        <f t="shared" si="67"/>
        <v/>
      </c>
      <c r="AN66" s="490" t="str">
        <f t="shared" si="54"/>
        <v/>
      </c>
      <c r="AO66" s="490" t="str">
        <f t="shared" si="55"/>
        <v/>
      </c>
      <c r="AP66" s="490" t="str">
        <f>IF(C66="","",VLOOKUP(C66,非_まとめ表行番号!$F$3:$H$12,2,FALSE))</f>
        <v/>
      </c>
      <c r="AQ66" s="490" t="b">
        <f t="shared" si="14"/>
        <v>1</v>
      </c>
      <c r="AR66" s="490" t="str">
        <f>IF(Z66="","",IF(Z66&lt;&gt;"都市ガス",1,非_係数!$G$55))</f>
        <v/>
      </c>
      <c r="AS66" s="490" t="str">
        <f t="shared" si="68"/>
        <v/>
      </c>
      <c r="AT66" s="490" t="str">
        <f t="shared" si="56"/>
        <v/>
      </c>
      <c r="AU66" s="490" t="str">
        <f>IF(C66="","",VLOOKUP(C66,非_係数!$B$42:$K$55,9,FALSE))</f>
        <v/>
      </c>
      <c r="AV66" s="490" t="str">
        <f t="shared" si="16"/>
        <v/>
      </c>
      <c r="AW66" s="490" t="str">
        <f>IF(C66="","",VLOOKUP(C66,非_まとめ表行番号!$F$3:$H$12,3,FALSE))</f>
        <v/>
      </c>
      <c r="AX66" s="490" t="str">
        <f t="shared" si="57"/>
        <v/>
      </c>
      <c r="AZ66" s="490" t="str">
        <f>IF(AP66="","",VLOOKUP(AP66,非_まとめ表行番号!$U$3:$V$56,2,FALSE))</f>
        <v/>
      </c>
      <c r="BA66" s="490" t="str">
        <f t="shared" si="69"/>
        <v/>
      </c>
      <c r="BB66" s="490" t="str">
        <f t="shared" si="58"/>
        <v/>
      </c>
      <c r="BC66" s="490" t="str">
        <f t="shared" si="18"/>
        <v/>
      </c>
      <c r="BD66" s="490" t="str">
        <f t="shared" si="19"/>
        <v/>
      </c>
      <c r="BE66" s="490" t="str">
        <f t="shared" si="76"/>
        <v/>
      </c>
      <c r="BF66" s="490" t="str">
        <f t="shared" si="76"/>
        <v/>
      </c>
      <c r="BG66" s="490" t="str">
        <f t="shared" si="21"/>
        <v/>
      </c>
      <c r="BH66" s="490" t="str">
        <f t="shared" si="22"/>
        <v/>
      </c>
      <c r="BI66" s="84">
        <f t="shared" si="60"/>
        <v>0</v>
      </c>
    </row>
    <row r="67" spans="1:61" ht="18.75" customHeight="1">
      <c r="A67" s="629"/>
      <c r="B67" s="635"/>
      <c r="C67" s="615"/>
      <c r="D67" s="615"/>
      <c r="E67" s="620"/>
      <c r="F67" s="615"/>
      <c r="G67" s="401"/>
      <c r="H67" s="179" t="str">
        <f>IF(Z67&lt;&gt;"都市ガス","",IF(ISERROR(VLOOKUP(D67,非_都市ガス事業者!$O$8:$P$100,2,FALSE)),"",VLOOKUP(D67,非_都市ガス事業者!$O$8:$P$100,2,FALSE)))</f>
        <v/>
      </c>
      <c r="I67" s="402" t="str">
        <f>IF(Z67&lt;&gt;"都市ガス","",非_都市ガス事業者!$P$4)</f>
        <v/>
      </c>
      <c r="J67" s="520" t="str">
        <f>IF(C67="","",IF(COUNTIFS(C67,"*自ら生成*")&gt;0,"要記入",IF(Z67&lt;&gt;"都市ガス",VLOOKUP(C67,非_係数!$B$42:$D$55,2,FALSE),"")))</f>
        <v/>
      </c>
      <c r="K67" s="620"/>
      <c r="L67" s="87" t="str">
        <f t="shared" si="61"/>
        <v/>
      </c>
      <c r="M67" s="214" t="str">
        <f t="shared" si="62"/>
        <v/>
      </c>
      <c r="N67" s="615"/>
      <c r="O67" s="404"/>
      <c r="P67" s="401"/>
      <c r="Q67" s="615"/>
      <c r="R67" s="569"/>
      <c r="S67" s="509"/>
      <c r="T67" s="450" t="str">
        <f t="shared" si="70"/>
        <v/>
      </c>
      <c r="U67" s="451" t="str">
        <f t="shared" si="63"/>
        <v/>
      </c>
      <c r="V67" s="452" t="str">
        <f>IF(C67="","",VLOOKUP(C67,非_単位!$N$38:$O$53,2,FALSE))</f>
        <v/>
      </c>
      <c r="W67" s="450" t="str">
        <f t="shared" si="64"/>
        <v/>
      </c>
      <c r="X67" s="454" t="str">
        <f t="shared" si="65"/>
        <v/>
      </c>
      <c r="Z67" s="490" t="str">
        <f t="shared" si="52"/>
        <v/>
      </c>
      <c r="AA67" s="490" t="str">
        <f>IF(B67="","",IF(B67=非_燃料種類_選択リスト!$I$13,"外部供給_種類","外部供給以外_種類"))</f>
        <v/>
      </c>
      <c r="AB67" s="490" t="str">
        <f>IF(Z67&lt;&gt;"電気","",非_電気事業者!$S$4*1000)</f>
        <v/>
      </c>
      <c r="AC67" s="490" t="str">
        <f>IF(Z67&lt;&gt;"電気","",IF(ISERROR(VLOOKUP(D67&amp;F67,非_電気事業者!$R$9:$S$1500,2,FALSE)),"要記入",VLOOKUP(D67&amp;F67,非_電気事業者!$R$9:$S$1500,2,FALSE)*1000))</f>
        <v/>
      </c>
      <c r="AD67" s="490" t="str">
        <f>IF(Z67&lt;&gt;"熱","",非_熱供給事業者!$T$4)</f>
        <v/>
      </c>
      <c r="AE67" s="490" t="str">
        <f>IF(Z67&lt;&gt;"熱","",IF(ISERROR(VLOOKUP(D67&amp;F67,非_熱供給事業者!$S$8:$T$100,2,FALSE)),"要記入",VLOOKUP(D67&amp;F67,非_熱供給事業者!$S$8:$T$100,2,FALSE)))</f>
        <v/>
      </c>
      <c r="AF67" s="490" t="str">
        <f>IF(Z67&lt;&gt;"都市ガス","",非_都市ガス事業者!$AB$4)</f>
        <v/>
      </c>
      <c r="AG67" s="490" t="str">
        <f>IF(Z67&lt;&gt;"都市ガス","",IF(ISERROR(VLOOKUP(D67&amp;F67,非_都市ガス事業者!$AA$8:$AB$100,2,FALSE)),"要記入",VLOOKUP(D67&amp;F67,非_都市ガス事業者!$AA$8:$AB$100,2,FALSE)))</f>
        <v/>
      </c>
      <c r="AH67" s="490" t="str">
        <f t="shared" si="53"/>
        <v/>
      </c>
      <c r="AI67" s="490" t="str">
        <f t="shared" si="66"/>
        <v/>
      </c>
      <c r="AJ67" s="490" t="b">
        <f t="shared" si="12"/>
        <v>1</v>
      </c>
      <c r="AK67" s="490" t="str">
        <f>IF(Q67="","",VLOOKUP(Q67,非_単位補正換算!$B$3:$C$16,2,FALSE))</f>
        <v/>
      </c>
      <c r="AL67" s="490" t="str">
        <f>IF(Z67="","",IF(Z67&lt;&gt;"都市ガス",1,IF(G67="","",SUMIFS(非_単位補正換算!$D$52:$D$63,非_単位補正換算!$B$52:$B$63,"都市ガス"&amp;G67,非_単位補正換算!$C$52:$C$63,'13電気・熱_都市ガス'!Q67))))</f>
        <v/>
      </c>
      <c r="AM67" s="490" t="str">
        <f t="shared" si="67"/>
        <v/>
      </c>
      <c r="AN67" s="490" t="str">
        <f t="shared" si="54"/>
        <v/>
      </c>
      <c r="AO67" s="490" t="str">
        <f t="shared" si="55"/>
        <v/>
      </c>
      <c r="AP67" s="490" t="str">
        <f>IF(C67="","",VLOOKUP(C67,非_まとめ表行番号!$F$3:$H$12,2,FALSE))</f>
        <v/>
      </c>
      <c r="AQ67" s="490" t="b">
        <f t="shared" si="14"/>
        <v>1</v>
      </c>
      <c r="AR67" s="490" t="str">
        <f>IF(Z67="","",IF(Z67&lt;&gt;"都市ガス",1,非_係数!$G$55))</f>
        <v/>
      </c>
      <c r="AS67" s="490" t="str">
        <f t="shared" si="68"/>
        <v/>
      </c>
      <c r="AT67" s="490" t="str">
        <f t="shared" si="56"/>
        <v/>
      </c>
      <c r="AU67" s="490" t="str">
        <f>IF(C67="","",VLOOKUP(C67,非_係数!$B$42:$K$55,9,FALSE))</f>
        <v/>
      </c>
      <c r="AV67" s="490" t="str">
        <f t="shared" si="16"/>
        <v/>
      </c>
      <c r="AW67" s="490" t="str">
        <f>IF(C67="","",VLOOKUP(C67,非_まとめ表行番号!$F$3:$H$12,3,FALSE))</f>
        <v/>
      </c>
      <c r="AX67" s="490" t="str">
        <f t="shared" si="57"/>
        <v/>
      </c>
      <c r="AZ67" s="490" t="str">
        <f>IF(AP67="","",VLOOKUP(AP67,非_まとめ表行番号!$U$3:$V$56,2,FALSE))</f>
        <v/>
      </c>
      <c r="BA67" s="490" t="str">
        <f t="shared" si="69"/>
        <v/>
      </c>
      <c r="BB67" s="490" t="str">
        <f t="shared" si="58"/>
        <v/>
      </c>
      <c r="BC67" s="490" t="str">
        <f t="shared" si="18"/>
        <v/>
      </c>
      <c r="BD67" s="490" t="str">
        <f t="shared" si="19"/>
        <v/>
      </c>
      <c r="BE67" s="490" t="str">
        <f t="shared" si="76"/>
        <v/>
      </c>
      <c r="BF67" s="490" t="str">
        <f t="shared" si="76"/>
        <v/>
      </c>
      <c r="BG67" s="490" t="str">
        <f t="shared" si="21"/>
        <v/>
      </c>
      <c r="BH67" s="490" t="str">
        <f t="shared" si="22"/>
        <v/>
      </c>
      <c r="BI67" s="84">
        <f t="shared" si="60"/>
        <v>0</v>
      </c>
    </row>
    <row r="68" spans="1:61" ht="18.75" customHeight="1" thickBot="1">
      <c r="A68" s="629"/>
      <c r="B68" s="635"/>
      <c r="C68" s="615"/>
      <c r="D68" s="615"/>
      <c r="E68" s="620"/>
      <c r="F68" s="615"/>
      <c r="G68" s="401"/>
      <c r="H68" s="179" t="str">
        <f>IF(Z68&lt;&gt;"都市ガス","",IF(ISERROR(VLOOKUP(D68,非_都市ガス事業者!$O$8:$P$100,2,FALSE)),"",VLOOKUP(D68,非_都市ガス事業者!$O$8:$P$100,2,FALSE)))</f>
        <v/>
      </c>
      <c r="I68" s="402" t="str">
        <f>IF(Z68&lt;&gt;"都市ガス","",非_都市ガス事業者!$P$4)</f>
        <v/>
      </c>
      <c r="J68" s="520" t="str">
        <f>IF(C68="","",IF(COUNTIFS(C68,"*自ら生成*")&gt;0,"要記入",IF(Z68&lt;&gt;"都市ガス",VLOOKUP(C68,非_係数!$B$42:$D$55,2,FALSE),"")))</f>
        <v/>
      </c>
      <c r="K68" s="620"/>
      <c r="L68" s="87" t="str">
        <f t="shared" ref="L68:L70" si="77">AH68</f>
        <v/>
      </c>
      <c r="M68" s="214" t="str">
        <f t="shared" ref="M68:M70" si="78">AI68</f>
        <v/>
      </c>
      <c r="N68" s="615"/>
      <c r="O68" s="404"/>
      <c r="P68" s="401"/>
      <c r="Q68" s="615"/>
      <c r="R68" s="569"/>
      <c r="S68" s="509"/>
      <c r="T68" s="450" t="str">
        <f t="shared" si="70"/>
        <v/>
      </c>
      <c r="U68" s="451" t="str">
        <f t="shared" ref="U68:U70" si="79">IF(AM68="","",-1*AM68)</f>
        <v/>
      </c>
      <c r="V68" s="452" t="str">
        <f>IF(C68="","",VLOOKUP(C68,非_単位!$N$38:$O$53,2,FALSE))</f>
        <v/>
      </c>
      <c r="W68" s="450" t="str">
        <f t="shared" ref="W68:W70" si="80">IF(AN68="","",-1*AN68)</f>
        <v/>
      </c>
      <c r="X68" s="454" t="str">
        <f t="shared" ref="X68:X70" si="81">IF(AO68="","",-1*AO68)</f>
        <v/>
      </c>
      <c r="Z68" s="663" t="str">
        <f t="shared" si="52"/>
        <v/>
      </c>
      <c r="AA68" s="663" t="str">
        <f>IF(B68="","",IF(B68=非_燃料種類_選択リスト!$I$13,"外部供給_種類","外部供給以外_種類"))</f>
        <v/>
      </c>
      <c r="AB68" s="663" t="str">
        <f>IF(Z68&lt;&gt;"電気","",非_電気事業者!$S$4*1000)</f>
        <v/>
      </c>
      <c r="AC68" s="663" t="str">
        <f>IF(Z68&lt;&gt;"電気","",IF(ISERROR(VLOOKUP(D68&amp;F68,非_電気事業者!$R$9:$S$1500,2,FALSE)),"要記入",VLOOKUP(D68&amp;F68,非_電気事業者!$R$9:$S$1500,2,FALSE)*1000))</f>
        <v/>
      </c>
      <c r="AD68" s="663" t="str">
        <f>IF(Z68&lt;&gt;"熱","",非_熱供給事業者!$T$4)</f>
        <v/>
      </c>
      <c r="AE68" s="663" t="str">
        <f>IF(Z68&lt;&gt;"熱","",IF(ISERROR(VLOOKUP(D68&amp;F68,非_熱供給事業者!$S$8:$T$100,2,FALSE)),"要記入",VLOOKUP(D68&amp;F68,非_熱供給事業者!$S$8:$T$100,2,FALSE)))</f>
        <v/>
      </c>
      <c r="AF68" s="663" t="str">
        <f>IF(Z68&lt;&gt;"都市ガス","",非_都市ガス事業者!$AB$4)</f>
        <v/>
      </c>
      <c r="AG68" s="663" t="str">
        <f>IF(Z68&lt;&gt;"都市ガス","",IF(ISERROR(VLOOKUP(D68&amp;F68,非_都市ガス事業者!$AA$8:$AB$100,2,FALSE)),"要記入",VLOOKUP(D68&amp;F68,非_都市ガス事業者!$AA$8:$AB$100,2,FALSE)))</f>
        <v/>
      </c>
      <c r="AH68" s="663" t="str">
        <f t="shared" si="53"/>
        <v/>
      </c>
      <c r="AI68" s="663" t="str">
        <f t="shared" ref="AI68:AI70" si="82">IF(Z68="電気","t-CO2/千kWh",IF(Z68="熱","t-CO2/GJ",IF(Z68="都市ガス","t-CO2/千m3(SATP)","")))</f>
        <v/>
      </c>
      <c r="AJ68" s="663" t="b">
        <f t="shared" si="12"/>
        <v>1</v>
      </c>
      <c r="AK68" s="663" t="str">
        <f>IF(Q68="","",VLOOKUP(Q68,非_単位補正換算!$B$3:$C$16,2,FALSE))</f>
        <v/>
      </c>
      <c r="AL68" s="663" t="str">
        <f>IF(Z68="","",IF(Z68&lt;&gt;"都市ガス",1,IF(G68="","",SUMIFS(非_単位補正換算!$D$52:$D$63,非_単位補正換算!$B$52:$B$63,"都市ガス"&amp;G68,非_単位補正換算!$C$52:$C$63,'13電気・熱_都市ガス'!Q68))))</f>
        <v/>
      </c>
      <c r="AM68" s="663" t="str">
        <f t="shared" si="67"/>
        <v/>
      </c>
      <c r="AN68" s="663" t="str">
        <f t="shared" si="54"/>
        <v/>
      </c>
      <c r="AO68" s="663" t="str">
        <f t="shared" si="55"/>
        <v/>
      </c>
      <c r="AP68" s="663" t="str">
        <f>IF(C68="","",VLOOKUP(C68,非_まとめ表行番号!$F$3:$H$12,2,FALSE))</f>
        <v/>
      </c>
      <c r="AQ68" s="663" t="b">
        <f t="shared" si="14"/>
        <v>1</v>
      </c>
      <c r="AR68" s="663" t="str">
        <f>IF(Z68="","",IF(Z68&lt;&gt;"都市ガス",1,非_係数!$G$55))</f>
        <v/>
      </c>
      <c r="AS68" s="663" t="str">
        <f t="shared" ref="AS68:AS70" si="83">IF(AM68="","",AM68*AR68)</f>
        <v/>
      </c>
      <c r="AT68" s="663" t="str">
        <f t="shared" si="56"/>
        <v/>
      </c>
      <c r="AU68" s="663" t="str">
        <f>IF(C68="","",VLOOKUP(C68,非_係数!$B$42:$K$55,9,FALSE))</f>
        <v/>
      </c>
      <c r="AV68" s="663" t="str">
        <f t="shared" ref="AV68:AV70" si="84">IF(AND(AS68&lt;&gt;"",AU68&lt;&gt;""),IF(Z68&lt;&gt;"都市ガス",AS68*AU68,AT68*AU68*44/12),"")</f>
        <v/>
      </c>
      <c r="AW68" s="663" t="str">
        <f>IF(C68="","",VLOOKUP(C68,非_まとめ表行番号!$F$3:$H$12,3,FALSE))</f>
        <v/>
      </c>
      <c r="AX68" s="663" t="str">
        <f t="shared" si="57"/>
        <v/>
      </c>
      <c r="AZ68" s="663" t="str">
        <f>IF(AP68="","",VLOOKUP(AP68,非_まとめ表行番号!$U$3:$V$56,2,FALSE))</f>
        <v/>
      </c>
      <c r="BA68" s="663" t="str">
        <f t="shared" si="69"/>
        <v/>
      </c>
      <c r="BB68" s="663" t="str">
        <f t="shared" si="58"/>
        <v/>
      </c>
      <c r="BC68" s="663" t="str">
        <f t="shared" si="18"/>
        <v/>
      </c>
      <c r="BD68" s="663" t="str">
        <f t="shared" si="19"/>
        <v/>
      </c>
      <c r="BE68" s="663" t="str">
        <f t="shared" si="76"/>
        <v/>
      </c>
      <c r="BF68" s="663" t="str">
        <f t="shared" si="76"/>
        <v/>
      </c>
      <c r="BG68" s="663" t="str">
        <f t="shared" si="21"/>
        <v/>
      </c>
      <c r="BH68" s="663" t="str">
        <f t="shared" si="22"/>
        <v/>
      </c>
      <c r="BI68" s="84">
        <f t="shared" si="60"/>
        <v>0</v>
      </c>
    </row>
    <row r="69" spans="1:61" ht="18.75" customHeight="1" thickTop="1" thickBot="1">
      <c r="A69" s="630"/>
      <c r="B69" s="636"/>
      <c r="C69" s="617"/>
      <c r="D69" s="617"/>
      <c r="E69" s="621"/>
      <c r="F69" s="617"/>
      <c r="G69" s="401"/>
      <c r="H69" s="179" t="str">
        <f>IF(Z69&lt;&gt;"都市ガス","",IF(ISERROR(VLOOKUP(D69,非_都市ガス事業者!$O$8:$P$100,2,FALSE)),"",VLOOKUP(D69,非_都市ガス事業者!$O$8:$P$100,2,FALSE)))</f>
        <v/>
      </c>
      <c r="I69" s="402" t="str">
        <f>IF(Z69&lt;&gt;"都市ガス","",非_都市ガス事業者!$P$4)</f>
        <v/>
      </c>
      <c r="J69" s="520" t="str">
        <f>IF(C69="","",IF(COUNTIFS(C69,"*自ら生成*")&gt;0,"要記入",IF(Z69&lt;&gt;"都市ガス",VLOOKUP(C69,非_係数!$B$42:$D$55,2,FALSE),"")))</f>
        <v/>
      </c>
      <c r="K69" s="621"/>
      <c r="L69" s="654" t="str">
        <f t="shared" si="77"/>
        <v/>
      </c>
      <c r="M69" s="655" t="str">
        <f t="shared" si="78"/>
        <v/>
      </c>
      <c r="N69" s="617"/>
      <c r="O69" s="548"/>
      <c r="P69" s="656"/>
      <c r="Q69" s="617"/>
      <c r="R69" s="657"/>
      <c r="S69" s="551"/>
      <c r="T69" s="658" t="str">
        <f t="shared" si="70"/>
        <v/>
      </c>
      <c r="U69" s="659" t="str">
        <f t="shared" si="79"/>
        <v/>
      </c>
      <c r="V69" s="660" t="str">
        <f>IF(C69="","",VLOOKUP(C69,非_単位!$N$38:$O$53,2,FALSE))</f>
        <v/>
      </c>
      <c r="W69" s="658" t="str">
        <f t="shared" si="80"/>
        <v/>
      </c>
      <c r="X69" s="661" t="str">
        <f t="shared" si="81"/>
        <v/>
      </c>
      <c r="Z69" s="578" t="str">
        <f t="shared" si="52"/>
        <v/>
      </c>
      <c r="AA69" s="578" t="str">
        <f>IF(B69="","",IF(B69=非_燃料種類_選択リスト!$I$13,"外部供給_種類","外部供給以外_種類"))</f>
        <v/>
      </c>
      <c r="AB69" s="578" t="str">
        <f>IF(Z69&lt;&gt;"電気","",非_電気事業者!$S$4*1000)</f>
        <v/>
      </c>
      <c r="AC69" s="578" t="str">
        <f>IF(Z69&lt;&gt;"電気","",IF(ISERROR(VLOOKUP(D69&amp;F69,非_電気事業者!$R$9:$S$1500,2,FALSE)),"要記入",VLOOKUP(D69&amp;F69,非_電気事業者!$R$9:$S$1500,2,FALSE)*1000))</f>
        <v/>
      </c>
      <c r="AD69" s="578" t="str">
        <f>IF(Z69&lt;&gt;"熱","",非_熱供給事業者!$T$4)</f>
        <v/>
      </c>
      <c r="AE69" s="578" t="str">
        <f>IF(Z69&lt;&gt;"熱","",IF(ISERROR(VLOOKUP(D69&amp;F69,非_熱供給事業者!$S$8:$T$100,2,FALSE)),"要記入",VLOOKUP(D69&amp;F69,非_熱供給事業者!$S$8:$T$100,2,FALSE)))</f>
        <v/>
      </c>
      <c r="AF69" s="578" t="str">
        <f>IF(Z69&lt;&gt;"都市ガス","",非_都市ガス事業者!$AB$4)</f>
        <v/>
      </c>
      <c r="AG69" s="578" t="str">
        <f>IF(Z69&lt;&gt;"都市ガス","",IF(ISERROR(VLOOKUP(D69&amp;F69,非_都市ガス事業者!$AA$8:$AB$100,2,FALSE)),"要記入",VLOOKUP(D69&amp;F69,非_都市ガス事業者!$AA$8:$AB$100,2,FALSE)))</f>
        <v/>
      </c>
      <c r="AH69" s="578" t="str">
        <f t="shared" si="53"/>
        <v/>
      </c>
      <c r="AI69" s="578" t="str">
        <f t="shared" si="82"/>
        <v/>
      </c>
      <c r="AJ69" s="578" t="b">
        <f t="shared" si="12"/>
        <v>1</v>
      </c>
      <c r="AK69" s="578" t="str">
        <f>IF(Q69="","",VLOOKUP(Q69,非_単位補正換算!$B$3:$C$16,2,FALSE))</f>
        <v/>
      </c>
      <c r="AL69" s="578" t="str">
        <f>IF(Z69="","",IF(Z69&lt;&gt;"都市ガス",1,IF(G69="","",SUMIFS(非_単位補正換算!$D$52:$D$63,非_単位補正換算!$B$52:$B$63,"都市ガス"&amp;G69,非_単位補正換算!$C$52:$C$63,'13電気・熱_都市ガス'!Q69))))</f>
        <v/>
      </c>
      <c r="AM69" s="578" t="str">
        <f t="shared" si="67"/>
        <v/>
      </c>
      <c r="AN69" s="578" t="str">
        <f t="shared" si="54"/>
        <v/>
      </c>
      <c r="AO69" s="578" t="str">
        <f t="shared" si="55"/>
        <v/>
      </c>
      <c r="AP69" s="578" t="str">
        <f>IF(C69="","",VLOOKUP(C69,非_まとめ表行番号!$F$3:$H$12,2,FALSE))</f>
        <v/>
      </c>
      <c r="AQ69" s="578" t="b">
        <f t="shared" si="14"/>
        <v>1</v>
      </c>
      <c r="AR69" s="578" t="str">
        <f>IF(Z69="","",IF(Z69&lt;&gt;"都市ガス",1,非_係数!$G$55))</f>
        <v/>
      </c>
      <c r="AS69" s="578" t="str">
        <f t="shared" si="83"/>
        <v/>
      </c>
      <c r="AT69" s="578" t="str">
        <f t="shared" si="56"/>
        <v/>
      </c>
      <c r="AU69" s="578" t="str">
        <f>IF(C69="","",VLOOKUP(C69,非_係数!$B$42:$K$55,9,FALSE))</f>
        <v/>
      </c>
      <c r="AV69" s="578" t="str">
        <f t="shared" si="84"/>
        <v/>
      </c>
      <c r="AW69" s="578" t="str">
        <f>IF(C69="","",VLOOKUP(C69,非_まとめ表行番号!$F$3:$H$12,3,FALSE))</f>
        <v/>
      </c>
      <c r="AX69" s="578" t="str">
        <f t="shared" si="57"/>
        <v/>
      </c>
      <c r="AZ69" s="578" t="str">
        <f>IF(AP69="","",VLOOKUP(AP69,非_まとめ表行番号!$U$3:$V$56,2,FALSE))</f>
        <v/>
      </c>
      <c r="BA69" s="578" t="str">
        <f t="shared" si="69"/>
        <v/>
      </c>
      <c r="BB69" s="578" t="str">
        <f t="shared" si="58"/>
        <v/>
      </c>
      <c r="BC69" s="578" t="str">
        <f t="shared" si="18"/>
        <v/>
      </c>
      <c r="BD69" s="578" t="str">
        <f t="shared" si="19"/>
        <v/>
      </c>
      <c r="BE69" s="578" t="str">
        <f t="shared" si="76"/>
        <v/>
      </c>
      <c r="BF69" s="578" t="str">
        <f t="shared" si="76"/>
        <v/>
      </c>
      <c r="BG69" s="578" t="str">
        <f t="shared" si="21"/>
        <v/>
      </c>
      <c r="BH69" s="578" t="str">
        <f t="shared" si="22"/>
        <v/>
      </c>
      <c r="BI69" s="708">
        <f t="shared" si="60"/>
        <v>0</v>
      </c>
    </row>
    <row r="70" spans="1:61" ht="18.75" customHeight="1" thickTop="1">
      <c r="A70" s="586" t="s">
        <v>2060</v>
      </c>
      <c r="B70" s="595"/>
      <c r="C70" s="623"/>
      <c r="D70" s="623"/>
      <c r="E70" s="596"/>
      <c r="F70" s="623"/>
      <c r="G70" s="401"/>
      <c r="H70" s="179" t="str">
        <f>IF(Z70&lt;&gt;"都市ガス","",IF(ISERROR(VLOOKUP(D70,非_都市ガス事業者!$O$8:$P$100,2,FALSE)),"",VLOOKUP(D70,非_都市ガス事業者!$O$8:$P$100,2,FALSE)))</f>
        <v/>
      </c>
      <c r="I70" s="402" t="str">
        <f>IF(Z70&lt;&gt;"都市ガス","",非_都市ガス事業者!$P$4)</f>
        <v/>
      </c>
      <c r="J70" s="520" t="str">
        <f>IF(C70="","",IF(COUNTIFS(C70,"*自ら生成*")&gt;0,"要記入",IF(Z70&lt;&gt;"都市ガス",VLOOKUP(C70,非_係数!$B$42:$D$55,2,FALSE),"")))</f>
        <v/>
      </c>
      <c r="K70" s="596"/>
      <c r="L70" s="503" t="str">
        <f t="shared" si="77"/>
        <v/>
      </c>
      <c r="M70" s="645" t="str">
        <f t="shared" si="78"/>
        <v/>
      </c>
      <c r="N70" s="623"/>
      <c r="O70" s="403"/>
      <c r="P70" s="401"/>
      <c r="Q70" s="623"/>
      <c r="R70" s="646"/>
      <c r="S70" s="647"/>
      <c r="T70" s="453" t="str">
        <f t="shared" si="70"/>
        <v/>
      </c>
      <c r="U70" s="451" t="str">
        <f t="shared" si="79"/>
        <v/>
      </c>
      <c r="V70" s="452" t="str">
        <f>IF(C70="","",VLOOKUP(C70,非_単位!$N$38:$O$53,2,FALSE))</f>
        <v/>
      </c>
      <c r="W70" s="453" t="str">
        <f t="shared" si="80"/>
        <v/>
      </c>
      <c r="X70" s="439" t="str">
        <f t="shared" si="81"/>
        <v/>
      </c>
      <c r="Z70" s="490" t="str">
        <f t="shared" si="52"/>
        <v/>
      </c>
      <c r="AA70" s="490" t="str">
        <f>IF(B70="","",IF(B70=非_燃料種類_選択リスト!$I$13,"外部供給_種類","外部供給以外_種類"))</f>
        <v/>
      </c>
      <c r="AB70" s="490" t="str">
        <f>IF(Z70&lt;&gt;"電気","",非_電気事業者!$S$4*1000)</f>
        <v/>
      </c>
      <c r="AC70" s="490" t="str">
        <f>IF(Z70&lt;&gt;"電気","",IF(ISERROR(VLOOKUP(D70&amp;F70,非_電気事業者!$R$9:$S$1500,2,FALSE)),"要記入",VLOOKUP(D70&amp;F70,非_電気事業者!$R$9:$S$1500,2,FALSE)*1000))</f>
        <v/>
      </c>
      <c r="AD70" s="490" t="str">
        <f>IF(Z70&lt;&gt;"熱","",非_熱供給事業者!$T$4)</f>
        <v/>
      </c>
      <c r="AE70" s="490" t="str">
        <f>IF(Z70&lt;&gt;"熱","",IF(ISERROR(VLOOKUP(D70&amp;F70,非_熱供給事業者!$S$8:$T$100,2,FALSE)),"要記入",VLOOKUP(D70&amp;F70,非_熱供給事業者!$S$8:$T$100,2,FALSE)))</f>
        <v/>
      </c>
      <c r="AF70" s="490" t="str">
        <f>IF(Z70&lt;&gt;"都市ガス","",非_都市ガス事業者!$AB$4)</f>
        <v/>
      </c>
      <c r="AG70" s="490" t="str">
        <f>IF(Z70&lt;&gt;"都市ガス","",IF(ISERROR(VLOOKUP(D70&amp;F70,非_都市ガス事業者!$AA$8:$AB$100,2,FALSE)),"要記入",VLOOKUP(D70&amp;F70,非_都市ガス事業者!$AA$8:$AB$100,2,FALSE)))</f>
        <v/>
      </c>
      <c r="AH70" s="490" t="str">
        <f t="shared" si="53"/>
        <v/>
      </c>
      <c r="AI70" s="490" t="str">
        <f t="shared" si="82"/>
        <v/>
      </c>
      <c r="AJ70" s="490" t="b">
        <f t="shared" si="12"/>
        <v>1</v>
      </c>
      <c r="AK70" s="490" t="str">
        <f>IF(Q70="","",VLOOKUP(Q70,非_単位補正換算!$B$3:$C$16,2,FALSE))</f>
        <v/>
      </c>
      <c r="AL70" s="490" t="str">
        <f>IF(Z70="","",IF(Z70&lt;&gt;"都市ガス",1,IF(G70="","",SUMIFS(非_単位補正換算!$D$52:$D$63,非_単位補正換算!$B$52:$B$63,"都市ガス"&amp;G70,非_単位補正換算!$C$52:$C$63,'13電気・熱_都市ガス'!Q70))))</f>
        <v/>
      </c>
      <c r="AM70" s="490" t="str">
        <f t="shared" si="67"/>
        <v/>
      </c>
      <c r="AN70" s="490" t="str">
        <f t="shared" si="54"/>
        <v/>
      </c>
      <c r="AO70" s="490" t="str">
        <f t="shared" si="55"/>
        <v/>
      </c>
      <c r="AP70" s="490" t="str">
        <f>IF(C70="","",VLOOKUP(C70,非_まとめ表行番号!$F$3:$H$12,2,FALSE))</f>
        <v/>
      </c>
      <c r="AQ70" s="490" t="b">
        <f t="shared" si="14"/>
        <v>1</v>
      </c>
      <c r="AR70" s="490" t="str">
        <f>IF(Z70="","",IF(Z70&lt;&gt;"都市ガス",1,非_係数!$G$55))</f>
        <v/>
      </c>
      <c r="AS70" s="490" t="str">
        <f t="shared" si="83"/>
        <v/>
      </c>
      <c r="AT70" s="490" t="str">
        <f t="shared" si="56"/>
        <v/>
      </c>
      <c r="AU70" s="490" t="str">
        <f>IF(C70="","",VLOOKUP(C70,非_係数!$B$42:$K$55,9,FALSE))</f>
        <v/>
      </c>
      <c r="AV70" s="490" t="str">
        <f t="shared" si="84"/>
        <v/>
      </c>
      <c r="AW70" s="490" t="str">
        <f>IF(C70="","",VLOOKUP(C70,非_まとめ表行番号!$F$3:$H$12,3,FALSE))</f>
        <v/>
      </c>
      <c r="AX70" s="490" t="str">
        <f t="shared" si="57"/>
        <v/>
      </c>
      <c r="AZ70" s="490" t="str">
        <f>IF(AP70="","",VLOOKUP(AP70,非_まとめ表行番号!$U$3:$V$56,2,FALSE))</f>
        <v/>
      </c>
      <c r="BA70" s="490" t="str">
        <f t="shared" si="69"/>
        <v/>
      </c>
      <c r="BB70" s="490" t="str">
        <f t="shared" si="58"/>
        <v/>
      </c>
      <c r="BC70" s="490" t="str">
        <f t="shared" si="18"/>
        <v/>
      </c>
      <c r="BD70" s="490" t="str">
        <f t="shared" si="19"/>
        <v/>
      </c>
      <c r="BE70" s="490" t="str">
        <f t="shared" si="76"/>
        <v/>
      </c>
      <c r="BF70" s="490" t="str">
        <f t="shared" si="76"/>
        <v/>
      </c>
      <c r="BG70" s="490" t="str">
        <f t="shared" si="21"/>
        <v/>
      </c>
      <c r="BH70" s="490" t="str">
        <f t="shared" si="22"/>
        <v/>
      </c>
      <c r="BI70" s="84">
        <f t="shared" si="60"/>
        <v>0</v>
      </c>
    </row>
    <row r="71" spans="1:61" ht="18.75" customHeight="1">
      <c r="A71" s="586"/>
      <c r="B71" s="595"/>
      <c r="C71" s="623"/>
      <c r="D71" s="623"/>
      <c r="E71" s="596"/>
      <c r="F71" s="623"/>
      <c r="G71" s="401"/>
      <c r="H71" s="179" t="str">
        <f>IF(Z71&lt;&gt;"都市ガス","",IF(ISERROR(VLOOKUP(D71,非_都市ガス事業者!$O$8:$P$100,2,FALSE)),"",VLOOKUP(D71,非_都市ガス事業者!$O$8:$P$100,2,FALSE)))</f>
        <v/>
      </c>
      <c r="I71" s="402" t="str">
        <f>IF(Z71&lt;&gt;"都市ガス","",非_都市ガス事業者!$P$4)</f>
        <v/>
      </c>
      <c r="J71" s="520" t="str">
        <f>IF(C71="","",IF(COUNTIFS(C71,"*自ら生成*")&gt;0,"要記入",IF(Z71&lt;&gt;"都市ガス",VLOOKUP(C71,非_係数!$B$42:$D$55,2,FALSE),"")))</f>
        <v/>
      </c>
      <c r="K71" s="596"/>
      <c r="L71" s="87" t="str">
        <f t="shared" si="61"/>
        <v/>
      </c>
      <c r="M71" s="214" t="str">
        <f t="shared" si="62"/>
        <v/>
      </c>
      <c r="N71" s="623"/>
      <c r="O71" s="404"/>
      <c r="P71" s="401"/>
      <c r="Q71" s="623"/>
      <c r="R71" s="569"/>
      <c r="S71" s="509"/>
      <c r="T71" s="450" t="str">
        <f t="shared" si="70"/>
        <v/>
      </c>
      <c r="U71" s="451" t="str">
        <f t="shared" si="63"/>
        <v/>
      </c>
      <c r="V71" s="452" t="str">
        <f>IF(C71="","",VLOOKUP(C71,非_単位!$N$38:$O$53,2,FALSE))</f>
        <v/>
      </c>
      <c r="W71" s="450" t="str">
        <f t="shared" si="64"/>
        <v/>
      </c>
      <c r="X71" s="454" t="str">
        <f t="shared" si="65"/>
        <v/>
      </c>
      <c r="Z71" s="490" t="str">
        <f t="shared" si="52"/>
        <v/>
      </c>
      <c r="AA71" s="490" t="str">
        <f>IF(B71="","",IF(B71=非_燃料種類_選択リスト!$I$13,"外部供給_種類","外部供給以外_種類"))</f>
        <v/>
      </c>
      <c r="AB71" s="490" t="str">
        <f>IF(Z71&lt;&gt;"電気","",非_電気事業者!$S$4*1000)</f>
        <v/>
      </c>
      <c r="AC71" s="490" t="str">
        <f>IF(Z71&lt;&gt;"電気","",IF(ISERROR(VLOOKUP(D71&amp;F71,非_電気事業者!$R$9:$S$1500,2,FALSE)),"要記入",VLOOKUP(D71&amp;F71,非_電気事業者!$R$9:$S$1500,2,FALSE)*1000))</f>
        <v/>
      </c>
      <c r="AD71" s="490" t="str">
        <f>IF(Z71&lt;&gt;"熱","",非_熱供給事業者!$T$4)</f>
        <v/>
      </c>
      <c r="AE71" s="490" t="str">
        <f>IF(Z71&lt;&gt;"熱","",IF(ISERROR(VLOOKUP(D71&amp;F71,非_熱供給事業者!$S$8:$T$100,2,FALSE)),"要記入",VLOOKUP(D71&amp;F71,非_熱供給事業者!$S$8:$T$100,2,FALSE)))</f>
        <v/>
      </c>
      <c r="AF71" s="490" t="str">
        <f>IF(Z71&lt;&gt;"都市ガス","",非_都市ガス事業者!$AB$4)</f>
        <v/>
      </c>
      <c r="AG71" s="490" t="str">
        <f>IF(Z71&lt;&gt;"都市ガス","",IF(ISERROR(VLOOKUP(D71&amp;F71,非_都市ガス事業者!$AA$8:$AB$100,2,FALSE)),"要記入",VLOOKUP(D71&amp;F71,非_都市ガス事業者!$AA$8:$AB$100,2,FALSE)))</f>
        <v/>
      </c>
      <c r="AH71" s="490" t="str">
        <f t="shared" si="53"/>
        <v/>
      </c>
      <c r="AI71" s="490" t="str">
        <f t="shared" si="66"/>
        <v/>
      </c>
      <c r="AJ71" s="490" t="b">
        <f t="shared" si="12"/>
        <v>1</v>
      </c>
      <c r="AK71" s="490" t="str">
        <f>IF(Q71="","",VLOOKUP(Q71,非_単位補正換算!$B$3:$C$16,2,FALSE))</f>
        <v/>
      </c>
      <c r="AL71" s="490" t="str">
        <f>IF(Z71="","",IF(Z71&lt;&gt;"都市ガス",1,IF(G71="","",SUMIFS(非_単位補正換算!$D$52:$D$63,非_単位補正換算!$B$52:$B$63,"都市ガス"&amp;G71,非_単位補正換算!$C$52:$C$63,'13電気・熱_都市ガス'!Q71))))</f>
        <v/>
      </c>
      <c r="AM71" s="490" t="str">
        <f t="shared" si="67"/>
        <v/>
      </c>
      <c r="AN71" s="490" t="str">
        <f t="shared" si="54"/>
        <v/>
      </c>
      <c r="AO71" s="490" t="str">
        <f t="shared" si="55"/>
        <v/>
      </c>
      <c r="AP71" s="490" t="str">
        <f>IF(C71="","",VLOOKUP(C71,非_まとめ表行番号!$F$3:$H$12,2,FALSE))</f>
        <v/>
      </c>
      <c r="AQ71" s="490" t="b">
        <f t="shared" si="14"/>
        <v>1</v>
      </c>
      <c r="AR71" s="490" t="str">
        <f>IF(Z71="","",IF(Z71&lt;&gt;"都市ガス",1,非_係数!$G$55))</f>
        <v/>
      </c>
      <c r="AS71" s="490" t="str">
        <f t="shared" si="68"/>
        <v/>
      </c>
      <c r="AT71" s="490" t="str">
        <f t="shared" si="56"/>
        <v/>
      </c>
      <c r="AU71" s="490" t="str">
        <f>IF(C71="","",VLOOKUP(C71,非_係数!$B$42:$K$55,9,FALSE))</f>
        <v/>
      </c>
      <c r="AV71" s="490" t="str">
        <f t="shared" si="16"/>
        <v/>
      </c>
      <c r="AW71" s="490" t="str">
        <f>IF(C71="","",VLOOKUP(C71,非_まとめ表行番号!$F$3:$H$12,3,FALSE))</f>
        <v/>
      </c>
      <c r="AX71" s="490" t="str">
        <f t="shared" si="57"/>
        <v/>
      </c>
      <c r="AZ71" s="490" t="str">
        <f>IF(AP71="","",VLOOKUP(AP71,非_まとめ表行番号!$U$3:$V$56,2,FALSE))</f>
        <v/>
      </c>
      <c r="BA71" s="490" t="str">
        <f t="shared" si="69"/>
        <v/>
      </c>
      <c r="BB71" s="490" t="str">
        <f t="shared" si="58"/>
        <v/>
      </c>
      <c r="BC71" s="490" t="str">
        <f t="shared" si="18"/>
        <v/>
      </c>
      <c r="BD71" s="490" t="str">
        <f t="shared" si="19"/>
        <v/>
      </c>
      <c r="BE71" s="490" t="str">
        <f t="shared" si="76"/>
        <v/>
      </c>
      <c r="BF71" s="490" t="str">
        <f t="shared" si="76"/>
        <v/>
      </c>
      <c r="BG71" s="490" t="str">
        <f t="shared" si="21"/>
        <v/>
      </c>
      <c r="BH71" s="490" t="str">
        <f t="shared" si="22"/>
        <v/>
      </c>
      <c r="BI71" s="84">
        <f t="shared" si="60"/>
        <v>0</v>
      </c>
    </row>
    <row r="72" spans="1:61" ht="18.75" customHeight="1" thickBot="1">
      <c r="A72" s="632"/>
      <c r="B72" s="593"/>
      <c r="C72" s="625"/>
      <c r="D72" s="625"/>
      <c r="E72" s="594"/>
      <c r="F72" s="625"/>
      <c r="G72" s="418"/>
      <c r="H72" s="466" t="str">
        <f>IF(Z72&lt;&gt;"都市ガス","",IF(ISERROR(VLOOKUP(D72,非_都市ガス事業者!$O$8:$P$100,2,FALSE)),"",VLOOKUP(D72,非_都市ガス事業者!$O$8:$P$100,2,FALSE)))</f>
        <v/>
      </c>
      <c r="I72" s="467" t="str">
        <f>IF(Z72&lt;&gt;"都市ガス","",非_都市ガス事業者!$P$4)</f>
        <v/>
      </c>
      <c r="J72" s="521" t="str">
        <f>IF(C72="","",IF(COUNTIFS(C72,"*自ら生成*")&gt;0,"要記入",IF(Z72&lt;&gt;"都市ガス",VLOOKUP(C72,非_係数!$B$42:$D$55,2,FALSE),"")))</f>
        <v/>
      </c>
      <c r="K72" s="594"/>
      <c r="L72" s="91" t="str">
        <f t="shared" si="61"/>
        <v/>
      </c>
      <c r="M72" s="468" t="str">
        <f t="shared" si="62"/>
        <v/>
      </c>
      <c r="N72" s="625"/>
      <c r="O72" s="419"/>
      <c r="P72" s="418"/>
      <c r="Q72" s="637"/>
      <c r="R72" s="570"/>
      <c r="S72" s="511"/>
      <c r="T72" s="469" t="str">
        <f t="shared" si="70"/>
        <v/>
      </c>
      <c r="U72" s="470" t="str">
        <f t="shared" si="63"/>
        <v/>
      </c>
      <c r="V72" s="471" t="str">
        <f>IF(C72="","",VLOOKUP(C72,非_単位!$N$38:$O$53,2,FALSE))</f>
        <v/>
      </c>
      <c r="W72" s="469" t="str">
        <f t="shared" si="64"/>
        <v/>
      </c>
      <c r="X72" s="440" t="str">
        <f t="shared" si="65"/>
        <v/>
      </c>
      <c r="Z72" s="490" t="str">
        <f t="shared" si="52"/>
        <v/>
      </c>
      <c r="AA72" s="490" t="str">
        <f>IF(B72="","",IF(B72=非_燃料種類_選択リスト!$I$13,"外部供給_種類","外部供給以外_種類"))</f>
        <v/>
      </c>
      <c r="AB72" s="490" t="str">
        <f>IF(Z72&lt;&gt;"電気","",非_電気事業者!$S$4*1000)</f>
        <v/>
      </c>
      <c r="AC72" s="490" t="str">
        <f>IF(Z72&lt;&gt;"電気","",IF(ISERROR(VLOOKUP(D72&amp;F72,非_電気事業者!$R$9:$S$1500,2,FALSE)),"要記入",VLOOKUP(D72&amp;F72,非_電気事業者!$R$9:$S$1500,2,FALSE)*1000))</f>
        <v/>
      </c>
      <c r="AD72" s="490" t="str">
        <f>IF(Z72&lt;&gt;"熱","",非_熱供給事業者!$T$4)</f>
        <v/>
      </c>
      <c r="AE72" s="490" t="str">
        <f>IF(Z72&lt;&gt;"熱","",IF(ISERROR(VLOOKUP(D72&amp;F72,非_熱供給事業者!$S$8:$T$100,2,FALSE)),"要記入",VLOOKUP(D72&amp;F72,非_熱供給事業者!$S$8:$T$100,2,FALSE)))</f>
        <v/>
      </c>
      <c r="AF72" s="490" t="str">
        <f>IF(Z72&lt;&gt;"都市ガス","",非_都市ガス事業者!$AB$4)</f>
        <v/>
      </c>
      <c r="AG72" s="490" t="str">
        <f>IF(Z72&lt;&gt;"都市ガス","",IF(ISERROR(VLOOKUP(D72&amp;F72,非_都市ガス事業者!$AA$8:$AB$100,2,FALSE)),"要記入",VLOOKUP(D72&amp;F72,非_都市ガス事業者!$AA$8:$AB$100,2,FALSE)))</f>
        <v/>
      </c>
      <c r="AH72" s="490" t="str">
        <f t="shared" si="53"/>
        <v/>
      </c>
      <c r="AI72" s="490" t="str">
        <f t="shared" si="66"/>
        <v/>
      </c>
      <c r="AJ72" s="490" t="b">
        <f t="shared" ref="AJ72" si="85">_xlfn.ISFORMULA(L72)</f>
        <v>1</v>
      </c>
      <c r="AK72" s="490" t="str">
        <f>IF(Q72="","",VLOOKUP(Q72,非_単位補正換算!$B$3:$C$16,2,FALSE))</f>
        <v/>
      </c>
      <c r="AL72" s="490" t="str">
        <f>IF(Z72="","",IF(Z72&lt;&gt;"都市ガス",1,IF(G72="","",SUMIFS(非_単位補正換算!$D$52:$D$63,非_単位補正換算!$B$52:$B$63,"都市ガス"&amp;G72,非_単位補正換算!$C$52:$C$63,'13電気・熱_都市ガス'!Q72))))</f>
        <v/>
      </c>
      <c r="AM72" s="490" t="str">
        <f t="shared" si="67"/>
        <v/>
      </c>
      <c r="AN72" s="490" t="str">
        <f t="shared" si="54"/>
        <v/>
      </c>
      <c r="AO72" s="490" t="str">
        <f t="shared" si="55"/>
        <v/>
      </c>
      <c r="AP72" s="490" t="str">
        <f>IF(C72="","",VLOOKUP(C72,非_まとめ表行番号!$F$3:$H$12,2,FALSE))</f>
        <v/>
      </c>
      <c r="AQ72" s="490" t="b">
        <f t="shared" ref="AQ72" si="86">_xlfn.ISFORMULA(I72)</f>
        <v>1</v>
      </c>
      <c r="AR72" s="490" t="str">
        <f>IF(Z72="","",IF(Z72&lt;&gt;"都市ガス",1,非_係数!$G$55))</f>
        <v/>
      </c>
      <c r="AS72" s="490" t="str">
        <f t="shared" si="68"/>
        <v/>
      </c>
      <c r="AT72" s="490" t="str">
        <f t="shared" si="56"/>
        <v/>
      </c>
      <c r="AU72" s="490" t="str">
        <f>IF(C72="","",VLOOKUP(C72,非_係数!$B$42:$K$55,9,FALSE))</f>
        <v/>
      </c>
      <c r="AV72" s="490" t="str">
        <f t="shared" si="16"/>
        <v/>
      </c>
      <c r="AW72" s="490" t="str">
        <f>IF(C72="","",VLOOKUP(C72,非_まとめ表行番号!$F$3:$H$12,3,FALSE))</f>
        <v/>
      </c>
      <c r="AX72" s="490" t="str">
        <f t="shared" si="57"/>
        <v/>
      </c>
      <c r="AZ72" s="490" t="str">
        <f>IF(AP72="","",VLOOKUP(AP72,非_まとめ表行番号!$U$3:$V$56,2,FALSE))</f>
        <v/>
      </c>
      <c r="BA72" s="490" t="str">
        <f t="shared" si="69"/>
        <v/>
      </c>
      <c r="BB72" s="490" t="str">
        <f t="shared" si="69"/>
        <v/>
      </c>
      <c r="BC72" s="490" t="str">
        <f t="shared" ref="BC72" si="87">IF(H72&lt;&gt;"",H72,IF(J72&lt;&gt;"",J72,""))</f>
        <v/>
      </c>
      <c r="BD72" s="490" t="str">
        <f t="shared" ref="BD72" si="88">IF(I72="","",I72)</f>
        <v/>
      </c>
      <c r="BE72" s="490" t="str">
        <f t="shared" si="76"/>
        <v/>
      </c>
      <c r="BF72" s="490" t="str">
        <f t="shared" si="76"/>
        <v/>
      </c>
      <c r="BG72" s="490" t="str">
        <f t="shared" ref="BG72" si="89">IF(U72="","",U72)</f>
        <v/>
      </c>
      <c r="BH72" s="490" t="str">
        <f t="shared" ref="BH72" si="90">IF(AO72="","",IF(AO72&gt;0,1,-1))</f>
        <v/>
      </c>
      <c r="BI72" s="84">
        <f t="shared" si="60"/>
        <v>0</v>
      </c>
    </row>
  </sheetData>
  <sheetProtection algorithmName="SHA-512" hashValue="Qs67SRdHvS/5USEkWG5Hl2FNvOip6Hik5pCuF0Na2KmoZCHtSlIWI2hc0jseX6zFTt3kBv77Xp81qqbgsV/Ccg==" saltValue="sg2FgEADd6bacXM4OB5tRQ==" spinCount="100000" sheet="1" objects="1" scenarios="1"/>
  <mergeCells count="51">
    <mergeCell ref="S1:T1"/>
    <mergeCell ref="W2:X2"/>
    <mergeCell ref="W4:W5"/>
    <mergeCell ref="W1:X1"/>
    <mergeCell ref="AP4:AP5"/>
    <mergeCell ref="AI4:AI5"/>
    <mergeCell ref="X4:X5"/>
    <mergeCell ref="U4:V5"/>
    <mergeCell ref="AH4:AH5"/>
    <mergeCell ref="AB4:AC4"/>
    <mergeCell ref="AA4:AA5"/>
    <mergeCell ref="Q4:Q5"/>
    <mergeCell ref="T4:T5"/>
    <mergeCell ref="R4:R5"/>
    <mergeCell ref="AY4:AY5"/>
    <mergeCell ref="AQ4:AQ5"/>
    <mergeCell ref="S4:S5"/>
    <mergeCell ref="AW4:AW5"/>
    <mergeCell ref="AR4:AR5"/>
    <mergeCell ref="AS4:AS5"/>
    <mergeCell ref="AT4:AT5"/>
    <mergeCell ref="AU4:AU5"/>
    <mergeCell ref="AV4:AV5"/>
    <mergeCell ref="Z4:Z5"/>
    <mergeCell ref="AJ4:AJ5"/>
    <mergeCell ref="AD4:AE4"/>
    <mergeCell ref="AF4:AG4"/>
    <mergeCell ref="B4:B5"/>
    <mergeCell ref="C4:C5"/>
    <mergeCell ref="O4:P4"/>
    <mergeCell ref="N4:N5"/>
    <mergeCell ref="D4:F4"/>
    <mergeCell ref="G4:I4"/>
    <mergeCell ref="K4:M4"/>
    <mergeCell ref="L5:M5"/>
    <mergeCell ref="A4:A5"/>
    <mergeCell ref="BH4:BH5"/>
    <mergeCell ref="AZ4:AZ5"/>
    <mergeCell ref="BA4:BA5"/>
    <mergeCell ref="BB4:BB5"/>
    <mergeCell ref="BC4:BC5"/>
    <mergeCell ref="BD4:BD5"/>
    <mergeCell ref="BE4:BE5"/>
    <mergeCell ref="BF4:BF5"/>
    <mergeCell ref="BG4:BG5"/>
    <mergeCell ref="AX4:AX5"/>
    <mergeCell ref="AK4:AK5"/>
    <mergeCell ref="AL4:AL5"/>
    <mergeCell ref="AM4:AM5"/>
    <mergeCell ref="AN4:AN5"/>
    <mergeCell ref="AO4:AO5"/>
  </mergeCells>
  <phoneticPr fontId="5"/>
  <conditionalFormatting sqref="D48:F72">
    <cfRule type="expression" dxfId="28" priority="10">
      <formula>COUNTIFS($C48,"*自ら生成した*")&gt;0</formula>
    </cfRule>
  </conditionalFormatting>
  <conditionalFormatting sqref="G7:I46 G48:I72">
    <cfRule type="expression" dxfId="27" priority="14">
      <formula>$Z7&lt;&gt;"都市ガス"</formula>
    </cfRule>
  </conditionalFormatting>
  <conditionalFormatting sqref="I7:I46 I48:I72">
    <cfRule type="expression" dxfId="26" priority="2">
      <formula>$AQ7=FALSE</formula>
    </cfRule>
  </conditionalFormatting>
  <conditionalFormatting sqref="J7:J46">
    <cfRule type="expression" dxfId="25" priority="12">
      <formula>OR($Z7="電気",$Z7="熱")</formula>
    </cfRule>
  </conditionalFormatting>
  <conditionalFormatting sqref="J48:J72">
    <cfRule type="expression" dxfId="24" priority="1">
      <formula>_xlfn.ISFORMULA(J48)=FALSE</formula>
    </cfRule>
    <cfRule type="cellIs" dxfId="23" priority="112" operator="equal">
      <formula>"要記入"</formula>
    </cfRule>
    <cfRule type="expression" dxfId="22" priority="113">
      <formula>COUNTIFS($C48,"*自ら生成した*")&gt;0</formula>
    </cfRule>
    <cfRule type="expression" dxfId="21" priority="114">
      <formula>AND(OR($Z48="電気", $Z48="熱"),COUNTIFS($C48,"*自ら生成した*")=0)</formula>
    </cfRule>
  </conditionalFormatting>
  <conditionalFormatting sqref="L7:L46 L48:L72">
    <cfRule type="expression" dxfId="20" priority="4">
      <formula>$AJ7=FALSE</formula>
    </cfRule>
    <cfRule type="cellIs" dxfId="19" priority="7" operator="equal">
      <formula>"要記入"</formula>
    </cfRule>
  </conditionalFormatting>
  <conditionalFormatting sqref="O7:P46 O48:P72">
    <cfRule type="expression" dxfId="18" priority="9">
      <formula>$N7&lt;&gt;"計量器の実測値"</formula>
    </cfRule>
  </conditionalFormatting>
  <conditionalFormatting sqref="S7:S46 S48:S72">
    <cfRule type="expression" dxfId="17" priority="3">
      <formula>OR($P7="有",$P7="")</formula>
    </cfRule>
  </conditionalFormatting>
  <dataValidations count="18">
    <dataValidation type="list" allowBlank="1" showInputMessage="1" showErrorMessage="1" sqref="C7:C46 C48:C72" xr:uid="{FD1B8ED9-A070-4C16-8666-816874173922}">
      <formula1>INDIRECT(AA7)</formula1>
    </dataValidation>
    <dataValidation type="list" allowBlank="1" showInputMessage="1" showErrorMessage="1" sqref="E7:E46 E48:E72" xr:uid="{8C47254B-A4B3-4281-9BBE-980805CDB746}">
      <formula1>電気熱ガス_契約メニュー有無_選択</formula1>
    </dataValidation>
    <dataValidation type="list" allowBlank="1" showInputMessage="1" showErrorMessage="1" sqref="G7:G46 G48:G72" xr:uid="{D912E5C3-0EC0-4E36-A7A1-A40486C5AF8C}">
      <formula1>都市ガス_メーター種_選択</formula1>
    </dataValidation>
    <dataValidation type="list" allowBlank="1" showInputMessage="1" showErrorMessage="1" sqref="P48" xr:uid="{00142A07-FC34-4E43-80E5-207905F73A9C}">
      <formula1>INDIRECT("計量器_検定有無_選択")</formula1>
    </dataValidation>
    <dataValidation type="list" allowBlank="1" showInputMessage="1" showErrorMessage="1" sqref="N7:N46 N48:N72" xr:uid="{F5A8D9C3-12BD-4AEF-ACEB-8DA9CAEC761B}">
      <formula1>使用量把握方法_選択</formula1>
    </dataValidation>
    <dataValidation type="list" allowBlank="1" sqref="D7:D46 D48:D72" xr:uid="{86BE03D8-073A-48B1-B822-C07E7AA87E5E}">
      <formula1>IF(Z7="都市ガス",INDIRECT("都市ガス_供給事業者_選択"),IF(Z7="電気",INDIRECT("電気_供給事業者_選択"),IF(Z7="熱",INDIRECT("熱_供給事業者_選択"))))</formula1>
    </dataValidation>
    <dataValidation type="list" allowBlank="1" showInputMessage="1" showErrorMessage="1" sqref="F7:F46 F48:F72" xr:uid="{0F74CC73-8410-411C-9334-8FE866FE5A5B}">
      <formula1>IF(Z7="都市ガス",INDIRECT("都市ガス_メニュー_選択"),IF(Z7="電気",INDIRECT("電気_メニュー_選択"),IF(Z7="熱",INDIRECT("熱_メニュー_選択"))))</formula1>
    </dataValidation>
    <dataValidation type="list" allowBlank="1" showInputMessage="1" showErrorMessage="1" sqref="P7:P46 P49:P72" xr:uid="{281D60C4-8A4B-4BAC-B2F6-2F282780A369}">
      <formula1>計量器_検定有無_選択</formula1>
    </dataValidation>
    <dataValidation type="decimal" operator="greaterThanOrEqual" allowBlank="1" showInputMessage="1" showErrorMessage="1" sqref="L7:L46 L48:L72" xr:uid="{8B4EE6EA-08C0-45E8-9597-BBC2D4BFF636}">
      <formula1>0</formula1>
    </dataValidation>
    <dataValidation type="list" allowBlank="1" showInputMessage="1" showErrorMessage="1" sqref="Q7:Q46 Q48:Q72" xr:uid="{44D2CF58-FC09-4375-B993-CD704BDC35DE}">
      <formula1>INDIRECT(SUBSTITUTE(C7,"、","_")&amp;"_単位")</formula1>
    </dataValidation>
    <dataValidation type="list" imeMode="disabled" allowBlank="1" showInputMessage="1" showErrorMessage="1" sqref="S7:S46 S48:S72" xr:uid="{0BB372D0-3C13-4777-AAE9-868EABC3FE57}">
      <formula1>INDIRECT(AX7)</formula1>
    </dataValidation>
    <dataValidation imeMode="disabled" allowBlank="1" showInputMessage="1" showErrorMessage="1" sqref="R7:R46 R48:R65" xr:uid="{153BF2C9-4246-4B06-90F3-7CBDF8BD33B8}"/>
    <dataValidation type="list" allowBlank="1" showInputMessage="1" showErrorMessage="1" sqref="B7:B46" xr:uid="{7E33D380-7BDE-4220-8C79-853E8406812B}">
      <formula1>電気熱ガス_排出活動①</formula1>
    </dataValidation>
    <dataValidation type="list" allowBlank="1" showInputMessage="1" showErrorMessage="1" sqref="K7:K46" xr:uid="{FDC32275-F49D-4055-9B0D-19E884EC8F5B}">
      <formula1>INDIRECT(IF(C7="","",IF(C7="都市ガス","都市ガス_係数根拠_選択","電気熱_係数根拠_選択")))</formula1>
    </dataValidation>
    <dataValidation type="list" allowBlank="1" showInputMessage="1" showErrorMessage="1" sqref="K48:K72" xr:uid="{ED51F72E-30EF-46C0-AD2C-C9C3D29D2B39}">
      <formula1>INDIRECT(IF(C48="","",IF(C48="都市ガス","都市ガス_係数根拠_選択",IF(COUNTIF(C48,"*自ら生成*")&gt;0,"自己電気熱_係数根拠_選択","電気熱_係数根拠_選択"))))</formula1>
    </dataValidation>
    <dataValidation type="list" allowBlank="1" showInputMessage="1" showErrorMessage="1" sqref="B48:B72" xr:uid="{23F56E2F-33C1-4034-A927-5BD3150B3625}">
      <formula1>電気熱ガス_排出活動②</formula1>
    </dataValidation>
    <dataValidation type="list" imeMode="disabled" allowBlank="1" showInputMessage="1" showErrorMessage="1" sqref="R66:R72" xr:uid="{D2ED666D-1DE4-4174-995E-D958E0A407FD}">
      <formula1>INDIRECT(AY66)</formula1>
    </dataValidation>
    <dataValidation type="list" allowBlank="1" showInputMessage="1" showErrorMessage="1" sqref="A7:A42 A48:A69 A71:A72" xr:uid="{AAA2DA52-2A11-4D19-B625-D213FA1BCEC5}">
      <formula1>"ｱ)建物系,ｲ)工場現場系"</formula1>
    </dataValidation>
  </dataValidations>
  <pageMargins left="0.78740157480314965" right="0.59055118110236227" top="0.78740157480314965" bottom="0.59055118110236227" header="0.31496062992125984" footer="0.31496062992125984"/>
  <pageSetup paperSize="9" scale="24" fitToHeight="0" orientation="portrait" r:id="rId1"/>
  <headerFooter>
    <oddHeader>&amp;R&amp;8ver.4.01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B050"/>
    <pageSetUpPr fitToPage="1"/>
  </sheetPr>
  <dimension ref="A1:BF64"/>
  <sheetViews>
    <sheetView showGridLines="0" topLeftCell="H1" zoomScale="115" zoomScaleNormal="115" zoomScaleSheetLayoutView="70" workbookViewId="0">
      <pane ySplit="6" topLeftCell="A7" activePane="bottomLeft" state="frozen"/>
      <selection activeCell="L62" sqref="L62"/>
      <selection pane="bottomLeft" activeCell="M7" sqref="M7"/>
    </sheetView>
  </sheetViews>
  <sheetFormatPr defaultColWidth="9" defaultRowHeight="17.5" outlineLevelCol="1"/>
  <cols>
    <col min="1" max="1" width="14.1640625" style="84" bestFit="1" customWidth="1"/>
    <col min="2" max="2" width="46.58203125" style="84" customWidth="1"/>
    <col min="3" max="3" width="32.5" style="84" customWidth="1"/>
    <col min="4" max="4" width="16.5" style="84" customWidth="1"/>
    <col min="5" max="5" width="19.08203125" style="84" customWidth="1"/>
    <col min="6" max="6" width="15.5" style="84" customWidth="1"/>
    <col min="7" max="7" width="13" style="84" customWidth="1"/>
    <col min="8" max="8" width="16.5" style="84" customWidth="1"/>
    <col min="9" max="9" width="14.1640625" style="84" customWidth="1"/>
    <col min="10" max="10" width="15.5" style="84" customWidth="1"/>
    <col min="11" max="12" width="10.58203125" style="84" customWidth="1"/>
    <col min="13" max="13" width="5.4140625" style="84" customWidth="1"/>
    <col min="14" max="14" width="10.58203125" style="84" customWidth="1"/>
    <col min="15" max="15" width="19.6640625" style="84" customWidth="1"/>
    <col min="16" max="16" width="9" style="84"/>
    <col min="17" max="17" width="20.58203125" style="84" customWidth="1"/>
    <col min="18" max="18" width="12" style="84" hidden="1" customWidth="1" outlineLevel="1"/>
    <col min="19" max="19" width="5.5" style="84" hidden="1" customWidth="1" outlineLevel="1"/>
    <col min="20" max="20" width="9" style="84" collapsed="1"/>
    <col min="21" max="21" width="13.6640625" style="497" customWidth="1"/>
    <col min="22" max="22" width="9" style="84"/>
    <col min="23" max="27" width="14" style="84" hidden="1" customWidth="1" outlineLevel="1"/>
    <col min="28" max="28" width="20.1640625" style="84" hidden="1" customWidth="1" outlineLevel="1"/>
    <col min="29" max="29" width="14" style="84" hidden="1" customWidth="1" outlineLevel="1"/>
    <col min="30" max="30" width="16.9140625" style="84" hidden="1" customWidth="1" outlineLevel="1"/>
    <col min="31" max="31" width="15.6640625" style="84" hidden="1" customWidth="1" outlineLevel="1"/>
    <col min="32" max="32" width="23.5" style="84" hidden="1" customWidth="1" outlineLevel="1"/>
    <col min="33" max="34" width="9" style="84" hidden="1" customWidth="1" outlineLevel="1"/>
    <col min="35" max="35" width="14.6640625" style="84" hidden="1" customWidth="1" outlineLevel="1"/>
    <col min="36" max="37" width="9" style="84" hidden="1" customWidth="1" outlineLevel="1"/>
    <col min="38" max="38" width="11.58203125" style="84" hidden="1" customWidth="1" outlineLevel="1"/>
    <col min="39" max="41" width="9" style="84" hidden="1" customWidth="1" outlineLevel="1"/>
    <col min="42" max="42" width="16.6640625" style="84" hidden="1" customWidth="1" outlineLevel="1"/>
    <col min="43" max="44" width="21.5" style="84" hidden="1" customWidth="1" outlineLevel="1"/>
    <col min="45" max="48" width="9" style="84" hidden="1" customWidth="1" outlineLevel="1"/>
    <col min="49" max="49" width="11.4140625" style="84" hidden="1" customWidth="1" outlineLevel="1"/>
    <col min="50" max="50" width="39.9140625" style="84" hidden="1" customWidth="1" outlineLevel="1"/>
    <col min="51" max="51" width="31.4140625" style="84" hidden="1" customWidth="1" outlineLevel="1"/>
    <col min="52" max="52" width="23.58203125" style="84" hidden="1" customWidth="1" outlineLevel="1"/>
    <col min="53" max="53" width="11.4140625" style="84" hidden="1" customWidth="1" outlineLevel="1"/>
    <col min="54" max="54" width="23.9140625" style="84" hidden="1" customWidth="1" outlineLevel="1"/>
    <col min="55" max="55" width="12.4140625" style="84" hidden="1" customWidth="1" outlineLevel="1"/>
    <col min="56" max="56" width="18.9140625" style="84" hidden="1" customWidth="1" outlineLevel="1"/>
    <col min="57" max="57" width="9" style="84" hidden="1" customWidth="1" outlineLevel="1"/>
    <col min="58" max="58" width="9" style="84" collapsed="1"/>
    <col min="59" max="16384" width="9" style="84"/>
  </cols>
  <sheetData>
    <row r="1" spans="1:57" ht="18.75" customHeight="1">
      <c r="A1" s="3" t="s">
        <v>2508</v>
      </c>
      <c r="B1" s="3"/>
      <c r="C1" s="3"/>
      <c r="D1" s="52"/>
      <c r="E1" s="52"/>
      <c r="F1" s="52"/>
      <c r="G1" s="52"/>
      <c r="H1" s="52"/>
      <c r="I1" s="52"/>
      <c r="J1" s="52"/>
      <c r="K1" s="52"/>
      <c r="L1" s="52"/>
      <c r="M1" s="52"/>
      <c r="N1" s="52"/>
      <c r="O1" s="2"/>
      <c r="P1" s="2"/>
      <c r="Q1" s="571" t="s">
        <v>2056</v>
      </c>
      <c r="R1" s="334" t="s">
        <v>1896</v>
      </c>
      <c r="S1" s="334" t="s">
        <v>1896</v>
      </c>
      <c r="T1" s="1851" t="str">
        <f>IF('0.事業所概要'!D11="","",'0.事業所概要'!D11)</f>
        <v>県庁産業㈱　　本社、浦和支店</v>
      </c>
      <c r="U1" s="1852"/>
    </row>
    <row r="2" spans="1:57" ht="18.75" customHeight="1">
      <c r="A2" s="3" t="s">
        <v>2510</v>
      </c>
      <c r="B2" s="3"/>
      <c r="C2" s="3"/>
      <c r="D2" s="3"/>
      <c r="E2" s="3"/>
      <c r="F2" s="3"/>
      <c r="G2" s="52"/>
      <c r="H2" s="52"/>
      <c r="I2" s="52"/>
      <c r="J2" s="52"/>
      <c r="K2" s="52"/>
      <c r="L2" s="52"/>
      <c r="M2" s="52"/>
      <c r="N2" s="52"/>
      <c r="O2" s="2"/>
      <c r="P2" s="2"/>
      <c r="Q2" s="2"/>
      <c r="R2" s="335"/>
      <c r="S2" s="335"/>
      <c r="T2" s="1877" t="str">
        <f>CONCATENATE('0.事業所概要'!$B$3,'0.事業所概要'!$C$3,"年度")</f>
        <v>令和７年度</v>
      </c>
      <c r="U2" s="1877"/>
    </row>
    <row r="3" spans="1:57" ht="18" thickBot="1">
      <c r="A3" s="52"/>
      <c r="B3" s="3"/>
      <c r="C3" s="3"/>
      <c r="D3" s="52"/>
      <c r="E3" s="52"/>
      <c r="F3" s="52"/>
      <c r="G3" s="52"/>
      <c r="H3" s="52"/>
      <c r="I3" s="52"/>
      <c r="J3" s="52"/>
      <c r="K3" s="52"/>
      <c r="L3" s="52"/>
      <c r="M3" s="52"/>
      <c r="N3" s="52"/>
      <c r="O3" s="52"/>
      <c r="P3" s="52"/>
      <c r="Q3" s="52"/>
      <c r="R3" s="102"/>
      <c r="S3" s="102"/>
      <c r="T3" s="52"/>
      <c r="U3" s="437"/>
    </row>
    <row r="4" spans="1:57" ht="17.25" customHeight="1">
      <c r="A4" s="607"/>
      <c r="B4" s="1720" t="s">
        <v>70</v>
      </c>
      <c r="C4" s="1841" t="s">
        <v>1922</v>
      </c>
      <c r="D4" s="1894" t="s">
        <v>221</v>
      </c>
      <c r="E4" s="1896"/>
      <c r="F4" s="1897"/>
      <c r="G4" s="1894" t="s">
        <v>223</v>
      </c>
      <c r="H4" s="1831" t="s">
        <v>1928</v>
      </c>
      <c r="I4" s="1831" t="s">
        <v>213</v>
      </c>
      <c r="J4" s="1832"/>
      <c r="K4" s="1837" t="s">
        <v>207</v>
      </c>
      <c r="L4" s="1831" t="s">
        <v>204</v>
      </c>
      <c r="M4" s="1832"/>
      <c r="N4" s="1837" t="s">
        <v>208</v>
      </c>
      <c r="O4" s="1711" t="s">
        <v>1940</v>
      </c>
      <c r="P4" s="1841" t="s">
        <v>2047</v>
      </c>
      <c r="Q4" s="1711" t="s">
        <v>2029</v>
      </c>
      <c r="R4" s="1901" t="s">
        <v>1868</v>
      </c>
      <c r="S4" s="1902"/>
      <c r="T4" s="1837" t="s">
        <v>219</v>
      </c>
      <c r="U4" s="1887" t="s">
        <v>220</v>
      </c>
      <c r="W4" s="1874" t="s">
        <v>1652</v>
      </c>
      <c r="X4" s="1829" t="s">
        <v>1629</v>
      </c>
      <c r="Y4" s="1829" t="s">
        <v>1923</v>
      </c>
      <c r="Z4" s="1829" t="s">
        <v>1924</v>
      </c>
      <c r="AA4" s="1898" t="s">
        <v>1952</v>
      </c>
      <c r="AB4" s="1829" t="s">
        <v>1933</v>
      </c>
      <c r="AC4" s="1829" t="s">
        <v>1937</v>
      </c>
      <c r="AD4" s="1874" t="s">
        <v>1967</v>
      </c>
      <c r="AE4" s="1829" t="s">
        <v>1955</v>
      </c>
      <c r="AF4" s="1830" t="s">
        <v>1927</v>
      </c>
      <c r="AG4" s="490" t="s">
        <v>1938</v>
      </c>
      <c r="AH4" s="1830" t="s">
        <v>1621</v>
      </c>
      <c r="AI4" s="1829" t="s">
        <v>1941</v>
      </c>
      <c r="AJ4" s="1853" t="s">
        <v>219</v>
      </c>
      <c r="AK4" s="1889" t="s">
        <v>1943</v>
      </c>
      <c r="AL4" s="1853" t="s">
        <v>1942</v>
      </c>
      <c r="AM4" s="1829" t="s">
        <v>2045</v>
      </c>
      <c r="AN4" s="496"/>
      <c r="BE4" s="1886" t="s">
        <v>2055</v>
      </c>
    </row>
    <row r="5" spans="1:57" ht="36.75" customHeight="1" thickBot="1">
      <c r="A5" s="626" t="s">
        <v>2059</v>
      </c>
      <c r="B5" s="1891"/>
      <c r="C5" s="1850"/>
      <c r="D5" s="506" t="s">
        <v>221</v>
      </c>
      <c r="E5" s="506" t="s">
        <v>222</v>
      </c>
      <c r="F5" s="329" t="s">
        <v>2008</v>
      </c>
      <c r="G5" s="1895"/>
      <c r="H5" s="1892"/>
      <c r="I5" s="505" t="s">
        <v>214</v>
      </c>
      <c r="J5" s="506" t="s">
        <v>216</v>
      </c>
      <c r="K5" s="1893"/>
      <c r="L5" s="506" t="s">
        <v>205</v>
      </c>
      <c r="M5" s="506" t="s">
        <v>206</v>
      </c>
      <c r="N5" s="1893"/>
      <c r="O5" s="1900"/>
      <c r="P5" s="1842"/>
      <c r="Q5" s="1900"/>
      <c r="R5" s="1903"/>
      <c r="S5" s="1904"/>
      <c r="T5" s="1843"/>
      <c r="U5" s="1888"/>
      <c r="W5" s="1875"/>
      <c r="X5" s="1830"/>
      <c r="Y5" s="1830"/>
      <c r="Z5" s="1830"/>
      <c r="AA5" s="1899"/>
      <c r="AB5" s="1830"/>
      <c r="AC5" s="1830"/>
      <c r="AD5" s="1875"/>
      <c r="AE5" s="1830"/>
      <c r="AF5" s="1830"/>
      <c r="AG5" s="490" t="s">
        <v>1939</v>
      </c>
      <c r="AH5" s="1830"/>
      <c r="AI5" s="1830"/>
      <c r="AJ5" s="1854"/>
      <c r="AK5" s="1890"/>
      <c r="AL5" s="1854"/>
      <c r="AM5" s="1830"/>
      <c r="AN5" s="574" t="s">
        <v>1976</v>
      </c>
      <c r="AO5" s="490" t="s">
        <v>1977</v>
      </c>
      <c r="AP5" s="490" t="s">
        <v>1978</v>
      </c>
      <c r="AQ5" s="490" t="s">
        <v>1979</v>
      </c>
      <c r="AR5" s="494" t="s">
        <v>2007</v>
      </c>
      <c r="AS5" s="494" t="s">
        <v>1994</v>
      </c>
      <c r="AT5" s="494" t="s">
        <v>1995</v>
      </c>
      <c r="AU5" s="494" t="s">
        <v>2024</v>
      </c>
      <c r="AW5" s="490" t="s">
        <v>2033</v>
      </c>
      <c r="AX5" s="490" t="s">
        <v>2042</v>
      </c>
      <c r="AY5" s="490" t="s">
        <v>2043</v>
      </c>
      <c r="AZ5" s="490" t="s">
        <v>2036</v>
      </c>
      <c r="BA5" s="490" t="s">
        <v>2038</v>
      </c>
      <c r="BB5" s="490" t="s">
        <v>2039</v>
      </c>
      <c r="BC5" s="490" t="s">
        <v>2040</v>
      </c>
      <c r="BD5" s="490" t="s">
        <v>2041</v>
      </c>
      <c r="BE5" s="1886"/>
    </row>
    <row r="6" spans="1:57" ht="17.25" customHeight="1" thickTop="1" thickBot="1">
      <c r="A6" s="609"/>
      <c r="B6" s="324" t="s">
        <v>1945</v>
      </c>
      <c r="C6" s="325"/>
      <c r="D6" s="325"/>
      <c r="E6" s="325"/>
      <c r="F6" s="325"/>
      <c r="G6" s="325"/>
      <c r="H6" s="325"/>
      <c r="I6" s="325"/>
      <c r="J6" s="325"/>
      <c r="K6" s="325"/>
      <c r="L6" s="325"/>
      <c r="M6" s="325"/>
      <c r="N6" s="325"/>
      <c r="O6" s="325"/>
      <c r="P6" s="325"/>
      <c r="Q6" s="325"/>
      <c r="R6" s="336"/>
      <c r="S6" s="336"/>
      <c r="T6" s="57"/>
      <c r="U6" s="438"/>
    </row>
    <row r="7" spans="1:57" ht="18.75" customHeight="1" thickTop="1">
      <c r="A7" s="581" t="s">
        <v>2052</v>
      </c>
      <c r="B7" s="523" t="s">
        <v>1476</v>
      </c>
      <c r="C7" s="400" t="s">
        <v>1485</v>
      </c>
      <c r="D7" s="400" t="s">
        <v>1489</v>
      </c>
      <c r="E7" s="407"/>
      <c r="F7" s="407"/>
      <c r="G7" s="401" t="s">
        <v>364</v>
      </c>
      <c r="H7" s="327">
        <f>AF7</f>
        <v>3.6</v>
      </c>
      <c r="I7" s="400" t="s">
        <v>1936</v>
      </c>
      <c r="J7" s="481">
        <f t="shared" ref="J7:J29" si="0">IF(I7="","",IF(I7="目標設定ガスの算定対象外",0,IF(I7="国代替値",AG7,"要記入")))</f>
        <v>0</v>
      </c>
      <c r="K7" s="401" t="s">
        <v>368</v>
      </c>
      <c r="L7" s="403" t="s">
        <v>2531</v>
      </c>
      <c r="M7" s="401" t="s">
        <v>365</v>
      </c>
      <c r="N7" s="401" t="s">
        <v>370</v>
      </c>
      <c r="O7" s="478"/>
      <c r="P7" s="512">
        <v>1</v>
      </c>
      <c r="Q7" s="330" t="str">
        <f>IF(O7="","",IF(P7="",O7,P7*O7))</f>
        <v/>
      </c>
      <c r="R7" s="337" t="str">
        <f>AI7</f>
        <v/>
      </c>
      <c r="S7" s="338" t="str">
        <f>IF(C7="","",VLOOKUP(C7,非_単位!$N$38:$O$53,2,FALSE))</f>
        <v>千kWh</v>
      </c>
      <c r="T7" s="331" t="str">
        <f>AJ7</f>
        <v/>
      </c>
      <c r="U7" s="439" t="str">
        <f>AL7</f>
        <v/>
      </c>
      <c r="W7" s="490" t="str">
        <f t="shared" ref="W7:W29" si="1">IF(B7="","",IF(B7="電気の使用_一般送配電事業者の電線路以外","電気",IF(B7="熱の使用","熱","")))</f>
        <v>電気</v>
      </c>
      <c r="X7" s="490" t="str">
        <f>IF(W7="電気","再エネ_事業所内_電気_種類",IF(W7="熱","再エネ_事業所内_熱_種類",""))</f>
        <v>再エネ_事業所内_電気_種類</v>
      </c>
      <c r="Y7" s="490" t="str">
        <f t="shared" ref="Y7:Y29" si="2">IF(C7="","","再エネ_種類_選択")</f>
        <v>再エネ_種類_選択</v>
      </c>
      <c r="Z7" s="490" t="str">
        <f t="shared" ref="Z7:Z29" si="3">IF(D7="バイオマス","バイオマス_種類_選択","")</f>
        <v/>
      </c>
      <c r="AA7" s="490" t="str">
        <f t="shared" ref="AA7:AA29" si="4">IF(D7="バイオマス","バイオマス燃料_持続可能性_選択","")</f>
        <v/>
      </c>
      <c r="AB7" s="490" t="str">
        <f t="shared" ref="AB7:AB29" si="5">IF(C7="","",IF(AND(AA7&lt;&gt;"",F7="無"),"環境価値_バイオマス持続可能性無_選択","環境価値_選択"))</f>
        <v>環境価値_選択</v>
      </c>
      <c r="AC7" s="490" t="str">
        <f t="shared" ref="AC7:AC29" si="6">IF(C7="","",IF(G7="","",IF(F7="無","再エネ_係数根拠_持続可能性無",IF(G7="有","再エネ_係数根拠_環境価値有","再エネ_係数根拠_環境価値無"))))</f>
        <v>再エネ_係数根拠_環境価値有</v>
      </c>
      <c r="AD7" s="490" t="str">
        <f>IF(W7="","","自家消費")</f>
        <v>自家消費</v>
      </c>
      <c r="AE7" s="490" t="str">
        <f t="shared" ref="AE7:AE29" si="7">IF(W7&lt;&gt;"熱","",IF(OR(D7="太陽光",D7="地熱",D7="温泉熱",D7="雪氷熱"),"対象",""))</f>
        <v/>
      </c>
      <c r="AF7" s="490">
        <f>IF(C7="","",IF(AE7="対象","熱量計読取",VLOOKUP(C7,非_係数!$B$42:$D$55,2,FALSE)))</f>
        <v>3.6</v>
      </c>
      <c r="AG7" s="490">
        <f>IF(W7="電気",非_電気事業者!$S$4*1000,IF(W7="熱",非_熱供給事業者!$T$4,""))</f>
        <v>0.42199999999999999</v>
      </c>
      <c r="AH7" s="490">
        <f>IF(N7="","",VLOOKUP(N7,非_単位補正換算!$B$3:$C$16,2,FALSE))</f>
        <v>1000</v>
      </c>
      <c r="AI7" s="490" t="str">
        <f t="shared" ref="AI7:AI29" si="8">IF(N7="","",IF(Q7="","",Q7/AH7))</f>
        <v/>
      </c>
      <c r="AJ7" s="490" t="str">
        <f t="shared" ref="AJ7:AJ29" si="9">IF(AI7="","",IF(AE7="対象",AI7,IF(H7="","",AI7*H7)))</f>
        <v/>
      </c>
      <c r="AK7" s="490">
        <v>1</v>
      </c>
      <c r="AL7" s="490" t="str">
        <f t="shared" ref="AL7:AL29" si="10">IF(AI7="","",IF(ISNUMBER(J7),AI7*J7*1,""))</f>
        <v/>
      </c>
      <c r="AM7" s="490" t="b">
        <f>_xlfn.ISFORMULA(J7)</f>
        <v>1</v>
      </c>
      <c r="AN7" s="490" t="str">
        <f t="shared" ref="AN7:AN29" si="11">W7</f>
        <v>電気</v>
      </c>
      <c r="AO7" s="490" t="str">
        <f t="shared" ref="AO7:AO29" si="12">IF(G7="","",G7)</f>
        <v>有</v>
      </c>
      <c r="AP7" s="490" t="str">
        <f t="shared" ref="AP7:AP38" si="13">AD7&amp;IF(C7="電気_仮想電力購入契約","_仮想電力購入契約","")</f>
        <v>自家消費</v>
      </c>
      <c r="AQ7" s="490" t="str">
        <f t="shared" ref="AQ7:AQ29" si="14">IF(F7="","",F7)</f>
        <v/>
      </c>
      <c r="AR7" s="490" t="str">
        <f t="shared" ref="AR7:AR29" si="15">IF(D7="","",IF(LEFT(D7,2)="任意","任意","義務"))</f>
        <v>義務</v>
      </c>
      <c r="AS7" s="490">
        <f>IF(AR7&lt;&gt;"義務","",SUMIFS(非_まとめ表行番号!$N$3:$N$20,非_まとめ表行番号!$J$3:$J$20,AN7,非_まとめ表行番号!$K$3:$K$20,AO7,非_まとめ表行番号!$L$3:$L$20,AP7,非_まとめ表行番号!$M$3:$M$20,AQ7))</f>
        <v>48</v>
      </c>
      <c r="AT7" s="490">
        <f>IF(AR7&lt;&gt;"義務","",SUMIFS(非_まとめ表行番号!$O$3:$O$20,非_まとめ表行番号!$J$3:$J$20,AN7,非_まとめ表行番号!$K$3:$K$20,AO7,非_まとめ表行番号!$L$3:$L$20,AP7,非_まとめ表行番号!$M$3:$M$20,AQ7))</f>
        <v>44</v>
      </c>
      <c r="AU7" s="490" t="str">
        <f t="shared" ref="AU7:AU29" si="16">IF(M7="無","乗率_排出量","")</f>
        <v>乗率_排出量</v>
      </c>
      <c r="AW7" s="490">
        <f>IF(AS7="","",VLOOKUP(AS7,非_まとめ表行番号!$U$3:$V$56,2,FALSE))</f>
        <v>41</v>
      </c>
      <c r="AX7" s="490">
        <f>IF(D7="","",VLOOKUP(D7,非_燃料種類_選択リスト!$X$2:$Y$14,2,FALSE))</f>
        <v>1</v>
      </c>
      <c r="AY7" s="490" t="str">
        <f>IF(E7="","",VLOOKUP(E7,非_燃料種類_選択リスト!$X$18:$Y$24,2,FALSE))</f>
        <v/>
      </c>
      <c r="AZ7" s="490">
        <f t="shared" ref="AZ7:AZ29" si="17">IF(AW7=46,0,IF(H7="","",IF(H7="熱量計読取",1,H7)))</f>
        <v>3.6</v>
      </c>
      <c r="BA7" s="490" t="str">
        <f t="shared" ref="BA7:BA29" si="18">IF(I7="","",I7)</f>
        <v>目標設定ガスの算定対象外</v>
      </c>
      <c r="BB7" s="490">
        <f t="shared" ref="BB7:BB29" si="19">IF(J7="","",J7)</f>
        <v>0</v>
      </c>
      <c r="BC7" s="490" t="str">
        <f t="shared" ref="BC7:BC29" si="20">IF(R7="","",R7)</f>
        <v/>
      </c>
      <c r="BD7" s="490" t="str">
        <f t="shared" ref="BD7:BD29" si="21">IF(AL7="","",IF(AL7&gt;=0,1,IF(AL7&lt;0,-1,"")))</f>
        <v/>
      </c>
      <c r="BE7" s="84">
        <v>1</v>
      </c>
    </row>
    <row r="8" spans="1:57" ht="18.75" customHeight="1">
      <c r="A8" s="582"/>
      <c r="B8" s="523"/>
      <c r="C8" s="400"/>
      <c r="D8" s="400"/>
      <c r="E8" s="407"/>
      <c r="F8" s="407"/>
      <c r="G8" s="401"/>
      <c r="H8" s="327" t="str">
        <f t="shared" ref="H8:H29" si="22">AF8</f>
        <v/>
      </c>
      <c r="I8" s="400"/>
      <c r="J8" s="481" t="str">
        <f>IF(I8="","",IF(I8="目標設定ガスの算定対象外",0,IF(I8="国代替値",AG8,"要記入")))</f>
        <v/>
      </c>
      <c r="K8" s="401"/>
      <c r="L8" s="404"/>
      <c r="M8" s="401"/>
      <c r="N8" s="401"/>
      <c r="O8" s="479"/>
      <c r="P8" s="512"/>
      <c r="Q8" s="330" t="str">
        <f t="shared" ref="Q8:Q29" si="23">IF(O8="","",IF(P8="",O8,P8*O8))</f>
        <v/>
      </c>
      <c r="R8" s="337" t="str">
        <f t="shared" ref="R8:R9" si="24">AI8</f>
        <v/>
      </c>
      <c r="S8" s="338" t="str">
        <f>IF(C8="","",VLOOKUP(C8,非_単位!$N$38:$O$53,2,FALSE))</f>
        <v/>
      </c>
      <c r="T8" s="331" t="str">
        <f t="shared" ref="T8:T9" si="25">AJ8</f>
        <v/>
      </c>
      <c r="U8" s="439" t="str">
        <f t="shared" ref="U8:U9" si="26">AL8</f>
        <v/>
      </c>
      <c r="W8" s="490" t="str">
        <f t="shared" si="1"/>
        <v/>
      </c>
      <c r="X8" s="490" t="str">
        <f>IF(W8="電気","再エネ_事業所内_電気_種類",IF(W8="熱","再エネ_事業所内_熱_種類",""))</f>
        <v/>
      </c>
      <c r="Y8" s="490" t="str">
        <f t="shared" si="2"/>
        <v/>
      </c>
      <c r="Z8" s="490" t="str">
        <f t="shared" si="3"/>
        <v/>
      </c>
      <c r="AA8" s="490" t="str">
        <f t="shared" si="4"/>
        <v/>
      </c>
      <c r="AB8" s="490" t="str">
        <f t="shared" si="5"/>
        <v/>
      </c>
      <c r="AC8" s="490" t="str">
        <f t="shared" si="6"/>
        <v/>
      </c>
      <c r="AD8" s="490" t="str">
        <f t="shared" ref="AD8:AD29" si="27">IF(W8="","","自家消費")</f>
        <v/>
      </c>
      <c r="AE8" s="490" t="str">
        <f t="shared" si="7"/>
        <v/>
      </c>
      <c r="AF8" s="490" t="str">
        <f>IF(C8="","",IF(AE8="対象","熱量計読取",VLOOKUP(C8,非_係数!$B$42:$D$55,2,FALSE)))</f>
        <v/>
      </c>
      <c r="AG8" s="490" t="str">
        <f>IF(W8="電気",非_電気事業者!$S$4*1000,IF(W8="熱",非_熱供給事業者!$T$4,""))</f>
        <v/>
      </c>
      <c r="AH8" s="490" t="str">
        <f>IF(N8="","",VLOOKUP(N8,非_単位補正換算!$B$3:$C$16,2,FALSE))</f>
        <v/>
      </c>
      <c r="AI8" s="490" t="str">
        <f t="shared" si="8"/>
        <v/>
      </c>
      <c r="AJ8" s="490" t="str">
        <f t="shared" si="9"/>
        <v/>
      </c>
      <c r="AK8" s="490">
        <v>1</v>
      </c>
      <c r="AL8" s="490" t="str">
        <f t="shared" si="10"/>
        <v/>
      </c>
      <c r="AM8" s="490" t="b">
        <f t="shared" ref="AM8:AM64" si="28">_xlfn.ISFORMULA(J8)</f>
        <v>1</v>
      </c>
      <c r="AN8" s="490" t="str">
        <f t="shared" si="11"/>
        <v/>
      </c>
      <c r="AO8" s="490" t="str">
        <f t="shared" si="12"/>
        <v/>
      </c>
      <c r="AP8" s="490" t="str">
        <f t="shared" si="13"/>
        <v/>
      </c>
      <c r="AQ8" s="490" t="str">
        <f t="shared" si="14"/>
        <v/>
      </c>
      <c r="AR8" s="490" t="str">
        <f t="shared" si="15"/>
        <v/>
      </c>
      <c r="AS8" s="490" t="str">
        <f>IF(AR8&lt;&gt;"義務","",SUMIFS(非_まとめ表行番号!$N$3:$N$20,非_まとめ表行番号!$J$3:$J$20,AN8,非_まとめ表行番号!$K$3:$K$20,AO8,非_まとめ表行番号!$L$3:$L$20,AP8,非_まとめ表行番号!$M$3:$M$20,AQ8))</f>
        <v/>
      </c>
      <c r="AT8" s="490" t="str">
        <f>IF(AR8&lt;&gt;"義務","",SUMIFS(非_まとめ表行番号!$O$3:$O$20,非_まとめ表行番号!$J$3:$J$20,AN8,非_まとめ表行番号!$K$3:$K$20,AO8,非_まとめ表行番号!$L$3:$L$20,AP8,非_まとめ表行番号!$M$3:$M$20,AQ8))</f>
        <v/>
      </c>
      <c r="AU8" s="490" t="str">
        <f t="shared" si="16"/>
        <v/>
      </c>
      <c r="AW8" s="490" t="str">
        <f>IF(AS8="","",VLOOKUP(AS8,非_まとめ表行番号!$U$3:$V$56,2,FALSE))</f>
        <v/>
      </c>
      <c r="AX8" s="490" t="str">
        <f>IF(D8="","",VLOOKUP(D8,非_燃料種類_選択リスト!$X$2:$Y$14,2,FALSE))</f>
        <v/>
      </c>
      <c r="AY8" s="490" t="str">
        <f>IF(E8="","",VLOOKUP(E8,非_燃料種類_選択リスト!$X$18:$Y$24,2,FALSE))</f>
        <v/>
      </c>
      <c r="AZ8" s="490" t="str">
        <f t="shared" si="17"/>
        <v/>
      </c>
      <c r="BA8" s="490" t="str">
        <f t="shared" si="18"/>
        <v/>
      </c>
      <c r="BB8" s="490" t="str">
        <f t="shared" si="19"/>
        <v/>
      </c>
      <c r="BC8" s="490" t="str">
        <f t="shared" si="20"/>
        <v/>
      </c>
      <c r="BD8" s="490" t="str">
        <f t="shared" si="21"/>
        <v/>
      </c>
      <c r="BE8" s="84">
        <v>1</v>
      </c>
    </row>
    <row r="9" spans="1:57" ht="18.75" customHeight="1">
      <c r="A9" s="582"/>
      <c r="B9" s="523" t="s">
        <v>383</v>
      </c>
      <c r="C9" s="400"/>
      <c r="D9" s="400"/>
      <c r="E9" s="407"/>
      <c r="F9" s="407"/>
      <c r="G9" s="401"/>
      <c r="H9" s="327" t="str">
        <f t="shared" si="22"/>
        <v/>
      </c>
      <c r="I9" s="400"/>
      <c r="J9" s="481" t="str">
        <f t="shared" si="0"/>
        <v/>
      </c>
      <c r="K9" s="401"/>
      <c r="L9" s="404"/>
      <c r="M9" s="401"/>
      <c r="N9" s="401"/>
      <c r="O9" s="479"/>
      <c r="P9" s="512"/>
      <c r="Q9" s="330" t="str">
        <f t="shared" si="23"/>
        <v/>
      </c>
      <c r="R9" s="337" t="str">
        <f t="shared" si="24"/>
        <v/>
      </c>
      <c r="S9" s="338" t="str">
        <f>IF(C9="","",VLOOKUP(C9,非_単位!$N$38:$O$53,2,FALSE))</f>
        <v/>
      </c>
      <c r="T9" s="331" t="str">
        <f t="shared" si="25"/>
        <v/>
      </c>
      <c r="U9" s="439" t="str">
        <f t="shared" si="26"/>
        <v/>
      </c>
      <c r="W9" s="490" t="str">
        <f t="shared" si="1"/>
        <v>熱</v>
      </c>
      <c r="X9" s="490" t="str">
        <f t="shared" ref="X9:X29" si="29">IF(W9="電気","再エネ_事業所内_電気_種類",IF(W9="熱","再エネ_事業所内_熱_種類",""))</f>
        <v>再エネ_事業所内_熱_種類</v>
      </c>
      <c r="Y9" s="490" t="str">
        <f t="shared" si="2"/>
        <v/>
      </c>
      <c r="Z9" s="490" t="str">
        <f t="shared" si="3"/>
        <v/>
      </c>
      <c r="AA9" s="490" t="str">
        <f t="shared" si="4"/>
        <v/>
      </c>
      <c r="AB9" s="490" t="str">
        <f t="shared" si="5"/>
        <v/>
      </c>
      <c r="AC9" s="490" t="str">
        <f t="shared" si="6"/>
        <v/>
      </c>
      <c r="AD9" s="490" t="str">
        <f t="shared" si="27"/>
        <v>自家消費</v>
      </c>
      <c r="AE9" s="490" t="str">
        <f t="shared" si="7"/>
        <v/>
      </c>
      <c r="AF9" s="490" t="str">
        <f>IF(C9="","",IF(AE9="対象","熱量計読取",VLOOKUP(C9,非_係数!$B$42:$D$55,2,FALSE)))</f>
        <v/>
      </c>
      <c r="AG9" s="490">
        <f>IF(W9="電気",非_電気事業者!$S$4*1000,IF(W9="熱",非_熱供給事業者!$T$4,""))</f>
        <v>5.3199999999999997E-2</v>
      </c>
      <c r="AH9" s="490" t="str">
        <f>IF(N9="","",VLOOKUP(N9,非_単位補正換算!$B$3:$C$16,2,FALSE))</f>
        <v/>
      </c>
      <c r="AI9" s="490" t="str">
        <f t="shared" si="8"/>
        <v/>
      </c>
      <c r="AJ9" s="490" t="str">
        <f t="shared" si="9"/>
        <v/>
      </c>
      <c r="AK9" s="490">
        <v>1</v>
      </c>
      <c r="AL9" s="490" t="str">
        <f t="shared" si="10"/>
        <v/>
      </c>
      <c r="AM9" s="490" t="b">
        <f t="shared" si="28"/>
        <v>1</v>
      </c>
      <c r="AN9" s="490" t="str">
        <f t="shared" si="11"/>
        <v>熱</v>
      </c>
      <c r="AO9" s="490" t="str">
        <f t="shared" si="12"/>
        <v/>
      </c>
      <c r="AP9" s="490" t="str">
        <f t="shared" si="13"/>
        <v>自家消費</v>
      </c>
      <c r="AQ9" s="490" t="str">
        <f t="shared" si="14"/>
        <v/>
      </c>
      <c r="AR9" s="490" t="str">
        <f t="shared" si="15"/>
        <v/>
      </c>
      <c r="AS9" s="490" t="str">
        <f>IF(AR9&lt;&gt;"義務","",SUMIFS(非_まとめ表行番号!$N$3:$N$20,非_まとめ表行番号!$J$3:$J$20,AN9,非_まとめ表行番号!$K$3:$K$20,AO9,非_まとめ表行番号!$L$3:$L$20,AP9,非_まとめ表行番号!$M$3:$M$20,AQ9))</f>
        <v/>
      </c>
      <c r="AT9" s="490" t="str">
        <f>IF(AR9&lt;&gt;"義務","",SUMIFS(非_まとめ表行番号!$O$3:$O$20,非_まとめ表行番号!$J$3:$J$20,AN9,非_まとめ表行番号!$K$3:$K$20,AO9,非_まとめ表行番号!$L$3:$L$20,AP9,非_まとめ表行番号!$M$3:$M$20,AQ9))</f>
        <v/>
      </c>
      <c r="AU9" s="490" t="str">
        <f t="shared" si="16"/>
        <v/>
      </c>
      <c r="AW9" s="490" t="str">
        <f>IF(AS9="","",VLOOKUP(AS9,非_まとめ表行番号!$U$3:$V$56,2,FALSE))</f>
        <v/>
      </c>
      <c r="AX9" s="490" t="str">
        <f>IF(D9="","",VLOOKUP(D9,非_燃料種類_選択リスト!$X$2:$Y$14,2,FALSE))</f>
        <v/>
      </c>
      <c r="AY9" s="490" t="str">
        <f>IF(E9="","",VLOOKUP(E9,非_燃料種類_選択リスト!$X$18:$Y$24,2,FALSE))</f>
        <v/>
      </c>
      <c r="AZ9" s="490" t="str">
        <f t="shared" si="17"/>
        <v/>
      </c>
      <c r="BA9" s="490" t="str">
        <f t="shared" si="18"/>
        <v/>
      </c>
      <c r="BB9" s="490" t="str">
        <f t="shared" si="19"/>
        <v/>
      </c>
      <c r="BC9" s="490" t="str">
        <f t="shared" si="20"/>
        <v/>
      </c>
      <c r="BD9" s="490" t="str">
        <f t="shared" si="21"/>
        <v/>
      </c>
      <c r="BE9" s="84">
        <v>1</v>
      </c>
    </row>
    <row r="10" spans="1:57" ht="18.75" customHeight="1">
      <c r="A10" s="582"/>
      <c r="B10" s="523"/>
      <c r="C10" s="400"/>
      <c r="D10" s="400"/>
      <c r="E10" s="407"/>
      <c r="F10" s="407"/>
      <c r="G10" s="401"/>
      <c r="H10" s="327" t="str">
        <f t="shared" si="22"/>
        <v/>
      </c>
      <c r="I10" s="400"/>
      <c r="J10" s="481" t="str">
        <f t="shared" si="0"/>
        <v/>
      </c>
      <c r="K10" s="401"/>
      <c r="L10" s="404"/>
      <c r="M10" s="401"/>
      <c r="N10" s="401"/>
      <c r="O10" s="479"/>
      <c r="P10" s="512"/>
      <c r="Q10" s="330" t="str">
        <f t="shared" si="23"/>
        <v/>
      </c>
      <c r="R10" s="337" t="str">
        <f t="shared" ref="R10:R11" si="30">AI10</f>
        <v/>
      </c>
      <c r="S10" s="338" t="str">
        <f>IF(C10="","",VLOOKUP(C10,非_単位!$N$38:$O$53,2,FALSE))</f>
        <v/>
      </c>
      <c r="T10" s="331" t="str">
        <f t="shared" ref="T10:T11" si="31">AJ10</f>
        <v/>
      </c>
      <c r="U10" s="439" t="str">
        <f t="shared" ref="U10:U11" si="32">AL10</f>
        <v/>
      </c>
      <c r="W10" s="490" t="str">
        <f t="shared" si="1"/>
        <v/>
      </c>
      <c r="X10" s="490" t="str">
        <f t="shared" si="29"/>
        <v/>
      </c>
      <c r="Y10" s="490" t="str">
        <f t="shared" si="2"/>
        <v/>
      </c>
      <c r="Z10" s="490" t="str">
        <f t="shared" si="3"/>
        <v/>
      </c>
      <c r="AA10" s="490" t="str">
        <f t="shared" si="4"/>
        <v/>
      </c>
      <c r="AB10" s="490" t="str">
        <f t="shared" si="5"/>
        <v/>
      </c>
      <c r="AC10" s="490" t="str">
        <f t="shared" si="6"/>
        <v/>
      </c>
      <c r="AD10" s="490" t="str">
        <f t="shared" si="27"/>
        <v/>
      </c>
      <c r="AE10" s="490" t="str">
        <f t="shared" si="7"/>
        <v/>
      </c>
      <c r="AF10" s="490" t="str">
        <f>IF(C10="","",IF(AE10="対象","熱量計読取",VLOOKUP(C10,非_係数!$B$42:$D$55,2,FALSE)))</f>
        <v/>
      </c>
      <c r="AG10" s="490" t="str">
        <f>IF(W10="電気",非_電気事業者!$S$4*1000,IF(W10="熱",非_熱供給事業者!$T$4,""))</f>
        <v/>
      </c>
      <c r="AH10" s="490" t="str">
        <f>IF(N10="","",VLOOKUP(N10,非_単位補正換算!$B$3:$C$16,2,FALSE))</f>
        <v/>
      </c>
      <c r="AI10" s="490" t="str">
        <f t="shared" si="8"/>
        <v/>
      </c>
      <c r="AJ10" s="490" t="str">
        <f t="shared" si="9"/>
        <v/>
      </c>
      <c r="AK10" s="490">
        <v>1</v>
      </c>
      <c r="AL10" s="490" t="str">
        <f t="shared" si="10"/>
        <v/>
      </c>
      <c r="AM10" s="490" t="b">
        <f t="shared" si="28"/>
        <v>1</v>
      </c>
      <c r="AN10" s="490" t="str">
        <f t="shared" si="11"/>
        <v/>
      </c>
      <c r="AO10" s="490" t="str">
        <f t="shared" si="12"/>
        <v/>
      </c>
      <c r="AP10" s="490" t="str">
        <f t="shared" si="13"/>
        <v/>
      </c>
      <c r="AQ10" s="490" t="str">
        <f t="shared" si="14"/>
        <v/>
      </c>
      <c r="AR10" s="490" t="str">
        <f t="shared" si="15"/>
        <v/>
      </c>
      <c r="AS10" s="490" t="str">
        <f>IF(AR10&lt;&gt;"義務","",SUMIFS(非_まとめ表行番号!$N$3:$N$20,非_まとめ表行番号!$J$3:$J$20,AN10,非_まとめ表行番号!$K$3:$K$20,AO10,非_まとめ表行番号!$L$3:$L$20,AP10,非_まとめ表行番号!$M$3:$M$20,AQ10))</f>
        <v/>
      </c>
      <c r="AT10" s="490" t="str">
        <f>IF(AR10&lt;&gt;"義務","",SUMIFS(非_まとめ表行番号!$O$3:$O$20,非_まとめ表行番号!$J$3:$J$20,AN10,非_まとめ表行番号!$K$3:$K$20,AO10,非_まとめ表行番号!$L$3:$L$20,AP10,非_まとめ表行番号!$M$3:$M$20,AQ10))</f>
        <v/>
      </c>
      <c r="AU10" s="490" t="str">
        <f t="shared" si="16"/>
        <v/>
      </c>
      <c r="AW10" s="490" t="str">
        <f>IF(AS10="","",VLOOKUP(AS10,非_まとめ表行番号!$U$3:$V$56,2,FALSE))</f>
        <v/>
      </c>
      <c r="AX10" s="490" t="str">
        <f>IF(D10="","",VLOOKUP(D10,非_燃料種類_選択リスト!$X$2:$Y$14,2,FALSE))</f>
        <v/>
      </c>
      <c r="AY10" s="490" t="str">
        <f>IF(E10="","",VLOOKUP(E10,非_燃料種類_選択リスト!$X$18:$Y$24,2,FALSE))</f>
        <v/>
      </c>
      <c r="AZ10" s="490" t="str">
        <f t="shared" si="17"/>
        <v/>
      </c>
      <c r="BA10" s="490" t="str">
        <f t="shared" si="18"/>
        <v/>
      </c>
      <c r="BB10" s="490" t="str">
        <f t="shared" si="19"/>
        <v/>
      </c>
      <c r="BC10" s="490" t="str">
        <f t="shared" si="20"/>
        <v/>
      </c>
      <c r="BD10" s="490" t="str">
        <f t="shared" si="21"/>
        <v/>
      </c>
      <c r="BE10" s="84">
        <v>1</v>
      </c>
    </row>
    <row r="11" spans="1:57" ht="18.75" customHeight="1">
      <c r="A11" s="582"/>
      <c r="B11" s="523"/>
      <c r="C11" s="400"/>
      <c r="D11" s="400"/>
      <c r="E11" s="407"/>
      <c r="F11" s="407"/>
      <c r="G11" s="401"/>
      <c r="H11" s="327" t="str">
        <f t="shared" si="22"/>
        <v/>
      </c>
      <c r="I11" s="400"/>
      <c r="J11" s="481" t="str">
        <f t="shared" si="0"/>
        <v/>
      </c>
      <c r="K11" s="401"/>
      <c r="L11" s="404"/>
      <c r="M11" s="401"/>
      <c r="N11" s="401"/>
      <c r="O11" s="479"/>
      <c r="P11" s="512"/>
      <c r="Q11" s="330" t="str">
        <f t="shared" si="23"/>
        <v/>
      </c>
      <c r="R11" s="337" t="str">
        <f t="shared" si="30"/>
        <v/>
      </c>
      <c r="S11" s="338" t="str">
        <f>IF(C11="","",VLOOKUP(C11,非_単位!$N$38:$O$53,2,FALSE))</f>
        <v/>
      </c>
      <c r="T11" s="331" t="str">
        <f t="shared" si="31"/>
        <v/>
      </c>
      <c r="U11" s="439" t="str">
        <f t="shared" si="32"/>
        <v/>
      </c>
      <c r="W11" s="490" t="str">
        <f t="shared" si="1"/>
        <v/>
      </c>
      <c r="X11" s="490" t="str">
        <f t="shared" si="29"/>
        <v/>
      </c>
      <c r="Y11" s="490" t="str">
        <f t="shared" si="2"/>
        <v/>
      </c>
      <c r="Z11" s="490" t="str">
        <f t="shared" si="3"/>
        <v/>
      </c>
      <c r="AA11" s="490" t="str">
        <f t="shared" si="4"/>
        <v/>
      </c>
      <c r="AB11" s="490" t="str">
        <f t="shared" si="5"/>
        <v/>
      </c>
      <c r="AC11" s="490" t="str">
        <f t="shared" si="6"/>
        <v/>
      </c>
      <c r="AD11" s="490" t="str">
        <f t="shared" si="27"/>
        <v/>
      </c>
      <c r="AE11" s="490" t="str">
        <f t="shared" si="7"/>
        <v/>
      </c>
      <c r="AF11" s="490" t="str">
        <f>IF(C11="","",IF(AE11="対象","熱量計読取",VLOOKUP(C11,非_係数!$B$42:$D$55,2,FALSE)))</f>
        <v/>
      </c>
      <c r="AG11" s="490" t="str">
        <f>IF(W11="電気",非_電気事業者!$S$4*1000,IF(W11="熱",非_熱供給事業者!$T$4,""))</f>
        <v/>
      </c>
      <c r="AH11" s="490" t="str">
        <f>IF(N11="","",VLOOKUP(N11,非_単位補正換算!$B$3:$C$16,2,FALSE))</f>
        <v/>
      </c>
      <c r="AI11" s="490" t="str">
        <f t="shared" si="8"/>
        <v/>
      </c>
      <c r="AJ11" s="490" t="str">
        <f t="shared" si="9"/>
        <v/>
      </c>
      <c r="AK11" s="490">
        <v>1</v>
      </c>
      <c r="AL11" s="490" t="str">
        <f t="shared" si="10"/>
        <v/>
      </c>
      <c r="AM11" s="490" t="b">
        <f t="shared" si="28"/>
        <v>1</v>
      </c>
      <c r="AN11" s="490" t="str">
        <f t="shared" si="11"/>
        <v/>
      </c>
      <c r="AO11" s="490" t="str">
        <f t="shared" si="12"/>
        <v/>
      </c>
      <c r="AP11" s="490" t="str">
        <f t="shared" si="13"/>
        <v/>
      </c>
      <c r="AQ11" s="490" t="str">
        <f t="shared" si="14"/>
        <v/>
      </c>
      <c r="AR11" s="490" t="str">
        <f t="shared" si="15"/>
        <v/>
      </c>
      <c r="AS11" s="490" t="str">
        <f>IF(AR11&lt;&gt;"義務","",SUMIFS(非_まとめ表行番号!$N$3:$N$20,非_まとめ表行番号!$J$3:$J$20,AN11,非_まとめ表行番号!$K$3:$K$20,AO11,非_まとめ表行番号!$L$3:$L$20,AP11,非_まとめ表行番号!$M$3:$M$20,AQ11))</f>
        <v/>
      </c>
      <c r="AT11" s="490" t="str">
        <f>IF(AR11&lt;&gt;"義務","",SUMIFS(非_まとめ表行番号!$O$3:$O$20,非_まとめ表行番号!$J$3:$J$20,AN11,非_まとめ表行番号!$K$3:$K$20,AO11,非_まとめ表行番号!$L$3:$L$20,AP11,非_まとめ表行番号!$M$3:$M$20,AQ11))</f>
        <v/>
      </c>
      <c r="AU11" s="490" t="str">
        <f t="shared" si="16"/>
        <v/>
      </c>
      <c r="AW11" s="490" t="str">
        <f>IF(AS11="","",VLOOKUP(AS11,非_まとめ表行番号!$U$3:$V$56,2,FALSE))</f>
        <v/>
      </c>
      <c r="AX11" s="490" t="str">
        <f>IF(D11="","",VLOOKUP(D11,非_燃料種類_選択リスト!$X$2:$Y$14,2,FALSE))</f>
        <v/>
      </c>
      <c r="AY11" s="490" t="str">
        <f>IF(E11="","",VLOOKUP(E11,非_燃料種類_選択リスト!$X$18:$Y$24,2,FALSE))</f>
        <v/>
      </c>
      <c r="AZ11" s="490" t="str">
        <f t="shared" si="17"/>
        <v/>
      </c>
      <c r="BA11" s="490" t="str">
        <f t="shared" si="18"/>
        <v/>
      </c>
      <c r="BB11" s="490" t="str">
        <f t="shared" si="19"/>
        <v/>
      </c>
      <c r="BC11" s="490" t="str">
        <f t="shared" si="20"/>
        <v/>
      </c>
      <c r="BD11" s="490" t="str">
        <f t="shared" si="21"/>
        <v/>
      </c>
      <c r="BE11" s="84">
        <v>1</v>
      </c>
    </row>
    <row r="12" spans="1:57" ht="18.75" customHeight="1">
      <c r="A12" s="582"/>
      <c r="B12" s="523"/>
      <c r="C12" s="400"/>
      <c r="D12" s="400"/>
      <c r="E12" s="407"/>
      <c r="F12" s="407"/>
      <c r="G12" s="401"/>
      <c r="H12" s="327" t="str">
        <f t="shared" si="22"/>
        <v/>
      </c>
      <c r="I12" s="400"/>
      <c r="J12" s="481" t="str">
        <f t="shared" si="0"/>
        <v/>
      </c>
      <c r="K12" s="401"/>
      <c r="L12" s="404"/>
      <c r="M12" s="401"/>
      <c r="N12" s="401"/>
      <c r="O12" s="479"/>
      <c r="P12" s="512"/>
      <c r="Q12" s="330" t="str">
        <f t="shared" si="23"/>
        <v/>
      </c>
      <c r="R12" s="337" t="str">
        <f t="shared" ref="R12:R29" si="33">AI12</f>
        <v/>
      </c>
      <c r="S12" s="338" t="str">
        <f>IF(C12="","",VLOOKUP(C12,非_単位!$N$38:$O$53,2,FALSE))</f>
        <v/>
      </c>
      <c r="T12" s="331" t="str">
        <f t="shared" ref="T12:T29" si="34">AJ12</f>
        <v/>
      </c>
      <c r="U12" s="439" t="str">
        <f t="shared" ref="U12:U29" si="35">AL12</f>
        <v/>
      </c>
      <c r="W12" s="490" t="str">
        <f t="shared" si="1"/>
        <v/>
      </c>
      <c r="X12" s="490" t="str">
        <f t="shared" si="29"/>
        <v/>
      </c>
      <c r="Y12" s="490" t="str">
        <f t="shared" si="2"/>
        <v/>
      </c>
      <c r="Z12" s="490" t="str">
        <f t="shared" si="3"/>
        <v/>
      </c>
      <c r="AA12" s="490" t="str">
        <f t="shared" si="4"/>
        <v/>
      </c>
      <c r="AB12" s="490" t="str">
        <f t="shared" si="5"/>
        <v/>
      </c>
      <c r="AC12" s="490" t="str">
        <f t="shared" si="6"/>
        <v/>
      </c>
      <c r="AD12" s="490" t="str">
        <f t="shared" si="27"/>
        <v/>
      </c>
      <c r="AE12" s="490" t="str">
        <f t="shared" si="7"/>
        <v/>
      </c>
      <c r="AF12" s="490" t="str">
        <f>IF(C12="","",IF(AE12="対象","熱量計読取",VLOOKUP(C12,非_係数!$B$42:$D$55,2,FALSE)))</f>
        <v/>
      </c>
      <c r="AG12" s="490" t="str">
        <f>IF(W12="電気",非_電気事業者!$S$4*1000,IF(W12="熱",非_熱供給事業者!$T$4,""))</f>
        <v/>
      </c>
      <c r="AH12" s="490" t="str">
        <f>IF(N12="","",VLOOKUP(N12,非_単位補正換算!$B$3:$C$16,2,FALSE))</f>
        <v/>
      </c>
      <c r="AI12" s="490" t="str">
        <f t="shared" si="8"/>
        <v/>
      </c>
      <c r="AJ12" s="490" t="str">
        <f t="shared" si="9"/>
        <v/>
      </c>
      <c r="AK12" s="490">
        <v>1</v>
      </c>
      <c r="AL12" s="490" t="str">
        <f t="shared" si="10"/>
        <v/>
      </c>
      <c r="AM12" s="490" t="b">
        <f t="shared" si="28"/>
        <v>1</v>
      </c>
      <c r="AN12" s="490" t="str">
        <f t="shared" si="11"/>
        <v/>
      </c>
      <c r="AO12" s="490" t="str">
        <f t="shared" si="12"/>
        <v/>
      </c>
      <c r="AP12" s="490" t="str">
        <f t="shared" si="13"/>
        <v/>
      </c>
      <c r="AQ12" s="490" t="str">
        <f t="shared" si="14"/>
        <v/>
      </c>
      <c r="AR12" s="490" t="str">
        <f t="shared" si="15"/>
        <v/>
      </c>
      <c r="AS12" s="490" t="str">
        <f>IF(AR12&lt;&gt;"義務","",SUMIFS(非_まとめ表行番号!$N$3:$N$20,非_まとめ表行番号!$J$3:$J$20,AN12,非_まとめ表行番号!$K$3:$K$20,AO12,非_まとめ表行番号!$L$3:$L$20,AP12,非_まとめ表行番号!$M$3:$M$20,AQ12))</f>
        <v/>
      </c>
      <c r="AT12" s="490" t="str">
        <f>IF(AR12&lt;&gt;"義務","",SUMIFS(非_まとめ表行番号!$O$3:$O$20,非_まとめ表行番号!$J$3:$J$20,AN12,非_まとめ表行番号!$K$3:$K$20,AO12,非_まとめ表行番号!$L$3:$L$20,AP12,非_まとめ表行番号!$M$3:$M$20,AQ12))</f>
        <v/>
      </c>
      <c r="AU12" s="490" t="str">
        <f t="shared" si="16"/>
        <v/>
      </c>
      <c r="AW12" s="490" t="str">
        <f>IF(AS12="","",VLOOKUP(AS12,非_まとめ表行番号!$U$3:$V$56,2,FALSE))</f>
        <v/>
      </c>
      <c r="AX12" s="490" t="str">
        <f>IF(D12="","",VLOOKUP(D12,非_燃料種類_選択リスト!$X$2:$Y$14,2,FALSE))</f>
        <v/>
      </c>
      <c r="AY12" s="490" t="str">
        <f>IF(E12="","",VLOOKUP(E12,非_燃料種類_選択リスト!$X$18:$Y$24,2,FALSE))</f>
        <v/>
      </c>
      <c r="AZ12" s="490" t="str">
        <f t="shared" si="17"/>
        <v/>
      </c>
      <c r="BA12" s="490" t="str">
        <f t="shared" si="18"/>
        <v/>
      </c>
      <c r="BB12" s="490" t="str">
        <f t="shared" si="19"/>
        <v/>
      </c>
      <c r="BC12" s="490" t="str">
        <f t="shared" si="20"/>
        <v/>
      </c>
      <c r="BD12" s="490" t="str">
        <f t="shared" si="21"/>
        <v/>
      </c>
      <c r="BE12" s="84">
        <v>1</v>
      </c>
    </row>
    <row r="13" spans="1:57" ht="18.75" customHeight="1">
      <c r="A13" s="582"/>
      <c r="B13" s="523"/>
      <c r="C13" s="400"/>
      <c r="D13" s="400"/>
      <c r="E13" s="407"/>
      <c r="F13" s="407"/>
      <c r="G13" s="401"/>
      <c r="H13" s="327" t="str">
        <f t="shared" si="22"/>
        <v/>
      </c>
      <c r="I13" s="400"/>
      <c r="J13" s="481" t="str">
        <f t="shared" si="0"/>
        <v/>
      </c>
      <c r="K13" s="401"/>
      <c r="L13" s="404"/>
      <c r="M13" s="401"/>
      <c r="N13" s="401"/>
      <c r="O13" s="479"/>
      <c r="P13" s="512"/>
      <c r="Q13" s="330" t="str">
        <f t="shared" si="23"/>
        <v/>
      </c>
      <c r="R13" s="337" t="str">
        <f t="shared" si="33"/>
        <v/>
      </c>
      <c r="S13" s="338" t="str">
        <f>IF(C13="","",VLOOKUP(C13,非_単位!$N$38:$O$53,2,FALSE))</f>
        <v/>
      </c>
      <c r="T13" s="331" t="str">
        <f t="shared" si="34"/>
        <v/>
      </c>
      <c r="U13" s="439" t="str">
        <f t="shared" si="35"/>
        <v/>
      </c>
      <c r="W13" s="490" t="str">
        <f t="shared" si="1"/>
        <v/>
      </c>
      <c r="X13" s="490" t="str">
        <f t="shared" si="29"/>
        <v/>
      </c>
      <c r="Y13" s="490" t="str">
        <f t="shared" si="2"/>
        <v/>
      </c>
      <c r="Z13" s="490" t="str">
        <f t="shared" si="3"/>
        <v/>
      </c>
      <c r="AA13" s="490" t="str">
        <f t="shared" si="4"/>
        <v/>
      </c>
      <c r="AB13" s="490" t="str">
        <f t="shared" si="5"/>
        <v/>
      </c>
      <c r="AC13" s="490" t="str">
        <f t="shared" si="6"/>
        <v/>
      </c>
      <c r="AD13" s="490" t="str">
        <f t="shared" si="27"/>
        <v/>
      </c>
      <c r="AE13" s="490" t="str">
        <f t="shared" si="7"/>
        <v/>
      </c>
      <c r="AF13" s="490" t="str">
        <f>IF(C13="","",IF(AE13="対象","熱量計読取",VLOOKUP(C13,非_係数!$B$42:$D$55,2,FALSE)))</f>
        <v/>
      </c>
      <c r="AG13" s="490" t="str">
        <f>IF(W13="電気",非_電気事業者!$S$4*1000,IF(W13="熱",非_熱供給事業者!$T$4,""))</f>
        <v/>
      </c>
      <c r="AH13" s="490" t="str">
        <f>IF(N13="","",VLOOKUP(N13,非_単位補正換算!$B$3:$C$16,2,FALSE))</f>
        <v/>
      </c>
      <c r="AI13" s="490" t="str">
        <f t="shared" si="8"/>
        <v/>
      </c>
      <c r="AJ13" s="490" t="str">
        <f t="shared" si="9"/>
        <v/>
      </c>
      <c r="AK13" s="490">
        <v>1</v>
      </c>
      <c r="AL13" s="490" t="str">
        <f t="shared" si="10"/>
        <v/>
      </c>
      <c r="AM13" s="490" t="b">
        <f t="shared" si="28"/>
        <v>1</v>
      </c>
      <c r="AN13" s="490" t="str">
        <f t="shared" si="11"/>
        <v/>
      </c>
      <c r="AO13" s="490" t="str">
        <f t="shared" si="12"/>
        <v/>
      </c>
      <c r="AP13" s="490" t="str">
        <f t="shared" si="13"/>
        <v/>
      </c>
      <c r="AQ13" s="490" t="str">
        <f t="shared" si="14"/>
        <v/>
      </c>
      <c r="AR13" s="490" t="str">
        <f t="shared" si="15"/>
        <v/>
      </c>
      <c r="AS13" s="490" t="str">
        <f>IF(AR13&lt;&gt;"義務","",SUMIFS(非_まとめ表行番号!$N$3:$N$20,非_まとめ表行番号!$J$3:$J$20,AN13,非_まとめ表行番号!$K$3:$K$20,AO13,非_まとめ表行番号!$L$3:$L$20,AP13,非_まとめ表行番号!$M$3:$M$20,AQ13))</f>
        <v/>
      </c>
      <c r="AT13" s="490" t="str">
        <f>IF(AR13&lt;&gt;"義務","",SUMIFS(非_まとめ表行番号!$O$3:$O$20,非_まとめ表行番号!$J$3:$J$20,AN13,非_まとめ表行番号!$K$3:$K$20,AO13,非_まとめ表行番号!$L$3:$L$20,AP13,非_まとめ表行番号!$M$3:$M$20,AQ13))</f>
        <v/>
      </c>
      <c r="AU13" s="490" t="str">
        <f t="shared" si="16"/>
        <v/>
      </c>
      <c r="AW13" s="490" t="str">
        <f>IF(AS13="","",VLOOKUP(AS13,非_まとめ表行番号!$U$3:$V$56,2,FALSE))</f>
        <v/>
      </c>
      <c r="AX13" s="490" t="str">
        <f>IF(D13="","",VLOOKUP(D13,非_燃料種類_選択リスト!$X$2:$Y$14,2,FALSE))</f>
        <v/>
      </c>
      <c r="AY13" s="490" t="str">
        <f>IF(E13="","",VLOOKUP(E13,非_燃料種類_選択リスト!$X$18:$Y$24,2,FALSE))</f>
        <v/>
      </c>
      <c r="AZ13" s="490" t="str">
        <f t="shared" si="17"/>
        <v/>
      </c>
      <c r="BA13" s="490" t="str">
        <f t="shared" si="18"/>
        <v/>
      </c>
      <c r="BB13" s="490" t="str">
        <f t="shared" si="19"/>
        <v/>
      </c>
      <c r="BC13" s="490" t="str">
        <f t="shared" si="20"/>
        <v/>
      </c>
      <c r="BD13" s="490" t="str">
        <f t="shared" si="21"/>
        <v/>
      </c>
      <c r="BE13" s="84">
        <v>1</v>
      </c>
    </row>
    <row r="14" spans="1:57" ht="18.75" customHeight="1">
      <c r="A14" s="582"/>
      <c r="B14" s="523"/>
      <c r="C14" s="400"/>
      <c r="D14" s="400"/>
      <c r="E14" s="407"/>
      <c r="F14" s="407"/>
      <c r="G14" s="401"/>
      <c r="H14" s="327" t="str">
        <f t="shared" ref="H14:H18" si="36">AF14</f>
        <v/>
      </c>
      <c r="I14" s="400"/>
      <c r="J14" s="481" t="str">
        <f t="shared" si="0"/>
        <v/>
      </c>
      <c r="K14" s="401"/>
      <c r="L14" s="404"/>
      <c r="M14" s="401"/>
      <c r="N14" s="401"/>
      <c r="O14" s="479"/>
      <c r="P14" s="512"/>
      <c r="Q14" s="330" t="str">
        <f t="shared" si="23"/>
        <v/>
      </c>
      <c r="R14" s="337" t="str">
        <f t="shared" ref="R14:R18" si="37">AI14</f>
        <v/>
      </c>
      <c r="S14" s="338" t="str">
        <f>IF(C14="","",VLOOKUP(C14,非_単位!$N$38:$O$53,2,FALSE))</f>
        <v/>
      </c>
      <c r="T14" s="331" t="str">
        <f t="shared" ref="T14:T18" si="38">AJ14</f>
        <v/>
      </c>
      <c r="U14" s="439" t="str">
        <f t="shared" ref="U14:U18" si="39">AL14</f>
        <v/>
      </c>
      <c r="W14" s="490" t="str">
        <f t="shared" si="1"/>
        <v/>
      </c>
      <c r="X14" s="490" t="str">
        <f t="shared" ref="X14:X18" si="40">IF(W14="電気","再エネ_事業所内_電気_種類",IF(W14="熱","再エネ_事業所内_熱_種類",""))</f>
        <v/>
      </c>
      <c r="Y14" s="490" t="str">
        <f t="shared" si="2"/>
        <v/>
      </c>
      <c r="Z14" s="490" t="str">
        <f t="shared" si="3"/>
        <v/>
      </c>
      <c r="AA14" s="490" t="str">
        <f t="shared" si="4"/>
        <v/>
      </c>
      <c r="AB14" s="490" t="str">
        <f t="shared" si="5"/>
        <v/>
      </c>
      <c r="AC14" s="490" t="str">
        <f t="shared" si="6"/>
        <v/>
      </c>
      <c r="AD14" s="490" t="str">
        <f t="shared" ref="AD14:AD18" si="41">IF(W14="","","自家消費")</f>
        <v/>
      </c>
      <c r="AE14" s="490" t="str">
        <f t="shared" si="7"/>
        <v/>
      </c>
      <c r="AF14" s="490" t="str">
        <f>IF(C14="","",IF(AE14="対象","熱量計読取",VLOOKUP(C14,非_係数!$B$42:$D$55,2,FALSE)))</f>
        <v/>
      </c>
      <c r="AG14" s="490" t="str">
        <f>IF(W14="電気",非_電気事業者!$S$4*1000,IF(W14="熱",非_熱供給事業者!$T$4,""))</f>
        <v/>
      </c>
      <c r="AH14" s="490" t="str">
        <f>IF(N14="","",VLOOKUP(N14,非_単位補正換算!$B$3:$C$16,2,FALSE))</f>
        <v/>
      </c>
      <c r="AI14" s="490" t="str">
        <f t="shared" si="8"/>
        <v/>
      </c>
      <c r="AJ14" s="490" t="str">
        <f t="shared" si="9"/>
        <v/>
      </c>
      <c r="AK14" s="490">
        <v>1</v>
      </c>
      <c r="AL14" s="490" t="str">
        <f t="shared" si="10"/>
        <v/>
      </c>
      <c r="AM14" s="490" t="b">
        <f t="shared" si="28"/>
        <v>1</v>
      </c>
      <c r="AN14" s="490" t="str">
        <f t="shared" si="11"/>
        <v/>
      </c>
      <c r="AO14" s="490" t="str">
        <f t="shared" si="12"/>
        <v/>
      </c>
      <c r="AP14" s="490" t="str">
        <f t="shared" si="13"/>
        <v/>
      </c>
      <c r="AQ14" s="490" t="str">
        <f t="shared" si="14"/>
        <v/>
      </c>
      <c r="AR14" s="490" t="str">
        <f t="shared" si="15"/>
        <v/>
      </c>
      <c r="AS14" s="490" t="str">
        <f>IF(AR14&lt;&gt;"義務","",SUMIFS(非_まとめ表行番号!$N$3:$N$20,非_まとめ表行番号!$J$3:$J$20,AN14,非_まとめ表行番号!$K$3:$K$20,AO14,非_まとめ表行番号!$L$3:$L$20,AP14,非_まとめ表行番号!$M$3:$M$20,AQ14))</f>
        <v/>
      </c>
      <c r="AT14" s="490" t="str">
        <f>IF(AR14&lt;&gt;"義務","",SUMIFS(非_まとめ表行番号!$O$3:$O$20,非_まとめ表行番号!$J$3:$J$20,AN14,非_まとめ表行番号!$K$3:$K$20,AO14,非_まとめ表行番号!$L$3:$L$20,AP14,非_まとめ表行番号!$M$3:$M$20,AQ14))</f>
        <v/>
      </c>
      <c r="AU14" s="490" t="str">
        <f t="shared" si="16"/>
        <v/>
      </c>
      <c r="AW14" s="490" t="str">
        <f>IF(AS14="","",VLOOKUP(AS14,非_まとめ表行番号!$U$3:$V$56,2,FALSE))</f>
        <v/>
      </c>
      <c r="AX14" s="490" t="str">
        <f>IF(D14="","",VLOOKUP(D14,非_燃料種類_選択リスト!$X$2:$Y$14,2,FALSE))</f>
        <v/>
      </c>
      <c r="AY14" s="490" t="str">
        <f>IF(E14="","",VLOOKUP(E14,非_燃料種類_選択リスト!$X$18:$Y$24,2,FALSE))</f>
        <v/>
      </c>
      <c r="AZ14" s="490" t="str">
        <f t="shared" si="17"/>
        <v/>
      </c>
      <c r="BA14" s="490" t="str">
        <f t="shared" si="18"/>
        <v/>
      </c>
      <c r="BB14" s="490" t="str">
        <f t="shared" si="19"/>
        <v/>
      </c>
      <c r="BC14" s="490" t="str">
        <f t="shared" si="20"/>
        <v/>
      </c>
      <c r="BD14" s="490" t="str">
        <f t="shared" si="21"/>
        <v/>
      </c>
      <c r="BE14" s="84">
        <v>1</v>
      </c>
    </row>
    <row r="15" spans="1:57" ht="18.75" customHeight="1">
      <c r="A15" s="582"/>
      <c r="B15" s="523"/>
      <c r="C15" s="400"/>
      <c r="D15" s="400"/>
      <c r="E15" s="407"/>
      <c r="F15" s="407"/>
      <c r="G15" s="401"/>
      <c r="H15" s="327" t="str">
        <f t="shared" si="36"/>
        <v/>
      </c>
      <c r="I15" s="400"/>
      <c r="J15" s="481" t="str">
        <f t="shared" si="0"/>
        <v/>
      </c>
      <c r="K15" s="401"/>
      <c r="L15" s="404"/>
      <c r="M15" s="401"/>
      <c r="N15" s="401"/>
      <c r="O15" s="479"/>
      <c r="P15" s="512"/>
      <c r="Q15" s="330" t="str">
        <f t="shared" si="23"/>
        <v/>
      </c>
      <c r="R15" s="337" t="str">
        <f t="shared" si="37"/>
        <v/>
      </c>
      <c r="S15" s="338" t="str">
        <f>IF(C15="","",VLOOKUP(C15,非_単位!$N$38:$O$53,2,FALSE))</f>
        <v/>
      </c>
      <c r="T15" s="331" t="str">
        <f t="shared" si="38"/>
        <v/>
      </c>
      <c r="U15" s="439" t="str">
        <f t="shared" si="39"/>
        <v/>
      </c>
      <c r="W15" s="490" t="str">
        <f t="shared" si="1"/>
        <v/>
      </c>
      <c r="X15" s="490" t="str">
        <f t="shared" si="40"/>
        <v/>
      </c>
      <c r="Y15" s="490" t="str">
        <f t="shared" si="2"/>
        <v/>
      </c>
      <c r="Z15" s="490" t="str">
        <f t="shared" si="3"/>
        <v/>
      </c>
      <c r="AA15" s="490" t="str">
        <f t="shared" si="4"/>
        <v/>
      </c>
      <c r="AB15" s="490" t="str">
        <f t="shared" si="5"/>
        <v/>
      </c>
      <c r="AC15" s="490" t="str">
        <f t="shared" si="6"/>
        <v/>
      </c>
      <c r="AD15" s="490" t="str">
        <f t="shared" si="41"/>
        <v/>
      </c>
      <c r="AE15" s="490" t="str">
        <f t="shared" si="7"/>
        <v/>
      </c>
      <c r="AF15" s="490" t="str">
        <f>IF(C15="","",IF(AE15="対象","熱量計読取",VLOOKUP(C15,非_係数!$B$42:$D$55,2,FALSE)))</f>
        <v/>
      </c>
      <c r="AG15" s="490" t="str">
        <f>IF(W15="電気",非_電気事業者!$S$4*1000,IF(W15="熱",非_熱供給事業者!$T$4,""))</f>
        <v/>
      </c>
      <c r="AH15" s="490" t="str">
        <f>IF(N15="","",VLOOKUP(N15,非_単位補正換算!$B$3:$C$16,2,FALSE))</f>
        <v/>
      </c>
      <c r="AI15" s="490" t="str">
        <f t="shared" si="8"/>
        <v/>
      </c>
      <c r="AJ15" s="490" t="str">
        <f t="shared" si="9"/>
        <v/>
      </c>
      <c r="AK15" s="490">
        <v>1</v>
      </c>
      <c r="AL15" s="490" t="str">
        <f t="shared" si="10"/>
        <v/>
      </c>
      <c r="AM15" s="490" t="b">
        <f t="shared" si="28"/>
        <v>1</v>
      </c>
      <c r="AN15" s="490" t="str">
        <f t="shared" si="11"/>
        <v/>
      </c>
      <c r="AO15" s="490" t="str">
        <f t="shared" si="12"/>
        <v/>
      </c>
      <c r="AP15" s="490" t="str">
        <f t="shared" si="13"/>
        <v/>
      </c>
      <c r="AQ15" s="490" t="str">
        <f t="shared" si="14"/>
        <v/>
      </c>
      <c r="AR15" s="490" t="str">
        <f t="shared" si="15"/>
        <v/>
      </c>
      <c r="AS15" s="490" t="str">
        <f>IF(AR15&lt;&gt;"義務","",SUMIFS(非_まとめ表行番号!$N$3:$N$20,非_まとめ表行番号!$J$3:$J$20,AN15,非_まとめ表行番号!$K$3:$K$20,AO15,非_まとめ表行番号!$L$3:$L$20,AP15,非_まとめ表行番号!$M$3:$M$20,AQ15))</f>
        <v/>
      </c>
      <c r="AT15" s="490" t="str">
        <f>IF(AR15&lt;&gt;"義務","",SUMIFS(非_まとめ表行番号!$O$3:$O$20,非_まとめ表行番号!$J$3:$J$20,AN15,非_まとめ表行番号!$K$3:$K$20,AO15,非_まとめ表行番号!$L$3:$L$20,AP15,非_まとめ表行番号!$M$3:$M$20,AQ15))</f>
        <v/>
      </c>
      <c r="AU15" s="490" t="str">
        <f t="shared" si="16"/>
        <v/>
      </c>
      <c r="AW15" s="490" t="str">
        <f>IF(AS15="","",VLOOKUP(AS15,非_まとめ表行番号!$U$3:$V$56,2,FALSE))</f>
        <v/>
      </c>
      <c r="AX15" s="490" t="str">
        <f>IF(D15="","",VLOOKUP(D15,非_燃料種類_選択リスト!$X$2:$Y$14,2,FALSE))</f>
        <v/>
      </c>
      <c r="AY15" s="490" t="str">
        <f>IF(E15="","",VLOOKUP(E15,非_燃料種類_選択リスト!$X$18:$Y$24,2,FALSE))</f>
        <v/>
      </c>
      <c r="AZ15" s="490" t="str">
        <f t="shared" si="17"/>
        <v/>
      </c>
      <c r="BA15" s="490" t="str">
        <f t="shared" si="18"/>
        <v/>
      </c>
      <c r="BB15" s="490" t="str">
        <f t="shared" si="19"/>
        <v/>
      </c>
      <c r="BC15" s="490" t="str">
        <f t="shared" si="20"/>
        <v/>
      </c>
      <c r="BD15" s="490" t="str">
        <f t="shared" si="21"/>
        <v/>
      </c>
      <c r="BE15" s="84">
        <v>1</v>
      </c>
    </row>
    <row r="16" spans="1:57" ht="18.75" customHeight="1" thickBot="1">
      <c r="A16" s="582"/>
      <c r="B16" s="610"/>
      <c r="C16" s="611"/>
      <c r="D16" s="611"/>
      <c r="E16" s="407"/>
      <c r="F16" s="407"/>
      <c r="G16" s="618"/>
      <c r="H16" s="680" t="str">
        <f t="shared" si="36"/>
        <v/>
      </c>
      <c r="I16" s="611"/>
      <c r="J16" s="706" t="str">
        <f t="shared" si="0"/>
        <v/>
      </c>
      <c r="K16" s="618"/>
      <c r="L16" s="404"/>
      <c r="M16" s="401"/>
      <c r="N16" s="618"/>
      <c r="O16" s="480"/>
      <c r="P16" s="512"/>
      <c r="Q16" s="685" t="str">
        <f t="shared" si="23"/>
        <v/>
      </c>
      <c r="R16" s="686" t="str">
        <f t="shared" si="37"/>
        <v/>
      </c>
      <c r="S16" s="687" t="str">
        <f>IF(C16="","",VLOOKUP(C16,非_単位!$N$38:$O$53,2,FALSE))</f>
        <v/>
      </c>
      <c r="T16" s="688" t="str">
        <f t="shared" si="38"/>
        <v/>
      </c>
      <c r="U16" s="689" t="str">
        <f t="shared" si="39"/>
        <v/>
      </c>
      <c r="W16" s="577" t="str">
        <f t="shared" si="1"/>
        <v/>
      </c>
      <c r="X16" s="577" t="str">
        <f t="shared" si="40"/>
        <v/>
      </c>
      <c r="Y16" s="577" t="str">
        <f t="shared" si="2"/>
        <v/>
      </c>
      <c r="Z16" s="577" t="str">
        <f t="shared" si="3"/>
        <v/>
      </c>
      <c r="AA16" s="577" t="str">
        <f t="shared" si="4"/>
        <v/>
      </c>
      <c r="AB16" s="577" t="str">
        <f t="shared" si="5"/>
        <v/>
      </c>
      <c r="AC16" s="577" t="str">
        <f t="shared" si="6"/>
        <v/>
      </c>
      <c r="AD16" s="577" t="str">
        <f t="shared" si="41"/>
        <v/>
      </c>
      <c r="AE16" s="577" t="str">
        <f t="shared" si="7"/>
        <v/>
      </c>
      <c r="AF16" s="577" t="str">
        <f>IF(C16="","",IF(AE16="対象","熱量計読取",VLOOKUP(C16,非_係数!$B$42:$D$55,2,FALSE)))</f>
        <v/>
      </c>
      <c r="AG16" s="577" t="str">
        <f>IF(W16="電気",非_電気事業者!$S$4*1000,IF(W16="熱",非_熱供給事業者!$T$4,""))</f>
        <v/>
      </c>
      <c r="AH16" s="577" t="str">
        <f>IF(N16="","",VLOOKUP(N16,非_単位補正換算!$B$3:$C$16,2,FALSE))</f>
        <v/>
      </c>
      <c r="AI16" s="577" t="str">
        <f t="shared" si="8"/>
        <v/>
      </c>
      <c r="AJ16" s="577" t="str">
        <f t="shared" si="9"/>
        <v/>
      </c>
      <c r="AK16" s="577">
        <v>1</v>
      </c>
      <c r="AL16" s="577" t="str">
        <f t="shared" si="10"/>
        <v/>
      </c>
      <c r="AM16" s="577" t="b">
        <f t="shared" si="28"/>
        <v>1</v>
      </c>
      <c r="AN16" s="577" t="str">
        <f t="shared" si="11"/>
        <v/>
      </c>
      <c r="AO16" s="577" t="str">
        <f t="shared" si="12"/>
        <v/>
      </c>
      <c r="AP16" s="577" t="str">
        <f t="shared" si="13"/>
        <v/>
      </c>
      <c r="AQ16" s="577" t="str">
        <f t="shared" si="14"/>
        <v/>
      </c>
      <c r="AR16" s="577" t="str">
        <f t="shared" si="15"/>
        <v/>
      </c>
      <c r="AS16" s="577" t="str">
        <f>IF(AR16&lt;&gt;"義務","",SUMIFS(非_まとめ表行番号!$N$3:$N$20,非_まとめ表行番号!$J$3:$J$20,AN16,非_まとめ表行番号!$K$3:$K$20,AO16,非_まとめ表行番号!$L$3:$L$20,AP16,非_まとめ表行番号!$M$3:$M$20,AQ16))</f>
        <v/>
      </c>
      <c r="AT16" s="577" t="str">
        <f>IF(AR16&lt;&gt;"義務","",SUMIFS(非_まとめ表行番号!$O$3:$O$20,非_まとめ表行番号!$J$3:$J$20,AN16,非_まとめ表行番号!$K$3:$K$20,AO16,非_まとめ表行番号!$L$3:$L$20,AP16,非_まとめ表行番号!$M$3:$M$20,AQ16))</f>
        <v/>
      </c>
      <c r="AU16" s="577" t="str">
        <f t="shared" si="16"/>
        <v/>
      </c>
      <c r="AW16" s="577" t="str">
        <f>IF(AS16="","",VLOOKUP(AS16,非_まとめ表行番号!$U$3:$V$56,2,FALSE))</f>
        <v/>
      </c>
      <c r="AX16" s="577" t="str">
        <f>IF(D16="","",VLOOKUP(D16,非_燃料種類_選択リスト!$X$2:$Y$14,2,FALSE))</f>
        <v/>
      </c>
      <c r="AY16" s="577" t="str">
        <f>IF(E16="","",VLOOKUP(E16,非_燃料種類_選択リスト!$X$18:$Y$24,2,FALSE))</f>
        <v/>
      </c>
      <c r="AZ16" s="577" t="str">
        <f t="shared" si="17"/>
        <v/>
      </c>
      <c r="BA16" s="577" t="str">
        <f t="shared" si="18"/>
        <v/>
      </c>
      <c r="BB16" s="577" t="str">
        <f t="shared" si="19"/>
        <v/>
      </c>
      <c r="BC16" s="577" t="str">
        <f t="shared" si="20"/>
        <v/>
      </c>
      <c r="BD16" s="577" t="str">
        <f t="shared" si="21"/>
        <v/>
      </c>
      <c r="BE16" s="84">
        <v>1</v>
      </c>
    </row>
    <row r="17" spans="1:57" ht="18.75" customHeight="1" thickTop="1">
      <c r="A17" s="583" t="s">
        <v>2053</v>
      </c>
      <c r="B17" s="612"/>
      <c r="C17" s="613"/>
      <c r="D17" s="613"/>
      <c r="E17" s="407"/>
      <c r="F17" s="407"/>
      <c r="G17" s="619"/>
      <c r="H17" s="681" t="str">
        <f t="shared" si="36"/>
        <v/>
      </c>
      <c r="I17" s="613"/>
      <c r="J17" s="700" t="str">
        <f t="shared" si="0"/>
        <v/>
      </c>
      <c r="K17" s="619"/>
      <c r="L17" s="404"/>
      <c r="M17" s="401"/>
      <c r="N17" s="619"/>
      <c r="O17" s="683"/>
      <c r="P17" s="512"/>
      <c r="Q17" s="690" t="str">
        <f t="shared" si="23"/>
        <v/>
      </c>
      <c r="R17" s="691" t="str">
        <f t="shared" si="37"/>
        <v/>
      </c>
      <c r="S17" s="692" t="str">
        <f>IF(C17="","",VLOOKUP(C17,非_単位!$N$38:$O$53,2,FALSE))</f>
        <v/>
      </c>
      <c r="T17" s="690" t="str">
        <f t="shared" si="38"/>
        <v/>
      </c>
      <c r="U17" s="650" t="str">
        <f t="shared" si="39"/>
        <v/>
      </c>
      <c r="W17" s="662" t="str">
        <f t="shared" si="1"/>
        <v/>
      </c>
      <c r="X17" s="662" t="str">
        <f t="shared" si="40"/>
        <v/>
      </c>
      <c r="Y17" s="662" t="str">
        <f t="shared" si="2"/>
        <v/>
      </c>
      <c r="Z17" s="662" t="str">
        <f t="shared" si="3"/>
        <v/>
      </c>
      <c r="AA17" s="662" t="str">
        <f t="shared" si="4"/>
        <v/>
      </c>
      <c r="AB17" s="662" t="str">
        <f t="shared" si="5"/>
        <v/>
      </c>
      <c r="AC17" s="662" t="str">
        <f t="shared" si="6"/>
        <v/>
      </c>
      <c r="AD17" s="662" t="str">
        <f t="shared" si="41"/>
        <v/>
      </c>
      <c r="AE17" s="662" t="str">
        <f t="shared" si="7"/>
        <v/>
      </c>
      <c r="AF17" s="662" t="str">
        <f>IF(C17="","",IF(AE17="対象","熱量計読取",VLOOKUP(C17,非_係数!$B$42:$D$55,2,FALSE)))</f>
        <v/>
      </c>
      <c r="AG17" s="662" t="str">
        <f>IF(W17="電気",非_電気事業者!$S$4*1000,IF(W17="熱",非_熱供給事業者!$T$4,""))</f>
        <v/>
      </c>
      <c r="AH17" s="662" t="str">
        <f>IF(N17="","",VLOOKUP(N17,非_単位補正換算!$B$3:$C$16,2,FALSE))</f>
        <v/>
      </c>
      <c r="AI17" s="662" t="str">
        <f t="shared" si="8"/>
        <v/>
      </c>
      <c r="AJ17" s="662" t="str">
        <f t="shared" si="9"/>
        <v/>
      </c>
      <c r="AK17" s="662">
        <v>1</v>
      </c>
      <c r="AL17" s="662" t="str">
        <f t="shared" si="10"/>
        <v/>
      </c>
      <c r="AM17" s="662" t="b">
        <f t="shared" si="28"/>
        <v>1</v>
      </c>
      <c r="AN17" s="662" t="str">
        <f t="shared" si="11"/>
        <v/>
      </c>
      <c r="AO17" s="662" t="str">
        <f t="shared" si="12"/>
        <v/>
      </c>
      <c r="AP17" s="662" t="str">
        <f t="shared" si="13"/>
        <v/>
      </c>
      <c r="AQ17" s="662" t="str">
        <f t="shared" si="14"/>
        <v/>
      </c>
      <c r="AR17" s="662" t="str">
        <f t="shared" si="15"/>
        <v/>
      </c>
      <c r="AS17" s="662" t="str">
        <f>IF(AR17&lt;&gt;"義務","",SUMIFS(非_まとめ表行番号!$N$3:$N$20,非_まとめ表行番号!$J$3:$J$20,AN17,非_まとめ表行番号!$K$3:$K$20,AO17,非_まとめ表行番号!$L$3:$L$20,AP17,非_まとめ表行番号!$M$3:$M$20,AQ17))</f>
        <v/>
      </c>
      <c r="AT17" s="662" t="str">
        <f>IF(AR17&lt;&gt;"義務","",SUMIFS(非_まとめ表行番号!$O$3:$O$20,非_まとめ表行番号!$J$3:$J$20,AN17,非_まとめ表行番号!$K$3:$K$20,AO17,非_まとめ表行番号!$L$3:$L$20,AP17,非_まとめ表行番号!$M$3:$M$20,AQ17))</f>
        <v/>
      </c>
      <c r="AU17" s="662" t="str">
        <f t="shared" si="16"/>
        <v/>
      </c>
      <c r="AW17" s="662" t="str">
        <f>IF(AS17="","",VLOOKUP(AS17,非_まとめ表行番号!$U$3:$V$56,2,FALSE))</f>
        <v/>
      </c>
      <c r="AX17" s="662" t="str">
        <f>IF(D17="","",VLOOKUP(D17,非_燃料種類_選択リスト!$X$2:$Y$14,2,FALSE))</f>
        <v/>
      </c>
      <c r="AY17" s="662" t="str">
        <f>IF(E17="","",VLOOKUP(E17,非_燃料種類_選択リスト!$X$18:$Y$24,2,FALSE))</f>
        <v/>
      </c>
      <c r="AZ17" s="662" t="str">
        <f t="shared" si="17"/>
        <v/>
      </c>
      <c r="BA17" s="662" t="str">
        <f t="shared" si="18"/>
        <v/>
      </c>
      <c r="BB17" s="662" t="str">
        <f t="shared" si="19"/>
        <v/>
      </c>
      <c r="BC17" s="662" t="str">
        <f t="shared" si="20"/>
        <v/>
      </c>
      <c r="BD17" s="662" t="str">
        <f t="shared" si="21"/>
        <v/>
      </c>
      <c r="BE17" s="84">
        <v>2</v>
      </c>
    </row>
    <row r="18" spans="1:57" ht="18.75" customHeight="1">
      <c r="A18" s="584"/>
      <c r="B18" s="614"/>
      <c r="C18" s="615"/>
      <c r="D18" s="615"/>
      <c r="E18" s="407"/>
      <c r="F18" s="407"/>
      <c r="G18" s="620"/>
      <c r="H18" s="327" t="str">
        <f t="shared" si="36"/>
        <v/>
      </c>
      <c r="I18" s="615"/>
      <c r="J18" s="481" t="str">
        <f t="shared" si="0"/>
        <v/>
      </c>
      <c r="K18" s="620"/>
      <c r="L18" s="404"/>
      <c r="M18" s="401"/>
      <c r="N18" s="620"/>
      <c r="O18" s="479"/>
      <c r="P18" s="512"/>
      <c r="Q18" s="331" t="str">
        <f t="shared" si="23"/>
        <v/>
      </c>
      <c r="R18" s="693" t="str">
        <f t="shared" si="37"/>
        <v/>
      </c>
      <c r="S18" s="694" t="str">
        <f>IF(C18="","",VLOOKUP(C18,非_単位!$N$38:$O$53,2,FALSE))</f>
        <v/>
      </c>
      <c r="T18" s="331" t="str">
        <f t="shared" si="38"/>
        <v/>
      </c>
      <c r="U18" s="453" t="str">
        <f t="shared" si="39"/>
        <v/>
      </c>
      <c r="W18" s="490" t="str">
        <f t="shared" si="1"/>
        <v/>
      </c>
      <c r="X18" s="490" t="str">
        <f t="shared" si="40"/>
        <v/>
      </c>
      <c r="Y18" s="490" t="str">
        <f t="shared" si="2"/>
        <v/>
      </c>
      <c r="Z18" s="490" t="str">
        <f t="shared" si="3"/>
        <v/>
      </c>
      <c r="AA18" s="490" t="str">
        <f t="shared" si="4"/>
        <v/>
      </c>
      <c r="AB18" s="490" t="str">
        <f t="shared" si="5"/>
        <v/>
      </c>
      <c r="AC18" s="490" t="str">
        <f t="shared" si="6"/>
        <v/>
      </c>
      <c r="AD18" s="490" t="str">
        <f t="shared" si="41"/>
        <v/>
      </c>
      <c r="AE18" s="490" t="str">
        <f t="shared" si="7"/>
        <v/>
      </c>
      <c r="AF18" s="490" t="str">
        <f>IF(C18="","",IF(AE18="対象","熱量計読取",VLOOKUP(C18,非_係数!$B$42:$D$55,2,FALSE)))</f>
        <v/>
      </c>
      <c r="AG18" s="490" t="str">
        <f>IF(W18="電気",非_電気事業者!$S$4*1000,IF(W18="熱",非_熱供給事業者!$T$4,""))</f>
        <v/>
      </c>
      <c r="AH18" s="490" t="str">
        <f>IF(N18="","",VLOOKUP(N18,非_単位補正換算!$B$3:$C$16,2,FALSE))</f>
        <v/>
      </c>
      <c r="AI18" s="490" t="str">
        <f t="shared" si="8"/>
        <v/>
      </c>
      <c r="AJ18" s="490" t="str">
        <f t="shared" si="9"/>
        <v/>
      </c>
      <c r="AK18" s="490">
        <v>1</v>
      </c>
      <c r="AL18" s="490" t="str">
        <f t="shared" si="10"/>
        <v/>
      </c>
      <c r="AM18" s="490" t="b">
        <f t="shared" si="28"/>
        <v>1</v>
      </c>
      <c r="AN18" s="490" t="str">
        <f t="shared" si="11"/>
        <v/>
      </c>
      <c r="AO18" s="490" t="str">
        <f t="shared" si="12"/>
        <v/>
      </c>
      <c r="AP18" s="490" t="str">
        <f t="shared" si="13"/>
        <v/>
      </c>
      <c r="AQ18" s="490" t="str">
        <f t="shared" si="14"/>
        <v/>
      </c>
      <c r="AR18" s="490" t="str">
        <f t="shared" si="15"/>
        <v/>
      </c>
      <c r="AS18" s="490" t="str">
        <f>IF(AR18&lt;&gt;"義務","",SUMIFS(非_まとめ表行番号!$N$3:$N$20,非_まとめ表行番号!$J$3:$J$20,AN18,非_まとめ表行番号!$K$3:$K$20,AO18,非_まとめ表行番号!$L$3:$L$20,AP18,非_まとめ表行番号!$M$3:$M$20,AQ18))</f>
        <v/>
      </c>
      <c r="AT18" s="490" t="str">
        <f>IF(AR18&lt;&gt;"義務","",SUMIFS(非_まとめ表行番号!$O$3:$O$20,非_まとめ表行番号!$J$3:$J$20,AN18,非_まとめ表行番号!$K$3:$K$20,AO18,非_まとめ表行番号!$L$3:$L$20,AP18,非_まとめ表行番号!$M$3:$M$20,AQ18))</f>
        <v/>
      </c>
      <c r="AU18" s="490" t="str">
        <f t="shared" si="16"/>
        <v/>
      </c>
      <c r="AW18" s="490" t="str">
        <f>IF(AS18="","",VLOOKUP(AS18,非_まとめ表行番号!$U$3:$V$56,2,FALSE))</f>
        <v/>
      </c>
      <c r="AX18" s="490" t="str">
        <f>IF(D18="","",VLOOKUP(D18,非_燃料種類_選択リスト!$X$2:$Y$14,2,FALSE))</f>
        <v/>
      </c>
      <c r="AY18" s="490" t="str">
        <f>IF(E18="","",VLOOKUP(E18,非_燃料種類_選択リスト!$X$18:$Y$24,2,FALSE))</f>
        <v/>
      </c>
      <c r="AZ18" s="490" t="str">
        <f t="shared" si="17"/>
        <v/>
      </c>
      <c r="BA18" s="490" t="str">
        <f t="shared" si="18"/>
        <v/>
      </c>
      <c r="BB18" s="490" t="str">
        <f t="shared" si="19"/>
        <v/>
      </c>
      <c r="BC18" s="490" t="str">
        <f t="shared" si="20"/>
        <v/>
      </c>
      <c r="BD18" s="490" t="str">
        <f t="shared" si="21"/>
        <v/>
      </c>
      <c r="BE18" s="84">
        <v>2</v>
      </c>
    </row>
    <row r="19" spans="1:57" ht="18.75" customHeight="1">
      <c r="A19" s="584"/>
      <c r="B19" s="614"/>
      <c r="C19" s="615"/>
      <c r="D19" s="615"/>
      <c r="E19" s="407"/>
      <c r="F19" s="407"/>
      <c r="G19" s="620"/>
      <c r="H19" s="327" t="str">
        <f t="shared" si="22"/>
        <v/>
      </c>
      <c r="I19" s="615"/>
      <c r="J19" s="481" t="str">
        <f t="shared" si="0"/>
        <v/>
      </c>
      <c r="K19" s="620"/>
      <c r="L19" s="404"/>
      <c r="M19" s="401"/>
      <c r="N19" s="620"/>
      <c r="O19" s="479"/>
      <c r="P19" s="512"/>
      <c r="Q19" s="331" t="str">
        <f t="shared" si="23"/>
        <v/>
      </c>
      <c r="R19" s="693" t="str">
        <f t="shared" si="33"/>
        <v/>
      </c>
      <c r="S19" s="694" t="str">
        <f>IF(C19="","",VLOOKUP(C19,非_単位!$N$38:$O$53,2,FALSE))</f>
        <v/>
      </c>
      <c r="T19" s="331" t="str">
        <f t="shared" si="34"/>
        <v/>
      </c>
      <c r="U19" s="453" t="str">
        <f t="shared" si="35"/>
        <v/>
      </c>
      <c r="W19" s="490" t="str">
        <f t="shared" si="1"/>
        <v/>
      </c>
      <c r="X19" s="490" t="str">
        <f t="shared" si="29"/>
        <v/>
      </c>
      <c r="Y19" s="490" t="str">
        <f t="shared" si="2"/>
        <v/>
      </c>
      <c r="Z19" s="490" t="str">
        <f t="shared" si="3"/>
        <v/>
      </c>
      <c r="AA19" s="490" t="str">
        <f t="shared" si="4"/>
        <v/>
      </c>
      <c r="AB19" s="490" t="str">
        <f t="shared" si="5"/>
        <v/>
      </c>
      <c r="AC19" s="490" t="str">
        <f t="shared" si="6"/>
        <v/>
      </c>
      <c r="AD19" s="490" t="str">
        <f t="shared" si="27"/>
        <v/>
      </c>
      <c r="AE19" s="490" t="str">
        <f t="shared" si="7"/>
        <v/>
      </c>
      <c r="AF19" s="490" t="str">
        <f>IF(C19="","",IF(AE19="対象","熱量計読取",VLOOKUP(C19,非_係数!$B$42:$D$55,2,FALSE)))</f>
        <v/>
      </c>
      <c r="AG19" s="490" t="str">
        <f>IF(W19="電気",非_電気事業者!$S$4*1000,IF(W19="熱",非_熱供給事業者!$T$4,""))</f>
        <v/>
      </c>
      <c r="AH19" s="490" t="str">
        <f>IF(N19="","",VLOOKUP(N19,非_単位補正換算!$B$3:$C$16,2,FALSE))</f>
        <v/>
      </c>
      <c r="AI19" s="490" t="str">
        <f t="shared" si="8"/>
        <v/>
      </c>
      <c r="AJ19" s="490" t="str">
        <f t="shared" si="9"/>
        <v/>
      </c>
      <c r="AK19" s="490">
        <v>1</v>
      </c>
      <c r="AL19" s="490" t="str">
        <f t="shared" si="10"/>
        <v/>
      </c>
      <c r="AM19" s="490" t="b">
        <f t="shared" si="28"/>
        <v>1</v>
      </c>
      <c r="AN19" s="490" t="str">
        <f t="shared" si="11"/>
        <v/>
      </c>
      <c r="AO19" s="490" t="str">
        <f t="shared" si="12"/>
        <v/>
      </c>
      <c r="AP19" s="490" t="str">
        <f t="shared" si="13"/>
        <v/>
      </c>
      <c r="AQ19" s="490" t="str">
        <f t="shared" si="14"/>
        <v/>
      </c>
      <c r="AR19" s="490" t="str">
        <f t="shared" si="15"/>
        <v/>
      </c>
      <c r="AS19" s="490" t="str">
        <f>IF(AR19&lt;&gt;"義務","",SUMIFS(非_まとめ表行番号!$N$3:$N$20,非_まとめ表行番号!$J$3:$J$20,AN19,非_まとめ表行番号!$K$3:$K$20,AO19,非_まとめ表行番号!$L$3:$L$20,AP19,非_まとめ表行番号!$M$3:$M$20,AQ19))</f>
        <v/>
      </c>
      <c r="AT19" s="490" t="str">
        <f>IF(AR19&lt;&gt;"義務","",SUMIFS(非_まとめ表行番号!$O$3:$O$20,非_まとめ表行番号!$J$3:$J$20,AN19,非_まとめ表行番号!$K$3:$K$20,AO19,非_まとめ表行番号!$L$3:$L$20,AP19,非_まとめ表行番号!$M$3:$M$20,AQ19))</f>
        <v/>
      </c>
      <c r="AU19" s="490" t="str">
        <f t="shared" si="16"/>
        <v/>
      </c>
      <c r="AW19" s="490" t="str">
        <f>IF(AS19="","",VLOOKUP(AS19,非_まとめ表行番号!$U$3:$V$56,2,FALSE))</f>
        <v/>
      </c>
      <c r="AX19" s="490" t="str">
        <f>IF(D19="","",VLOOKUP(D19,非_燃料種類_選択リスト!$X$2:$Y$14,2,FALSE))</f>
        <v/>
      </c>
      <c r="AY19" s="490" t="str">
        <f>IF(E19="","",VLOOKUP(E19,非_燃料種類_選択リスト!$X$18:$Y$24,2,FALSE))</f>
        <v/>
      </c>
      <c r="AZ19" s="490" t="str">
        <f t="shared" si="17"/>
        <v/>
      </c>
      <c r="BA19" s="490" t="str">
        <f t="shared" si="18"/>
        <v/>
      </c>
      <c r="BB19" s="490" t="str">
        <f t="shared" si="19"/>
        <v/>
      </c>
      <c r="BC19" s="490" t="str">
        <f t="shared" si="20"/>
        <v/>
      </c>
      <c r="BD19" s="490" t="str">
        <f t="shared" si="21"/>
        <v/>
      </c>
      <c r="BE19" s="84">
        <v>2</v>
      </c>
    </row>
    <row r="20" spans="1:57" ht="18.75" customHeight="1">
      <c r="A20" s="584"/>
      <c r="B20" s="614"/>
      <c r="C20" s="615"/>
      <c r="D20" s="615"/>
      <c r="E20" s="407"/>
      <c r="F20" s="407"/>
      <c r="G20" s="620"/>
      <c r="H20" s="327" t="str">
        <f t="shared" si="22"/>
        <v/>
      </c>
      <c r="I20" s="615"/>
      <c r="J20" s="481" t="str">
        <f t="shared" si="0"/>
        <v/>
      </c>
      <c r="K20" s="620"/>
      <c r="L20" s="404"/>
      <c r="M20" s="401"/>
      <c r="N20" s="620"/>
      <c r="O20" s="479"/>
      <c r="P20" s="512"/>
      <c r="Q20" s="331" t="str">
        <f t="shared" si="23"/>
        <v/>
      </c>
      <c r="R20" s="693" t="str">
        <f t="shared" si="33"/>
        <v/>
      </c>
      <c r="S20" s="694" t="str">
        <f>IF(C20="","",VLOOKUP(C20,非_単位!$N$38:$O$53,2,FALSE))</f>
        <v/>
      </c>
      <c r="T20" s="331" t="str">
        <f t="shared" si="34"/>
        <v/>
      </c>
      <c r="U20" s="453" t="str">
        <f t="shared" si="35"/>
        <v/>
      </c>
      <c r="W20" s="490" t="str">
        <f t="shared" si="1"/>
        <v/>
      </c>
      <c r="X20" s="490" t="str">
        <f t="shared" si="29"/>
        <v/>
      </c>
      <c r="Y20" s="490" t="str">
        <f t="shared" si="2"/>
        <v/>
      </c>
      <c r="Z20" s="490" t="str">
        <f t="shared" si="3"/>
        <v/>
      </c>
      <c r="AA20" s="490" t="str">
        <f t="shared" si="4"/>
        <v/>
      </c>
      <c r="AB20" s="490" t="str">
        <f t="shared" si="5"/>
        <v/>
      </c>
      <c r="AC20" s="490" t="str">
        <f t="shared" si="6"/>
        <v/>
      </c>
      <c r="AD20" s="490" t="str">
        <f t="shared" si="27"/>
        <v/>
      </c>
      <c r="AE20" s="490" t="str">
        <f t="shared" si="7"/>
        <v/>
      </c>
      <c r="AF20" s="490" t="str">
        <f>IF(C20="","",IF(AE20="対象","熱量計読取",VLOOKUP(C20,非_係数!$B$42:$D$55,2,FALSE)))</f>
        <v/>
      </c>
      <c r="AG20" s="490" t="str">
        <f>IF(W20="電気",非_電気事業者!$S$4*1000,IF(W20="熱",非_熱供給事業者!$T$4,""))</f>
        <v/>
      </c>
      <c r="AH20" s="490" t="str">
        <f>IF(N20="","",VLOOKUP(N20,非_単位補正換算!$B$3:$C$16,2,FALSE))</f>
        <v/>
      </c>
      <c r="AI20" s="490" t="str">
        <f t="shared" si="8"/>
        <v/>
      </c>
      <c r="AJ20" s="490" t="str">
        <f t="shared" si="9"/>
        <v/>
      </c>
      <c r="AK20" s="490">
        <v>1</v>
      </c>
      <c r="AL20" s="490" t="str">
        <f t="shared" si="10"/>
        <v/>
      </c>
      <c r="AM20" s="490" t="b">
        <f t="shared" si="28"/>
        <v>1</v>
      </c>
      <c r="AN20" s="490" t="str">
        <f t="shared" si="11"/>
        <v/>
      </c>
      <c r="AO20" s="490" t="str">
        <f t="shared" si="12"/>
        <v/>
      </c>
      <c r="AP20" s="490" t="str">
        <f t="shared" si="13"/>
        <v/>
      </c>
      <c r="AQ20" s="490" t="str">
        <f t="shared" si="14"/>
        <v/>
      </c>
      <c r="AR20" s="490" t="str">
        <f t="shared" si="15"/>
        <v/>
      </c>
      <c r="AS20" s="490" t="str">
        <f>IF(AR20&lt;&gt;"義務","",SUMIFS(非_まとめ表行番号!$N$3:$N$20,非_まとめ表行番号!$J$3:$J$20,AN20,非_まとめ表行番号!$K$3:$K$20,AO20,非_まとめ表行番号!$L$3:$L$20,AP20,非_まとめ表行番号!$M$3:$M$20,AQ20))</f>
        <v/>
      </c>
      <c r="AT20" s="490" t="str">
        <f>IF(AR20&lt;&gt;"義務","",SUMIFS(非_まとめ表行番号!$O$3:$O$20,非_まとめ表行番号!$J$3:$J$20,AN20,非_まとめ表行番号!$K$3:$K$20,AO20,非_まとめ表行番号!$L$3:$L$20,AP20,非_まとめ表行番号!$M$3:$M$20,AQ20))</f>
        <v/>
      </c>
      <c r="AU20" s="490" t="str">
        <f t="shared" si="16"/>
        <v/>
      </c>
      <c r="AW20" s="490" t="str">
        <f>IF(AS20="","",VLOOKUP(AS20,非_まとめ表行番号!$U$3:$V$56,2,FALSE))</f>
        <v/>
      </c>
      <c r="AX20" s="490" t="str">
        <f>IF(D20="","",VLOOKUP(D20,非_燃料種類_選択リスト!$X$2:$Y$14,2,FALSE))</f>
        <v/>
      </c>
      <c r="AY20" s="490" t="str">
        <f>IF(E20="","",VLOOKUP(E20,非_燃料種類_選択リスト!$X$18:$Y$24,2,FALSE))</f>
        <v/>
      </c>
      <c r="AZ20" s="490" t="str">
        <f t="shared" si="17"/>
        <v/>
      </c>
      <c r="BA20" s="490" t="str">
        <f t="shared" si="18"/>
        <v/>
      </c>
      <c r="BB20" s="490" t="str">
        <f t="shared" si="19"/>
        <v/>
      </c>
      <c r="BC20" s="490" t="str">
        <f t="shared" si="20"/>
        <v/>
      </c>
      <c r="BD20" s="490" t="str">
        <f t="shared" si="21"/>
        <v/>
      </c>
      <c r="BE20" s="84">
        <v>2</v>
      </c>
    </row>
    <row r="21" spans="1:57" ht="18.75" customHeight="1">
      <c r="A21" s="584"/>
      <c r="B21" s="614"/>
      <c r="C21" s="615"/>
      <c r="D21" s="615"/>
      <c r="E21" s="407"/>
      <c r="F21" s="407"/>
      <c r="G21" s="620"/>
      <c r="H21" s="327" t="str">
        <f t="shared" si="22"/>
        <v/>
      </c>
      <c r="I21" s="615"/>
      <c r="J21" s="481" t="str">
        <f t="shared" si="0"/>
        <v/>
      </c>
      <c r="K21" s="620"/>
      <c r="L21" s="404"/>
      <c r="M21" s="401"/>
      <c r="N21" s="620"/>
      <c r="O21" s="479"/>
      <c r="P21" s="512"/>
      <c r="Q21" s="331" t="str">
        <f t="shared" si="23"/>
        <v/>
      </c>
      <c r="R21" s="693" t="str">
        <f t="shared" si="33"/>
        <v/>
      </c>
      <c r="S21" s="694" t="str">
        <f>IF(C21="","",VLOOKUP(C21,非_単位!$N$38:$O$53,2,FALSE))</f>
        <v/>
      </c>
      <c r="T21" s="331" t="str">
        <f t="shared" si="34"/>
        <v/>
      </c>
      <c r="U21" s="453" t="str">
        <f t="shared" si="35"/>
        <v/>
      </c>
      <c r="W21" s="490" t="str">
        <f t="shared" si="1"/>
        <v/>
      </c>
      <c r="X21" s="490" t="str">
        <f t="shared" si="29"/>
        <v/>
      </c>
      <c r="Y21" s="490" t="str">
        <f t="shared" si="2"/>
        <v/>
      </c>
      <c r="Z21" s="490" t="str">
        <f t="shared" si="3"/>
        <v/>
      </c>
      <c r="AA21" s="490" t="str">
        <f t="shared" si="4"/>
        <v/>
      </c>
      <c r="AB21" s="490" t="str">
        <f t="shared" si="5"/>
        <v/>
      </c>
      <c r="AC21" s="490" t="str">
        <f t="shared" si="6"/>
        <v/>
      </c>
      <c r="AD21" s="490" t="str">
        <f t="shared" si="27"/>
        <v/>
      </c>
      <c r="AE21" s="490" t="str">
        <f t="shared" si="7"/>
        <v/>
      </c>
      <c r="AF21" s="490" t="str">
        <f>IF(C21="","",IF(AE21="対象","熱量計読取",VLOOKUP(C21,非_係数!$B$42:$D$55,2,FALSE)))</f>
        <v/>
      </c>
      <c r="AG21" s="490" t="str">
        <f>IF(W21="電気",非_電気事業者!$S$4*1000,IF(W21="熱",非_熱供給事業者!$T$4,""))</f>
        <v/>
      </c>
      <c r="AH21" s="490" t="str">
        <f>IF(N21="","",VLOOKUP(N21,非_単位補正換算!$B$3:$C$16,2,FALSE))</f>
        <v/>
      </c>
      <c r="AI21" s="490" t="str">
        <f t="shared" si="8"/>
        <v/>
      </c>
      <c r="AJ21" s="490" t="str">
        <f t="shared" si="9"/>
        <v/>
      </c>
      <c r="AK21" s="490">
        <v>1</v>
      </c>
      <c r="AL21" s="490" t="str">
        <f t="shared" si="10"/>
        <v/>
      </c>
      <c r="AM21" s="490" t="b">
        <f t="shared" si="28"/>
        <v>1</v>
      </c>
      <c r="AN21" s="490" t="str">
        <f t="shared" si="11"/>
        <v/>
      </c>
      <c r="AO21" s="490" t="str">
        <f t="shared" si="12"/>
        <v/>
      </c>
      <c r="AP21" s="490" t="str">
        <f t="shared" si="13"/>
        <v/>
      </c>
      <c r="AQ21" s="490" t="str">
        <f t="shared" si="14"/>
        <v/>
      </c>
      <c r="AR21" s="490" t="str">
        <f t="shared" si="15"/>
        <v/>
      </c>
      <c r="AS21" s="490" t="str">
        <f>IF(AR21&lt;&gt;"義務","",SUMIFS(非_まとめ表行番号!$N$3:$N$20,非_まとめ表行番号!$J$3:$J$20,AN21,非_まとめ表行番号!$K$3:$K$20,AO21,非_まとめ表行番号!$L$3:$L$20,AP21,非_まとめ表行番号!$M$3:$M$20,AQ21))</f>
        <v/>
      </c>
      <c r="AT21" s="490" t="str">
        <f>IF(AR21&lt;&gt;"義務","",SUMIFS(非_まとめ表行番号!$O$3:$O$20,非_まとめ表行番号!$J$3:$J$20,AN21,非_まとめ表行番号!$K$3:$K$20,AO21,非_まとめ表行番号!$L$3:$L$20,AP21,非_まとめ表行番号!$M$3:$M$20,AQ21))</f>
        <v/>
      </c>
      <c r="AU21" s="490" t="str">
        <f t="shared" si="16"/>
        <v/>
      </c>
      <c r="AW21" s="490" t="str">
        <f>IF(AS21="","",VLOOKUP(AS21,非_まとめ表行番号!$U$3:$V$56,2,FALSE))</f>
        <v/>
      </c>
      <c r="AX21" s="490" t="str">
        <f>IF(D21="","",VLOOKUP(D21,非_燃料種類_選択リスト!$X$2:$Y$14,2,FALSE))</f>
        <v/>
      </c>
      <c r="AY21" s="490" t="str">
        <f>IF(E21="","",VLOOKUP(E21,非_燃料種類_選択リスト!$X$18:$Y$24,2,FALSE))</f>
        <v/>
      </c>
      <c r="AZ21" s="490" t="str">
        <f t="shared" si="17"/>
        <v/>
      </c>
      <c r="BA21" s="490" t="str">
        <f t="shared" si="18"/>
        <v/>
      </c>
      <c r="BB21" s="490" t="str">
        <f t="shared" si="19"/>
        <v/>
      </c>
      <c r="BC21" s="490" t="str">
        <f t="shared" si="20"/>
        <v/>
      </c>
      <c r="BD21" s="490" t="str">
        <f t="shared" si="21"/>
        <v/>
      </c>
      <c r="BE21" s="84">
        <v>2</v>
      </c>
    </row>
    <row r="22" spans="1:57" ht="18.75" customHeight="1">
      <c r="A22" s="584"/>
      <c r="B22" s="614"/>
      <c r="C22" s="615"/>
      <c r="D22" s="615"/>
      <c r="E22" s="407"/>
      <c r="F22" s="407"/>
      <c r="G22" s="620"/>
      <c r="H22" s="327" t="str">
        <f t="shared" ref="H22" si="42">AF22</f>
        <v/>
      </c>
      <c r="I22" s="615"/>
      <c r="J22" s="481" t="str">
        <f t="shared" si="0"/>
        <v/>
      </c>
      <c r="K22" s="620"/>
      <c r="L22" s="404"/>
      <c r="M22" s="401"/>
      <c r="N22" s="620"/>
      <c r="O22" s="479"/>
      <c r="P22" s="512"/>
      <c r="Q22" s="331" t="str">
        <f t="shared" si="23"/>
        <v/>
      </c>
      <c r="R22" s="693" t="str">
        <f t="shared" ref="R22" si="43">AI22</f>
        <v/>
      </c>
      <c r="S22" s="694" t="str">
        <f>IF(C22="","",VLOOKUP(C22,非_単位!$N$38:$O$53,2,FALSE))</f>
        <v/>
      </c>
      <c r="T22" s="331" t="str">
        <f t="shared" ref="T22" si="44">AJ22</f>
        <v/>
      </c>
      <c r="U22" s="453" t="str">
        <f t="shared" ref="U22" si="45">AL22</f>
        <v/>
      </c>
      <c r="W22" s="490" t="str">
        <f t="shared" si="1"/>
        <v/>
      </c>
      <c r="X22" s="490" t="str">
        <f t="shared" ref="X22" si="46">IF(W22="電気","再エネ_事業所内_電気_種類",IF(W22="熱","再エネ_事業所内_熱_種類",""))</f>
        <v/>
      </c>
      <c r="Y22" s="490" t="str">
        <f t="shared" si="2"/>
        <v/>
      </c>
      <c r="Z22" s="490" t="str">
        <f t="shared" si="3"/>
        <v/>
      </c>
      <c r="AA22" s="490" t="str">
        <f t="shared" si="4"/>
        <v/>
      </c>
      <c r="AB22" s="490" t="str">
        <f t="shared" si="5"/>
        <v/>
      </c>
      <c r="AC22" s="490" t="str">
        <f t="shared" si="6"/>
        <v/>
      </c>
      <c r="AD22" s="490" t="str">
        <f t="shared" ref="AD22" si="47">IF(W22="","","自家消費")</f>
        <v/>
      </c>
      <c r="AE22" s="490" t="str">
        <f t="shared" si="7"/>
        <v/>
      </c>
      <c r="AF22" s="490" t="str">
        <f>IF(C22="","",IF(AE22="対象","熱量計読取",VLOOKUP(C22,非_係数!$B$42:$D$55,2,FALSE)))</f>
        <v/>
      </c>
      <c r="AG22" s="490" t="str">
        <f>IF(W22="電気",非_電気事業者!$S$4*1000,IF(W22="熱",非_熱供給事業者!$T$4,""))</f>
        <v/>
      </c>
      <c r="AH22" s="490" t="str">
        <f>IF(N22="","",VLOOKUP(N22,非_単位補正換算!$B$3:$C$16,2,FALSE))</f>
        <v/>
      </c>
      <c r="AI22" s="490" t="str">
        <f t="shared" si="8"/>
        <v/>
      </c>
      <c r="AJ22" s="490" t="str">
        <f t="shared" si="9"/>
        <v/>
      </c>
      <c r="AK22" s="490">
        <v>1</v>
      </c>
      <c r="AL22" s="490" t="str">
        <f t="shared" si="10"/>
        <v/>
      </c>
      <c r="AM22" s="490" t="b">
        <f t="shared" si="28"/>
        <v>1</v>
      </c>
      <c r="AN22" s="490" t="str">
        <f t="shared" si="11"/>
        <v/>
      </c>
      <c r="AO22" s="490" t="str">
        <f t="shared" si="12"/>
        <v/>
      </c>
      <c r="AP22" s="490" t="str">
        <f t="shared" si="13"/>
        <v/>
      </c>
      <c r="AQ22" s="490" t="str">
        <f t="shared" si="14"/>
        <v/>
      </c>
      <c r="AR22" s="490" t="str">
        <f t="shared" si="15"/>
        <v/>
      </c>
      <c r="AS22" s="490" t="str">
        <f>IF(AR22&lt;&gt;"義務","",SUMIFS(非_まとめ表行番号!$N$3:$N$20,非_まとめ表行番号!$J$3:$J$20,AN22,非_まとめ表行番号!$K$3:$K$20,AO22,非_まとめ表行番号!$L$3:$L$20,AP22,非_まとめ表行番号!$M$3:$M$20,AQ22))</f>
        <v/>
      </c>
      <c r="AT22" s="490" t="str">
        <f>IF(AR22&lt;&gt;"義務","",SUMIFS(非_まとめ表行番号!$O$3:$O$20,非_まとめ表行番号!$J$3:$J$20,AN22,非_まとめ表行番号!$K$3:$K$20,AO22,非_まとめ表行番号!$L$3:$L$20,AP22,非_まとめ表行番号!$M$3:$M$20,AQ22))</f>
        <v/>
      </c>
      <c r="AU22" s="490" t="str">
        <f t="shared" si="16"/>
        <v/>
      </c>
      <c r="AW22" s="490" t="str">
        <f>IF(AS22="","",VLOOKUP(AS22,非_まとめ表行番号!$U$3:$V$56,2,FALSE))</f>
        <v/>
      </c>
      <c r="AX22" s="490" t="str">
        <f>IF(D22="","",VLOOKUP(D22,非_燃料種類_選択リスト!$X$2:$Y$14,2,FALSE))</f>
        <v/>
      </c>
      <c r="AY22" s="490" t="str">
        <f>IF(E22="","",VLOOKUP(E22,非_燃料種類_選択リスト!$X$18:$Y$24,2,FALSE))</f>
        <v/>
      </c>
      <c r="AZ22" s="490" t="str">
        <f t="shared" si="17"/>
        <v/>
      </c>
      <c r="BA22" s="490" t="str">
        <f t="shared" si="18"/>
        <v/>
      </c>
      <c r="BB22" s="490" t="str">
        <f t="shared" si="19"/>
        <v/>
      </c>
      <c r="BC22" s="490" t="str">
        <f t="shared" si="20"/>
        <v/>
      </c>
      <c r="BD22" s="490" t="str">
        <f t="shared" si="21"/>
        <v/>
      </c>
      <c r="BE22" s="84">
        <v>2</v>
      </c>
    </row>
    <row r="23" spans="1:57" ht="18.75" customHeight="1">
      <c r="A23" s="584"/>
      <c r="B23" s="614"/>
      <c r="C23" s="615"/>
      <c r="D23" s="615"/>
      <c r="E23" s="407"/>
      <c r="F23" s="407"/>
      <c r="G23" s="620"/>
      <c r="H23" s="327" t="str">
        <f t="shared" ref="H23:H26" si="48">AF23</f>
        <v/>
      </c>
      <c r="I23" s="615"/>
      <c r="J23" s="481" t="str">
        <f t="shared" si="0"/>
        <v/>
      </c>
      <c r="K23" s="620"/>
      <c r="L23" s="404"/>
      <c r="M23" s="401"/>
      <c r="N23" s="620"/>
      <c r="O23" s="479"/>
      <c r="P23" s="512"/>
      <c r="Q23" s="331" t="str">
        <f t="shared" si="23"/>
        <v/>
      </c>
      <c r="R23" s="693" t="str">
        <f t="shared" ref="R23:R26" si="49">AI23</f>
        <v/>
      </c>
      <c r="S23" s="694" t="str">
        <f>IF(C23="","",VLOOKUP(C23,非_単位!$N$38:$O$53,2,FALSE))</f>
        <v/>
      </c>
      <c r="T23" s="331" t="str">
        <f t="shared" ref="T23:T26" si="50">AJ23</f>
        <v/>
      </c>
      <c r="U23" s="453" t="str">
        <f t="shared" ref="U23:U26" si="51">AL23</f>
        <v/>
      </c>
      <c r="W23" s="490" t="str">
        <f t="shared" si="1"/>
        <v/>
      </c>
      <c r="X23" s="490" t="str">
        <f t="shared" ref="X23:X26" si="52">IF(W23="電気","再エネ_事業所内_電気_種類",IF(W23="熱","再エネ_事業所内_熱_種類",""))</f>
        <v/>
      </c>
      <c r="Y23" s="490" t="str">
        <f t="shared" si="2"/>
        <v/>
      </c>
      <c r="Z23" s="490" t="str">
        <f t="shared" si="3"/>
        <v/>
      </c>
      <c r="AA23" s="490" t="str">
        <f t="shared" si="4"/>
        <v/>
      </c>
      <c r="AB23" s="490" t="str">
        <f t="shared" si="5"/>
        <v/>
      </c>
      <c r="AC23" s="490" t="str">
        <f t="shared" si="6"/>
        <v/>
      </c>
      <c r="AD23" s="490" t="str">
        <f t="shared" ref="AD23:AD26" si="53">IF(W23="","","自家消費")</f>
        <v/>
      </c>
      <c r="AE23" s="490" t="str">
        <f t="shared" si="7"/>
        <v/>
      </c>
      <c r="AF23" s="490" t="str">
        <f>IF(C23="","",IF(AE23="対象","熱量計読取",VLOOKUP(C23,非_係数!$B$42:$D$55,2,FALSE)))</f>
        <v/>
      </c>
      <c r="AG23" s="490" t="str">
        <f>IF(W23="電気",非_電気事業者!$S$4*1000,IF(W23="熱",非_熱供給事業者!$T$4,""))</f>
        <v/>
      </c>
      <c r="AH23" s="490" t="str">
        <f>IF(N23="","",VLOOKUP(N23,非_単位補正換算!$B$3:$C$16,2,FALSE))</f>
        <v/>
      </c>
      <c r="AI23" s="490" t="str">
        <f t="shared" si="8"/>
        <v/>
      </c>
      <c r="AJ23" s="490" t="str">
        <f t="shared" si="9"/>
        <v/>
      </c>
      <c r="AK23" s="490">
        <v>1</v>
      </c>
      <c r="AL23" s="490" t="str">
        <f t="shared" si="10"/>
        <v/>
      </c>
      <c r="AM23" s="490" t="b">
        <f t="shared" si="28"/>
        <v>1</v>
      </c>
      <c r="AN23" s="490" t="str">
        <f t="shared" si="11"/>
        <v/>
      </c>
      <c r="AO23" s="490" t="str">
        <f t="shared" si="12"/>
        <v/>
      </c>
      <c r="AP23" s="490" t="str">
        <f t="shared" si="13"/>
        <v/>
      </c>
      <c r="AQ23" s="490" t="str">
        <f t="shared" si="14"/>
        <v/>
      </c>
      <c r="AR23" s="490" t="str">
        <f t="shared" si="15"/>
        <v/>
      </c>
      <c r="AS23" s="490" t="str">
        <f>IF(AR23&lt;&gt;"義務","",SUMIFS(非_まとめ表行番号!$N$3:$N$20,非_まとめ表行番号!$J$3:$J$20,AN23,非_まとめ表行番号!$K$3:$K$20,AO23,非_まとめ表行番号!$L$3:$L$20,AP23,非_まとめ表行番号!$M$3:$M$20,AQ23))</f>
        <v/>
      </c>
      <c r="AT23" s="490" t="str">
        <f>IF(AR23&lt;&gt;"義務","",SUMIFS(非_まとめ表行番号!$O$3:$O$20,非_まとめ表行番号!$J$3:$J$20,AN23,非_まとめ表行番号!$K$3:$K$20,AO23,非_まとめ表行番号!$L$3:$L$20,AP23,非_まとめ表行番号!$M$3:$M$20,AQ23))</f>
        <v/>
      </c>
      <c r="AU23" s="490" t="str">
        <f t="shared" si="16"/>
        <v/>
      </c>
      <c r="AW23" s="490" t="str">
        <f>IF(AS23="","",VLOOKUP(AS23,非_まとめ表行番号!$U$3:$V$56,2,FALSE))</f>
        <v/>
      </c>
      <c r="AX23" s="490" t="str">
        <f>IF(D23="","",VLOOKUP(D23,非_燃料種類_選択リスト!$X$2:$Y$14,2,FALSE))</f>
        <v/>
      </c>
      <c r="AY23" s="490" t="str">
        <f>IF(E23="","",VLOOKUP(E23,非_燃料種類_選択リスト!$X$18:$Y$24,2,FALSE))</f>
        <v/>
      </c>
      <c r="AZ23" s="490" t="str">
        <f t="shared" si="17"/>
        <v/>
      </c>
      <c r="BA23" s="490" t="str">
        <f t="shared" si="18"/>
        <v/>
      </c>
      <c r="BB23" s="490" t="str">
        <f t="shared" si="19"/>
        <v/>
      </c>
      <c r="BC23" s="490" t="str">
        <f t="shared" si="20"/>
        <v/>
      </c>
      <c r="BD23" s="490" t="str">
        <f t="shared" si="21"/>
        <v/>
      </c>
      <c r="BE23" s="84">
        <v>2</v>
      </c>
    </row>
    <row r="24" spans="1:57" ht="18.75" customHeight="1">
      <c r="A24" s="584"/>
      <c r="B24" s="614"/>
      <c r="C24" s="615"/>
      <c r="D24" s="615"/>
      <c r="E24" s="407"/>
      <c r="F24" s="407"/>
      <c r="G24" s="620"/>
      <c r="H24" s="327" t="str">
        <f t="shared" si="48"/>
        <v/>
      </c>
      <c r="I24" s="615"/>
      <c r="J24" s="481" t="str">
        <f t="shared" si="0"/>
        <v/>
      </c>
      <c r="K24" s="620"/>
      <c r="L24" s="404"/>
      <c r="M24" s="401"/>
      <c r="N24" s="620"/>
      <c r="O24" s="479"/>
      <c r="P24" s="512"/>
      <c r="Q24" s="331" t="str">
        <f t="shared" si="23"/>
        <v/>
      </c>
      <c r="R24" s="693" t="str">
        <f t="shared" si="49"/>
        <v/>
      </c>
      <c r="S24" s="694" t="str">
        <f>IF(C24="","",VLOOKUP(C24,非_単位!$N$38:$O$53,2,FALSE))</f>
        <v/>
      </c>
      <c r="T24" s="331" t="str">
        <f t="shared" si="50"/>
        <v/>
      </c>
      <c r="U24" s="453" t="str">
        <f t="shared" si="51"/>
        <v/>
      </c>
      <c r="W24" s="490" t="str">
        <f t="shared" si="1"/>
        <v/>
      </c>
      <c r="X24" s="490" t="str">
        <f t="shared" si="52"/>
        <v/>
      </c>
      <c r="Y24" s="490" t="str">
        <f t="shared" si="2"/>
        <v/>
      </c>
      <c r="Z24" s="490" t="str">
        <f t="shared" si="3"/>
        <v/>
      </c>
      <c r="AA24" s="490" t="str">
        <f t="shared" si="4"/>
        <v/>
      </c>
      <c r="AB24" s="490" t="str">
        <f t="shared" si="5"/>
        <v/>
      </c>
      <c r="AC24" s="490" t="str">
        <f t="shared" si="6"/>
        <v/>
      </c>
      <c r="AD24" s="490" t="str">
        <f t="shared" si="53"/>
        <v/>
      </c>
      <c r="AE24" s="490" t="str">
        <f t="shared" si="7"/>
        <v/>
      </c>
      <c r="AF24" s="490" t="str">
        <f>IF(C24="","",IF(AE24="対象","熱量計読取",VLOOKUP(C24,非_係数!$B$42:$D$55,2,FALSE)))</f>
        <v/>
      </c>
      <c r="AG24" s="490" t="str">
        <f>IF(W24="電気",非_電気事業者!$S$4*1000,IF(W24="熱",非_熱供給事業者!$T$4,""))</f>
        <v/>
      </c>
      <c r="AH24" s="490" t="str">
        <f>IF(N24="","",VLOOKUP(N24,非_単位補正換算!$B$3:$C$16,2,FALSE))</f>
        <v/>
      </c>
      <c r="AI24" s="490" t="str">
        <f t="shared" si="8"/>
        <v/>
      </c>
      <c r="AJ24" s="490" t="str">
        <f t="shared" si="9"/>
        <v/>
      </c>
      <c r="AK24" s="490">
        <v>1</v>
      </c>
      <c r="AL24" s="490" t="str">
        <f t="shared" si="10"/>
        <v/>
      </c>
      <c r="AM24" s="490" t="b">
        <f t="shared" si="28"/>
        <v>1</v>
      </c>
      <c r="AN24" s="490" t="str">
        <f t="shared" si="11"/>
        <v/>
      </c>
      <c r="AO24" s="490" t="str">
        <f t="shared" si="12"/>
        <v/>
      </c>
      <c r="AP24" s="490" t="str">
        <f t="shared" si="13"/>
        <v/>
      </c>
      <c r="AQ24" s="490" t="str">
        <f t="shared" si="14"/>
        <v/>
      </c>
      <c r="AR24" s="490" t="str">
        <f t="shared" si="15"/>
        <v/>
      </c>
      <c r="AS24" s="490" t="str">
        <f>IF(AR24&lt;&gt;"義務","",SUMIFS(非_まとめ表行番号!$N$3:$N$20,非_まとめ表行番号!$J$3:$J$20,AN24,非_まとめ表行番号!$K$3:$K$20,AO24,非_まとめ表行番号!$L$3:$L$20,AP24,非_まとめ表行番号!$M$3:$M$20,AQ24))</f>
        <v/>
      </c>
      <c r="AT24" s="490" t="str">
        <f>IF(AR24&lt;&gt;"義務","",SUMIFS(非_まとめ表行番号!$O$3:$O$20,非_まとめ表行番号!$J$3:$J$20,AN24,非_まとめ表行番号!$K$3:$K$20,AO24,非_まとめ表行番号!$L$3:$L$20,AP24,非_まとめ表行番号!$M$3:$M$20,AQ24))</f>
        <v/>
      </c>
      <c r="AU24" s="490" t="str">
        <f t="shared" si="16"/>
        <v/>
      </c>
      <c r="AW24" s="490" t="str">
        <f>IF(AS24="","",VLOOKUP(AS24,非_まとめ表行番号!$U$3:$V$56,2,FALSE))</f>
        <v/>
      </c>
      <c r="AX24" s="490" t="str">
        <f>IF(D24="","",VLOOKUP(D24,非_燃料種類_選択リスト!$X$2:$Y$14,2,FALSE))</f>
        <v/>
      </c>
      <c r="AY24" s="490" t="str">
        <f>IF(E24="","",VLOOKUP(E24,非_燃料種類_選択リスト!$X$18:$Y$24,2,FALSE))</f>
        <v/>
      </c>
      <c r="AZ24" s="490" t="str">
        <f t="shared" si="17"/>
        <v/>
      </c>
      <c r="BA24" s="490" t="str">
        <f t="shared" si="18"/>
        <v/>
      </c>
      <c r="BB24" s="490" t="str">
        <f t="shared" si="19"/>
        <v/>
      </c>
      <c r="BC24" s="490" t="str">
        <f t="shared" si="20"/>
        <v/>
      </c>
      <c r="BD24" s="490" t="str">
        <f t="shared" si="21"/>
        <v/>
      </c>
      <c r="BE24" s="84">
        <v>2</v>
      </c>
    </row>
    <row r="25" spans="1:57" ht="18.75" customHeight="1">
      <c r="A25" s="584"/>
      <c r="B25" s="614"/>
      <c r="C25" s="615"/>
      <c r="D25" s="615"/>
      <c r="E25" s="407"/>
      <c r="F25" s="407"/>
      <c r="G25" s="620"/>
      <c r="H25" s="327" t="str">
        <f t="shared" si="48"/>
        <v/>
      </c>
      <c r="I25" s="615"/>
      <c r="J25" s="481" t="str">
        <f t="shared" si="0"/>
        <v/>
      </c>
      <c r="K25" s="620"/>
      <c r="L25" s="404"/>
      <c r="M25" s="401"/>
      <c r="N25" s="620"/>
      <c r="O25" s="479"/>
      <c r="P25" s="512"/>
      <c r="Q25" s="331" t="str">
        <f t="shared" si="23"/>
        <v/>
      </c>
      <c r="R25" s="693" t="str">
        <f t="shared" si="49"/>
        <v/>
      </c>
      <c r="S25" s="694" t="str">
        <f>IF(C25="","",VLOOKUP(C25,非_単位!$N$38:$O$53,2,FALSE))</f>
        <v/>
      </c>
      <c r="T25" s="331" t="str">
        <f t="shared" si="50"/>
        <v/>
      </c>
      <c r="U25" s="453" t="str">
        <f t="shared" si="51"/>
        <v/>
      </c>
      <c r="W25" s="490" t="str">
        <f t="shared" si="1"/>
        <v/>
      </c>
      <c r="X25" s="490" t="str">
        <f t="shared" si="52"/>
        <v/>
      </c>
      <c r="Y25" s="490" t="str">
        <f t="shared" si="2"/>
        <v/>
      </c>
      <c r="Z25" s="490" t="str">
        <f t="shared" si="3"/>
        <v/>
      </c>
      <c r="AA25" s="490" t="str">
        <f t="shared" si="4"/>
        <v/>
      </c>
      <c r="AB25" s="490" t="str">
        <f t="shared" si="5"/>
        <v/>
      </c>
      <c r="AC25" s="490" t="str">
        <f t="shared" si="6"/>
        <v/>
      </c>
      <c r="AD25" s="490" t="str">
        <f t="shared" si="53"/>
        <v/>
      </c>
      <c r="AE25" s="490" t="str">
        <f t="shared" si="7"/>
        <v/>
      </c>
      <c r="AF25" s="490" t="str">
        <f>IF(C25="","",IF(AE25="対象","熱量計読取",VLOOKUP(C25,非_係数!$B$42:$D$55,2,FALSE)))</f>
        <v/>
      </c>
      <c r="AG25" s="490" t="str">
        <f>IF(W25="電気",非_電気事業者!$S$4*1000,IF(W25="熱",非_熱供給事業者!$T$4,""))</f>
        <v/>
      </c>
      <c r="AH25" s="490" t="str">
        <f>IF(N25="","",VLOOKUP(N25,非_単位補正換算!$B$3:$C$16,2,FALSE))</f>
        <v/>
      </c>
      <c r="AI25" s="490" t="str">
        <f t="shared" si="8"/>
        <v/>
      </c>
      <c r="AJ25" s="490" t="str">
        <f t="shared" si="9"/>
        <v/>
      </c>
      <c r="AK25" s="490">
        <v>1</v>
      </c>
      <c r="AL25" s="490" t="str">
        <f t="shared" si="10"/>
        <v/>
      </c>
      <c r="AM25" s="490" t="b">
        <f t="shared" si="28"/>
        <v>1</v>
      </c>
      <c r="AN25" s="490" t="str">
        <f t="shared" si="11"/>
        <v/>
      </c>
      <c r="AO25" s="490" t="str">
        <f t="shared" si="12"/>
        <v/>
      </c>
      <c r="AP25" s="490" t="str">
        <f t="shared" si="13"/>
        <v/>
      </c>
      <c r="AQ25" s="490" t="str">
        <f t="shared" si="14"/>
        <v/>
      </c>
      <c r="AR25" s="490" t="str">
        <f t="shared" si="15"/>
        <v/>
      </c>
      <c r="AS25" s="490" t="str">
        <f>IF(AR25&lt;&gt;"義務","",SUMIFS(非_まとめ表行番号!$N$3:$N$20,非_まとめ表行番号!$J$3:$J$20,AN25,非_まとめ表行番号!$K$3:$K$20,AO25,非_まとめ表行番号!$L$3:$L$20,AP25,非_まとめ表行番号!$M$3:$M$20,AQ25))</f>
        <v/>
      </c>
      <c r="AT25" s="490" t="str">
        <f>IF(AR25&lt;&gt;"義務","",SUMIFS(非_まとめ表行番号!$O$3:$O$20,非_まとめ表行番号!$J$3:$J$20,AN25,非_まとめ表行番号!$K$3:$K$20,AO25,非_まとめ表行番号!$L$3:$L$20,AP25,非_まとめ表行番号!$M$3:$M$20,AQ25))</f>
        <v/>
      </c>
      <c r="AU25" s="490" t="str">
        <f t="shared" si="16"/>
        <v/>
      </c>
      <c r="AW25" s="490" t="str">
        <f>IF(AS25="","",VLOOKUP(AS25,非_まとめ表行番号!$U$3:$V$56,2,FALSE))</f>
        <v/>
      </c>
      <c r="AX25" s="490" t="str">
        <f>IF(D25="","",VLOOKUP(D25,非_燃料種類_選択リスト!$X$2:$Y$14,2,FALSE))</f>
        <v/>
      </c>
      <c r="AY25" s="490" t="str">
        <f>IF(E25="","",VLOOKUP(E25,非_燃料種類_選択リスト!$X$18:$Y$24,2,FALSE))</f>
        <v/>
      </c>
      <c r="AZ25" s="490" t="str">
        <f t="shared" si="17"/>
        <v/>
      </c>
      <c r="BA25" s="490" t="str">
        <f t="shared" si="18"/>
        <v/>
      </c>
      <c r="BB25" s="490" t="str">
        <f t="shared" si="19"/>
        <v/>
      </c>
      <c r="BC25" s="490" t="str">
        <f t="shared" si="20"/>
        <v/>
      </c>
      <c r="BD25" s="490" t="str">
        <f t="shared" si="21"/>
        <v/>
      </c>
      <c r="BE25" s="84">
        <v>2</v>
      </c>
    </row>
    <row r="26" spans="1:57" ht="18.75" customHeight="1" thickBot="1">
      <c r="A26" s="585"/>
      <c r="B26" s="616"/>
      <c r="C26" s="617"/>
      <c r="D26" s="617"/>
      <c r="E26" s="407"/>
      <c r="F26" s="407"/>
      <c r="G26" s="621"/>
      <c r="H26" s="682" t="str">
        <f t="shared" si="48"/>
        <v/>
      </c>
      <c r="I26" s="617"/>
      <c r="J26" s="707" t="str">
        <f t="shared" si="0"/>
        <v/>
      </c>
      <c r="K26" s="621"/>
      <c r="L26" s="404"/>
      <c r="M26" s="401"/>
      <c r="N26" s="621"/>
      <c r="O26" s="684"/>
      <c r="P26" s="512"/>
      <c r="Q26" s="695" t="str">
        <f t="shared" si="23"/>
        <v/>
      </c>
      <c r="R26" s="696" t="str">
        <f t="shared" si="49"/>
        <v/>
      </c>
      <c r="S26" s="697" t="str">
        <f>IF(C26="","",VLOOKUP(C26,非_単位!$N$38:$O$53,2,FALSE))</f>
        <v/>
      </c>
      <c r="T26" s="695" t="str">
        <f t="shared" si="50"/>
        <v/>
      </c>
      <c r="U26" s="698" t="str">
        <f t="shared" si="51"/>
        <v/>
      </c>
      <c r="W26" s="663" t="str">
        <f t="shared" si="1"/>
        <v/>
      </c>
      <c r="X26" s="663" t="str">
        <f t="shared" si="52"/>
        <v/>
      </c>
      <c r="Y26" s="663" t="str">
        <f t="shared" si="2"/>
        <v/>
      </c>
      <c r="Z26" s="663" t="str">
        <f t="shared" si="3"/>
        <v/>
      </c>
      <c r="AA26" s="663" t="str">
        <f t="shared" si="4"/>
        <v/>
      </c>
      <c r="AB26" s="663" t="str">
        <f t="shared" si="5"/>
        <v/>
      </c>
      <c r="AC26" s="663" t="str">
        <f t="shared" si="6"/>
        <v/>
      </c>
      <c r="AD26" s="663" t="str">
        <f t="shared" si="53"/>
        <v/>
      </c>
      <c r="AE26" s="663" t="str">
        <f t="shared" si="7"/>
        <v/>
      </c>
      <c r="AF26" s="663" t="str">
        <f>IF(C26="","",IF(AE26="対象","熱量計読取",VLOOKUP(C26,非_係数!$B$42:$D$55,2,FALSE)))</f>
        <v/>
      </c>
      <c r="AG26" s="663" t="str">
        <f>IF(W26="電気",非_電気事業者!$S$4*1000,IF(W26="熱",非_熱供給事業者!$T$4,""))</f>
        <v/>
      </c>
      <c r="AH26" s="663" t="str">
        <f>IF(N26="","",VLOOKUP(N26,非_単位補正換算!$B$3:$C$16,2,FALSE))</f>
        <v/>
      </c>
      <c r="AI26" s="663" t="str">
        <f t="shared" si="8"/>
        <v/>
      </c>
      <c r="AJ26" s="663" t="str">
        <f t="shared" si="9"/>
        <v/>
      </c>
      <c r="AK26" s="663">
        <v>1</v>
      </c>
      <c r="AL26" s="663" t="str">
        <f t="shared" si="10"/>
        <v/>
      </c>
      <c r="AM26" s="663" t="b">
        <f t="shared" si="28"/>
        <v>1</v>
      </c>
      <c r="AN26" s="663" t="str">
        <f t="shared" si="11"/>
        <v/>
      </c>
      <c r="AO26" s="663" t="str">
        <f t="shared" si="12"/>
        <v/>
      </c>
      <c r="AP26" s="663" t="str">
        <f t="shared" si="13"/>
        <v/>
      </c>
      <c r="AQ26" s="663" t="str">
        <f t="shared" si="14"/>
        <v/>
      </c>
      <c r="AR26" s="663" t="str">
        <f t="shared" si="15"/>
        <v/>
      </c>
      <c r="AS26" s="663" t="str">
        <f>IF(AR26&lt;&gt;"義務","",SUMIFS(非_まとめ表行番号!$N$3:$N$20,非_まとめ表行番号!$J$3:$J$20,AN26,非_まとめ表行番号!$K$3:$K$20,AO26,非_まとめ表行番号!$L$3:$L$20,AP26,非_まとめ表行番号!$M$3:$M$20,AQ26))</f>
        <v/>
      </c>
      <c r="AT26" s="663" t="str">
        <f>IF(AR26&lt;&gt;"義務","",SUMIFS(非_まとめ表行番号!$O$3:$O$20,非_まとめ表行番号!$J$3:$J$20,AN26,非_まとめ表行番号!$K$3:$K$20,AO26,非_まとめ表行番号!$L$3:$L$20,AP26,非_まとめ表行番号!$M$3:$M$20,AQ26))</f>
        <v/>
      </c>
      <c r="AU26" s="663" t="str">
        <f t="shared" si="16"/>
        <v/>
      </c>
      <c r="AW26" s="663" t="str">
        <f>IF(AS26="","",VLOOKUP(AS26,非_まとめ表行番号!$U$3:$V$56,2,FALSE))</f>
        <v/>
      </c>
      <c r="AX26" s="663" t="str">
        <f>IF(D26="","",VLOOKUP(D26,非_燃料種類_選択リスト!$X$2:$Y$14,2,FALSE))</f>
        <v/>
      </c>
      <c r="AY26" s="663" t="str">
        <f>IF(E26="","",VLOOKUP(E26,非_燃料種類_選択リスト!$X$18:$Y$24,2,FALSE))</f>
        <v/>
      </c>
      <c r="AZ26" s="663" t="str">
        <f t="shared" si="17"/>
        <v/>
      </c>
      <c r="BA26" s="663" t="str">
        <f t="shared" si="18"/>
        <v/>
      </c>
      <c r="BB26" s="663" t="str">
        <f t="shared" si="19"/>
        <v/>
      </c>
      <c r="BC26" s="663" t="str">
        <f t="shared" si="20"/>
        <v/>
      </c>
      <c r="BD26" s="663" t="str">
        <f t="shared" si="21"/>
        <v/>
      </c>
      <c r="BE26" s="84">
        <v>2</v>
      </c>
    </row>
    <row r="27" spans="1:57" ht="18.75" customHeight="1" thickTop="1">
      <c r="A27" s="586" t="s">
        <v>2054</v>
      </c>
      <c r="B27" s="622"/>
      <c r="C27" s="623"/>
      <c r="D27" s="623"/>
      <c r="E27" s="407"/>
      <c r="F27" s="407"/>
      <c r="G27" s="596"/>
      <c r="H27" s="327" t="str">
        <f t="shared" si="22"/>
        <v/>
      </c>
      <c r="I27" s="623"/>
      <c r="J27" s="481" t="str">
        <f t="shared" si="0"/>
        <v/>
      </c>
      <c r="K27" s="596"/>
      <c r="L27" s="404"/>
      <c r="M27" s="401"/>
      <c r="N27" s="596"/>
      <c r="O27" s="478"/>
      <c r="P27" s="512"/>
      <c r="Q27" s="330" t="str">
        <f t="shared" si="23"/>
        <v/>
      </c>
      <c r="R27" s="337" t="str">
        <f t="shared" si="33"/>
        <v/>
      </c>
      <c r="S27" s="338" t="str">
        <f>IF(C27="","",VLOOKUP(C27,非_単位!$N$38:$O$53,2,FALSE))</f>
        <v/>
      </c>
      <c r="T27" s="331" t="str">
        <f t="shared" si="34"/>
        <v/>
      </c>
      <c r="U27" s="439" t="str">
        <f t="shared" si="35"/>
        <v/>
      </c>
      <c r="W27" s="578" t="str">
        <f t="shared" si="1"/>
        <v/>
      </c>
      <c r="X27" s="578" t="str">
        <f t="shared" si="29"/>
        <v/>
      </c>
      <c r="Y27" s="578" t="str">
        <f t="shared" si="2"/>
        <v/>
      </c>
      <c r="Z27" s="578" t="str">
        <f t="shared" si="3"/>
        <v/>
      </c>
      <c r="AA27" s="578" t="str">
        <f t="shared" si="4"/>
        <v/>
      </c>
      <c r="AB27" s="578" t="str">
        <f t="shared" si="5"/>
        <v/>
      </c>
      <c r="AC27" s="578" t="str">
        <f t="shared" si="6"/>
        <v/>
      </c>
      <c r="AD27" s="578" t="str">
        <f t="shared" si="27"/>
        <v/>
      </c>
      <c r="AE27" s="578" t="str">
        <f t="shared" si="7"/>
        <v/>
      </c>
      <c r="AF27" s="578" t="str">
        <f>IF(C27="","",IF(AE27="対象","熱量計読取",VLOOKUP(C27,非_係数!$B$42:$D$55,2,FALSE)))</f>
        <v/>
      </c>
      <c r="AG27" s="578" t="str">
        <f>IF(W27="電気",非_電気事業者!$S$4*1000,IF(W27="熱",非_熱供給事業者!$T$4,""))</f>
        <v/>
      </c>
      <c r="AH27" s="578" t="str">
        <f>IF(N27="","",VLOOKUP(N27,非_単位補正換算!$B$3:$C$16,2,FALSE))</f>
        <v/>
      </c>
      <c r="AI27" s="578" t="str">
        <f t="shared" si="8"/>
        <v/>
      </c>
      <c r="AJ27" s="578" t="str">
        <f t="shared" si="9"/>
        <v/>
      </c>
      <c r="AK27" s="578">
        <v>1</v>
      </c>
      <c r="AL27" s="578" t="str">
        <f t="shared" si="10"/>
        <v/>
      </c>
      <c r="AM27" s="578" t="b">
        <f t="shared" si="28"/>
        <v>1</v>
      </c>
      <c r="AN27" s="578" t="str">
        <f t="shared" si="11"/>
        <v/>
      </c>
      <c r="AO27" s="578" t="str">
        <f t="shared" si="12"/>
        <v/>
      </c>
      <c r="AP27" s="578" t="str">
        <f t="shared" si="13"/>
        <v/>
      </c>
      <c r="AQ27" s="578" t="str">
        <f t="shared" si="14"/>
        <v/>
      </c>
      <c r="AR27" s="578" t="str">
        <f t="shared" si="15"/>
        <v/>
      </c>
      <c r="AS27" s="578" t="str">
        <f>IF(AR27&lt;&gt;"義務","",SUMIFS(非_まとめ表行番号!$N$3:$N$20,非_まとめ表行番号!$J$3:$J$20,AN27,非_まとめ表行番号!$K$3:$K$20,AO27,非_まとめ表行番号!$L$3:$L$20,AP27,非_まとめ表行番号!$M$3:$M$20,AQ27))</f>
        <v/>
      </c>
      <c r="AT27" s="578" t="str">
        <f>IF(AR27&lt;&gt;"義務","",SUMIFS(非_まとめ表行番号!$O$3:$O$20,非_まとめ表行番号!$J$3:$J$20,AN27,非_まとめ表行番号!$K$3:$K$20,AO27,非_まとめ表行番号!$L$3:$L$20,AP27,非_まとめ表行番号!$M$3:$M$20,AQ27))</f>
        <v/>
      </c>
      <c r="AU27" s="578" t="str">
        <f t="shared" si="16"/>
        <v/>
      </c>
      <c r="AW27" s="578" t="str">
        <f>IF(AS27="","",VLOOKUP(AS27,非_まとめ表行番号!$U$3:$V$56,2,FALSE))</f>
        <v/>
      </c>
      <c r="AX27" s="578" t="str">
        <f>IF(D27="","",VLOOKUP(D27,非_燃料種類_選択リスト!$X$2:$Y$14,2,FALSE))</f>
        <v/>
      </c>
      <c r="AY27" s="578" t="str">
        <f>IF(E27="","",VLOOKUP(E27,非_燃料種類_選択リスト!$X$18:$Y$24,2,FALSE))</f>
        <v/>
      </c>
      <c r="AZ27" s="578" t="str">
        <f t="shared" si="17"/>
        <v/>
      </c>
      <c r="BA27" s="578" t="str">
        <f t="shared" si="18"/>
        <v/>
      </c>
      <c r="BB27" s="578" t="str">
        <f t="shared" si="19"/>
        <v/>
      </c>
      <c r="BC27" s="578" t="str">
        <f t="shared" si="20"/>
        <v/>
      </c>
      <c r="BD27" s="578" t="str">
        <f t="shared" si="21"/>
        <v/>
      </c>
      <c r="BE27" s="84">
        <v>3</v>
      </c>
    </row>
    <row r="28" spans="1:57" ht="18.75" customHeight="1">
      <c r="A28" s="587"/>
      <c r="B28" s="622"/>
      <c r="C28" s="623"/>
      <c r="D28" s="623"/>
      <c r="E28" s="407"/>
      <c r="F28" s="407"/>
      <c r="G28" s="596"/>
      <c r="H28" s="327" t="str">
        <f t="shared" si="22"/>
        <v/>
      </c>
      <c r="I28" s="623"/>
      <c r="J28" s="481" t="str">
        <f t="shared" si="0"/>
        <v/>
      </c>
      <c r="K28" s="596"/>
      <c r="L28" s="404"/>
      <c r="M28" s="401"/>
      <c r="N28" s="596"/>
      <c r="O28" s="479"/>
      <c r="P28" s="512"/>
      <c r="Q28" s="330" t="str">
        <f t="shared" si="23"/>
        <v/>
      </c>
      <c r="R28" s="337" t="str">
        <f t="shared" si="33"/>
        <v/>
      </c>
      <c r="S28" s="338" t="str">
        <f>IF(C28="","",VLOOKUP(C28,非_単位!$N$38:$O$53,2,FALSE))</f>
        <v/>
      </c>
      <c r="T28" s="331" t="str">
        <f t="shared" si="34"/>
        <v/>
      </c>
      <c r="U28" s="439" t="str">
        <f t="shared" si="35"/>
        <v/>
      </c>
      <c r="W28" s="490" t="str">
        <f t="shared" si="1"/>
        <v/>
      </c>
      <c r="X28" s="490" t="str">
        <f t="shared" si="29"/>
        <v/>
      </c>
      <c r="Y28" s="490" t="str">
        <f t="shared" si="2"/>
        <v/>
      </c>
      <c r="Z28" s="490" t="str">
        <f t="shared" si="3"/>
        <v/>
      </c>
      <c r="AA28" s="490" t="str">
        <f t="shared" si="4"/>
        <v/>
      </c>
      <c r="AB28" s="490" t="str">
        <f t="shared" si="5"/>
        <v/>
      </c>
      <c r="AC28" s="490" t="str">
        <f t="shared" si="6"/>
        <v/>
      </c>
      <c r="AD28" s="490" t="str">
        <f t="shared" si="27"/>
        <v/>
      </c>
      <c r="AE28" s="490" t="str">
        <f t="shared" si="7"/>
        <v/>
      </c>
      <c r="AF28" s="490" t="str">
        <f>IF(C28="","",IF(AE28="対象","熱量計読取",VLOOKUP(C28,非_係数!$B$42:$D$55,2,FALSE)))</f>
        <v/>
      </c>
      <c r="AG28" s="490" t="str">
        <f>IF(W28="電気",非_電気事業者!$S$4*1000,IF(W28="熱",非_熱供給事業者!$T$4,""))</f>
        <v/>
      </c>
      <c r="AH28" s="490" t="str">
        <f>IF(N28="","",VLOOKUP(N28,非_単位補正換算!$B$3:$C$16,2,FALSE))</f>
        <v/>
      </c>
      <c r="AI28" s="490" t="str">
        <f t="shared" si="8"/>
        <v/>
      </c>
      <c r="AJ28" s="490" t="str">
        <f t="shared" si="9"/>
        <v/>
      </c>
      <c r="AK28" s="490">
        <v>1</v>
      </c>
      <c r="AL28" s="490" t="str">
        <f t="shared" si="10"/>
        <v/>
      </c>
      <c r="AM28" s="490" t="b">
        <f t="shared" si="28"/>
        <v>1</v>
      </c>
      <c r="AN28" s="490" t="str">
        <f t="shared" si="11"/>
        <v/>
      </c>
      <c r="AO28" s="490" t="str">
        <f t="shared" si="12"/>
        <v/>
      </c>
      <c r="AP28" s="490" t="str">
        <f t="shared" si="13"/>
        <v/>
      </c>
      <c r="AQ28" s="490" t="str">
        <f t="shared" si="14"/>
        <v/>
      </c>
      <c r="AR28" s="490" t="str">
        <f t="shared" si="15"/>
        <v/>
      </c>
      <c r="AS28" s="490" t="str">
        <f>IF(AR28&lt;&gt;"義務","",SUMIFS(非_まとめ表行番号!$N$3:$N$20,非_まとめ表行番号!$J$3:$J$20,AN28,非_まとめ表行番号!$K$3:$K$20,AO28,非_まとめ表行番号!$L$3:$L$20,AP28,非_まとめ表行番号!$M$3:$M$20,AQ28))</f>
        <v/>
      </c>
      <c r="AT28" s="490" t="str">
        <f>IF(AR28&lt;&gt;"義務","",SUMIFS(非_まとめ表行番号!$O$3:$O$20,非_まとめ表行番号!$J$3:$J$20,AN28,非_まとめ表行番号!$K$3:$K$20,AO28,非_まとめ表行番号!$L$3:$L$20,AP28,非_まとめ表行番号!$M$3:$M$20,AQ28))</f>
        <v/>
      </c>
      <c r="AU28" s="490" t="str">
        <f t="shared" si="16"/>
        <v/>
      </c>
      <c r="AW28" s="490" t="str">
        <f>IF(AS28="","",VLOOKUP(AS28,非_まとめ表行番号!$U$3:$V$56,2,FALSE))</f>
        <v/>
      </c>
      <c r="AX28" s="490" t="str">
        <f>IF(D28="","",VLOOKUP(D28,非_燃料種類_選択リスト!$X$2:$Y$14,2,FALSE))</f>
        <v/>
      </c>
      <c r="AY28" s="490" t="str">
        <f>IF(E28="","",VLOOKUP(E28,非_燃料種類_選択リスト!$X$18:$Y$24,2,FALSE))</f>
        <v/>
      </c>
      <c r="AZ28" s="490" t="str">
        <f t="shared" si="17"/>
        <v/>
      </c>
      <c r="BA28" s="490" t="str">
        <f t="shared" si="18"/>
        <v/>
      </c>
      <c r="BB28" s="490" t="str">
        <f t="shared" si="19"/>
        <v/>
      </c>
      <c r="BC28" s="490" t="str">
        <f t="shared" si="20"/>
        <v/>
      </c>
      <c r="BD28" s="490" t="str">
        <f t="shared" si="21"/>
        <v/>
      </c>
      <c r="BE28" s="84">
        <v>3</v>
      </c>
    </row>
    <row r="29" spans="1:57" ht="18.75" customHeight="1" thickBot="1">
      <c r="A29" s="587"/>
      <c r="B29" s="622"/>
      <c r="C29" s="623"/>
      <c r="D29" s="623"/>
      <c r="E29" s="407"/>
      <c r="F29" s="407"/>
      <c r="G29" s="596"/>
      <c r="H29" s="327" t="str">
        <f t="shared" si="22"/>
        <v/>
      </c>
      <c r="I29" s="623"/>
      <c r="J29" s="481" t="str">
        <f t="shared" si="0"/>
        <v/>
      </c>
      <c r="K29" s="596"/>
      <c r="L29" s="404"/>
      <c r="M29" s="401"/>
      <c r="N29" s="596"/>
      <c r="O29" s="479"/>
      <c r="P29" s="512"/>
      <c r="Q29" s="330" t="str">
        <f t="shared" si="23"/>
        <v/>
      </c>
      <c r="R29" s="337" t="str">
        <f t="shared" si="33"/>
        <v/>
      </c>
      <c r="S29" s="338" t="str">
        <f>IF(C29="","",VLOOKUP(C29,非_単位!$N$38:$O$53,2,FALSE))</f>
        <v/>
      </c>
      <c r="T29" s="331" t="str">
        <f t="shared" si="34"/>
        <v/>
      </c>
      <c r="U29" s="439" t="str">
        <f t="shared" si="35"/>
        <v/>
      </c>
      <c r="W29" s="490" t="str">
        <f t="shared" si="1"/>
        <v/>
      </c>
      <c r="X29" s="490" t="str">
        <f t="shared" si="29"/>
        <v/>
      </c>
      <c r="Y29" s="490" t="str">
        <f t="shared" si="2"/>
        <v/>
      </c>
      <c r="Z29" s="490" t="str">
        <f t="shared" si="3"/>
        <v/>
      </c>
      <c r="AA29" s="490" t="str">
        <f t="shared" si="4"/>
        <v/>
      </c>
      <c r="AB29" s="490" t="str">
        <f t="shared" si="5"/>
        <v/>
      </c>
      <c r="AC29" s="490" t="str">
        <f t="shared" si="6"/>
        <v/>
      </c>
      <c r="AD29" s="490" t="str">
        <f t="shared" si="27"/>
        <v/>
      </c>
      <c r="AE29" s="490" t="str">
        <f t="shared" si="7"/>
        <v/>
      </c>
      <c r="AF29" s="490" t="str">
        <f>IF(C29="","",IF(AE29="対象","熱量計読取",VLOOKUP(C29,非_係数!$B$42:$D$55,2,FALSE)))</f>
        <v/>
      </c>
      <c r="AG29" s="490" t="str">
        <f>IF(W29="電気",非_電気事業者!$S$4*1000,IF(W29="熱",非_熱供給事業者!$T$4,""))</f>
        <v/>
      </c>
      <c r="AH29" s="490" t="str">
        <f>IF(N29="","",VLOOKUP(N29,非_単位補正換算!$B$3:$C$16,2,FALSE))</f>
        <v/>
      </c>
      <c r="AI29" s="490" t="str">
        <f t="shared" si="8"/>
        <v/>
      </c>
      <c r="AJ29" s="490" t="str">
        <f t="shared" si="9"/>
        <v/>
      </c>
      <c r="AK29" s="490">
        <v>1</v>
      </c>
      <c r="AL29" s="490" t="str">
        <f t="shared" si="10"/>
        <v/>
      </c>
      <c r="AM29" s="490" t="b">
        <f t="shared" si="28"/>
        <v>1</v>
      </c>
      <c r="AN29" s="490" t="str">
        <f t="shared" si="11"/>
        <v/>
      </c>
      <c r="AO29" s="490" t="str">
        <f t="shared" si="12"/>
        <v/>
      </c>
      <c r="AP29" s="490" t="str">
        <f t="shared" si="13"/>
        <v/>
      </c>
      <c r="AQ29" s="490" t="str">
        <f t="shared" si="14"/>
        <v/>
      </c>
      <c r="AR29" s="490" t="str">
        <f t="shared" si="15"/>
        <v/>
      </c>
      <c r="AS29" s="490" t="str">
        <f>IF(AR29&lt;&gt;"義務","",SUMIFS(非_まとめ表行番号!$N$3:$N$20,非_まとめ表行番号!$J$3:$J$20,AN29,非_まとめ表行番号!$K$3:$K$20,AO29,非_まとめ表行番号!$L$3:$L$20,AP29,非_まとめ表行番号!$M$3:$M$20,AQ29))</f>
        <v/>
      </c>
      <c r="AT29" s="490" t="str">
        <f>IF(AR29&lt;&gt;"義務","",SUMIFS(非_まとめ表行番号!$O$3:$O$20,非_まとめ表行番号!$J$3:$J$20,AN29,非_まとめ表行番号!$K$3:$K$20,AO29,非_まとめ表行番号!$L$3:$L$20,AP29,非_まとめ表行番号!$M$3:$M$20,AQ29))</f>
        <v/>
      </c>
      <c r="AU29" s="490" t="str">
        <f t="shared" si="16"/>
        <v/>
      </c>
      <c r="AW29" s="490" t="str">
        <f>IF(AS29="","",VLOOKUP(AS29,非_まとめ表行番号!$U$3:$V$56,2,FALSE))</f>
        <v/>
      </c>
      <c r="AX29" s="490" t="str">
        <f>IF(D29="","",VLOOKUP(D29,非_燃料種類_選択リスト!$X$2:$Y$14,2,FALSE))</f>
        <v/>
      </c>
      <c r="AY29" s="490" t="str">
        <f>IF(E29="","",VLOOKUP(E29,非_燃料種類_選択リスト!$X$18:$Y$24,2,FALSE))</f>
        <v/>
      </c>
      <c r="AZ29" s="490" t="str">
        <f t="shared" si="17"/>
        <v/>
      </c>
      <c r="BA29" s="490" t="str">
        <f t="shared" si="18"/>
        <v/>
      </c>
      <c r="BB29" s="490" t="str">
        <f t="shared" si="19"/>
        <v/>
      </c>
      <c r="BC29" s="490" t="str">
        <f t="shared" si="20"/>
        <v/>
      </c>
      <c r="BD29" s="490" t="str">
        <f t="shared" si="21"/>
        <v/>
      </c>
      <c r="BE29" s="84">
        <v>3</v>
      </c>
    </row>
    <row r="30" spans="1:57" ht="17.25" customHeight="1" thickTop="1" thickBot="1">
      <c r="A30" s="609"/>
      <c r="B30" s="324" t="s">
        <v>1944</v>
      </c>
      <c r="C30" s="325"/>
      <c r="D30" s="325"/>
      <c r="E30" s="325"/>
      <c r="F30" s="325"/>
      <c r="G30" s="325"/>
      <c r="H30" s="325"/>
      <c r="I30" s="325"/>
      <c r="J30" s="325"/>
      <c r="K30" s="325"/>
      <c r="L30" s="325"/>
      <c r="M30" s="325"/>
      <c r="N30" s="325"/>
      <c r="O30" s="325"/>
      <c r="P30" s="325"/>
      <c r="Q30" s="325"/>
      <c r="R30" s="336"/>
      <c r="S30" s="336"/>
      <c r="T30" s="57"/>
      <c r="U30" s="438"/>
      <c r="AP30" s="84" t="str">
        <f t="shared" si="13"/>
        <v/>
      </c>
    </row>
    <row r="31" spans="1:57" ht="18.75" customHeight="1" thickTop="1">
      <c r="A31" s="581" t="s">
        <v>2052</v>
      </c>
      <c r="B31" s="523" t="s">
        <v>1467</v>
      </c>
      <c r="C31" s="400" t="s">
        <v>1479</v>
      </c>
      <c r="D31" s="400" t="s">
        <v>1489</v>
      </c>
      <c r="E31" s="407"/>
      <c r="F31" s="408"/>
      <c r="G31" s="401" t="s">
        <v>364</v>
      </c>
      <c r="H31" s="327">
        <f>AF31</f>
        <v>3.6</v>
      </c>
      <c r="I31" s="400" t="s">
        <v>1936</v>
      </c>
      <c r="J31" s="481">
        <f t="shared" ref="J31:J53" si="54">IF(I31="","",IF(I31="目標設定ガスの算定対象外",0,IF(I31="国代替値",AG31,"要記入")))</f>
        <v>0</v>
      </c>
      <c r="K31" s="401"/>
      <c r="L31" s="403"/>
      <c r="M31" s="401"/>
      <c r="N31" s="401"/>
      <c r="O31" s="478"/>
      <c r="P31" s="512"/>
      <c r="Q31" s="330" t="str">
        <f>IF(O31="","",IF(P31="",O31,P31*O31))</f>
        <v/>
      </c>
      <c r="R31" s="337" t="str">
        <f>AI31</f>
        <v/>
      </c>
      <c r="S31" s="338" t="str">
        <f>IF(C31="","",VLOOKUP(C31,非_単位!$N$38:$O$53,2,FALSE))</f>
        <v>千kWh</v>
      </c>
      <c r="T31" s="331" t="str">
        <f>AJ31</f>
        <v/>
      </c>
      <c r="U31" s="439" t="str">
        <f>AL31</f>
        <v/>
      </c>
      <c r="W31" s="490" t="str">
        <f t="shared" ref="W31:W53" si="55">IF(B31="","",IF(B31="電気の使用_一般送配電事業者の電線路を介して供給された買電","電気",IF(B31="熱の使用","熱","")))</f>
        <v>電気</v>
      </c>
      <c r="X31" s="490" t="str">
        <f>IF(W31="電気","再エネ_事業所外_電気_種類",IF(W31="熱","再エネ_事業所外_熱_種類",""))</f>
        <v>再エネ_事業所外_電気_種類</v>
      </c>
      <c r="Y31" s="490" t="str">
        <f t="shared" ref="Y31:Y53" si="56">IF(C31="","","再エネ_種類_選択")</f>
        <v>再エネ_種類_選択</v>
      </c>
      <c r="Z31" s="490" t="str">
        <f t="shared" ref="Z31:Z53" si="57">IF(D31="バイオマス","バイオマス_種類_選択","")</f>
        <v/>
      </c>
      <c r="AA31" s="490"/>
      <c r="AB31" s="490" t="str">
        <f>IF(C31="","",IF(C31="電気_仮想電力購入契約","環境価値_仮想電力購入契約_選択",IF(AND(AA31&lt;&gt;"",F31="無"),"環境価値_バイオマス持続可能性無_選択","環境価値_選択")))</f>
        <v>環境価値_選択</v>
      </c>
      <c r="AC31" s="490" t="str">
        <f t="shared" ref="AC31:AC53" si="58">IF(C31="","",IF(C31="電気_仮想電力購入契約","再エネ_係数根拠_仮想電力購入契約",IF(G31="","",IF(G31="有","再エネ_係数根拠_環境価値有","再エネ_係数根拠_環境価値無"))))</f>
        <v>再エネ_係数根拠_環境価値有</v>
      </c>
      <c r="AD31" s="490" t="str">
        <f>IF(W31="","","自家消費以外")</f>
        <v>自家消費以外</v>
      </c>
      <c r="AE31" s="490"/>
      <c r="AF31" s="490">
        <f>IF(C31="","",IF(C31="電気_仮想電力購入契約","",VLOOKUP(C31,非_係数!$B$42:$D$55,2,FALSE)))</f>
        <v>3.6</v>
      </c>
      <c r="AG31" s="490">
        <f>IF(W31="電気",非_電気事業者!$S$4*1000,IF(W31="熱",非_熱供給事業者!$T$4,""))</f>
        <v>0.42199999999999999</v>
      </c>
      <c r="AH31" s="490" t="str">
        <f>IF(N31="","",VLOOKUP(N31,非_単位補正換算!$B$3:$C$16,2,FALSE))</f>
        <v/>
      </c>
      <c r="AI31" s="490" t="str">
        <f t="shared" ref="AI31:AI53" si="59">IF(N31="","",IF(Q31="","",Q31/AH31))</f>
        <v/>
      </c>
      <c r="AJ31" s="490" t="str">
        <f t="shared" ref="AJ31:AJ53" si="60">IF(AI31="","",IF(H31="","",AI31*H31))</f>
        <v/>
      </c>
      <c r="AK31" s="490">
        <f t="shared" ref="AK31:AK53" si="61">IF(C31="電気_仮想電力購入契約",-1,1)</f>
        <v>1</v>
      </c>
      <c r="AL31" s="490" t="str">
        <f t="shared" ref="AL31:AL53" si="62">IF(AI31="","",IF(ISNUMBER(J31),AI31*J31*AK31,""))</f>
        <v/>
      </c>
      <c r="AM31" s="490" t="b">
        <f t="shared" si="28"/>
        <v>1</v>
      </c>
      <c r="AN31" s="490" t="str">
        <f t="shared" ref="AN31:AN53" si="63">W31</f>
        <v>電気</v>
      </c>
      <c r="AO31" s="490" t="str">
        <f t="shared" ref="AO31:AO53" si="64">IF(G31="","",G31)</f>
        <v>有</v>
      </c>
      <c r="AP31" s="490" t="str">
        <f t="shared" si="13"/>
        <v>自家消費以外</v>
      </c>
      <c r="AQ31" s="490" t="str">
        <f t="shared" ref="AQ31:AQ53" si="65">IF(F31="","",F31)</f>
        <v/>
      </c>
      <c r="AR31" s="490" t="str">
        <f t="shared" ref="AR31:AR53" si="66">IF(D31="","",IF(LEFT(D31,2)="任意","任意","義務"))</f>
        <v>義務</v>
      </c>
      <c r="AS31" s="490">
        <f>IF(AR31&lt;&gt;"義務","",SUMIFS(非_まとめ表行番号!$N$3:$N$20,非_まとめ表行番号!$J$3:$J$20,AN31,非_まとめ表行番号!$K$3:$K$20,AO31,非_まとめ表行番号!$L$3:$L$20,AP31,非_まとめ表行番号!$M$3:$M$20,AQ31))</f>
        <v>49</v>
      </c>
      <c r="AT31" s="490">
        <f>IF(AR31&lt;&gt;"義務","",SUMIFS(非_まとめ表行番号!$O$3:$O$20,非_まとめ表行番号!$J$3:$J$20,AN31,非_まとめ表行番号!$K$3:$K$20,AO31,非_まとめ表行番号!$L$3:$L$20,AP31,非_まとめ表行番号!$M$3:$M$20,AQ31))</f>
        <v>45</v>
      </c>
      <c r="AU31" s="490" t="str">
        <f t="shared" ref="AU31:AU53" si="67">IF(M31="無",IF(C31="電気_仮想電力購入契約","乗率_除外する排出量","乗率_排出量"),"")</f>
        <v/>
      </c>
      <c r="AW31" s="490">
        <f>IF(AS31="","",VLOOKUP(AS31,非_まとめ表行番号!$U$3:$V$56,2,FALSE))</f>
        <v>42</v>
      </c>
      <c r="AX31" s="490">
        <f>IF(D31="","",VLOOKUP(D31,非_燃料種類_選択リスト!$X$2:$Y$14,2,FALSE))</f>
        <v>1</v>
      </c>
      <c r="AY31" s="490" t="str">
        <f>IF(E31="","",VLOOKUP(E31,非_燃料種類_選択リスト!$X$18:$Y$24,2,FALSE))</f>
        <v/>
      </c>
      <c r="AZ31" s="490">
        <f t="shared" ref="AZ31:AZ53" si="68">IF(AW31=46,0,IF(H31="","",IF(H31="熱量計読取",1,H31)))</f>
        <v>3.6</v>
      </c>
      <c r="BA31" s="490" t="str">
        <f t="shared" ref="BA31:BA53" si="69">IF(I31="","",I31)</f>
        <v>目標設定ガスの算定対象外</v>
      </c>
      <c r="BB31" s="490">
        <f t="shared" ref="BB31:BB53" si="70">IF(J31="","",J31)</f>
        <v>0</v>
      </c>
      <c r="BC31" s="490" t="str">
        <f t="shared" ref="BC31:BC53" si="71">IF(R31="","",R31)</f>
        <v/>
      </c>
      <c r="BD31" s="490" t="str">
        <f t="shared" ref="BD31:BD53" si="72">IF(AL31="","",IF(AL31&gt;=0,1,IF(AL31&lt;0,-1,"")))</f>
        <v/>
      </c>
      <c r="BE31" s="84">
        <v>1</v>
      </c>
    </row>
    <row r="32" spans="1:57" ht="18.75" customHeight="1">
      <c r="A32" s="582"/>
      <c r="B32" s="523"/>
      <c r="C32" s="400"/>
      <c r="D32" s="400"/>
      <c r="E32" s="407"/>
      <c r="F32" s="409"/>
      <c r="G32" s="401"/>
      <c r="H32" s="327" t="str">
        <f t="shared" ref="H32:H53" si="73">AF32</f>
        <v/>
      </c>
      <c r="I32" s="400"/>
      <c r="J32" s="481" t="str">
        <f t="shared" si="54"/>
        <v/>
      </c>
      <c r="K32" s="401"/>
      <c r="L32" s="404"/>
      <c r="M32" s="401"/>
      <c r="N32" s="401"/>
      <c r="O32" s="479"/>
      <c r="P32" s="512"/>
      <c r="Q32" s="330" t="str">
        <f t="shared" ref="Q32:Q53" si="74">IF(O32="","",IF(P32="",O32,P32*O32))</f>
        <v/>
      </c>
      <c r="R32" s="337" t="str">
        <f t="shared" ref="R32:R53" si="75">AI32</f>
        <v/>
      </c>
      <c r="S32" s="338" t="str">
        <f>IF(C32="","",VLOOKUP(C32,非_単位!$N$38:$O$53,2,FALSE))</f>
        <v/>
      </c>
      <c r="T32" s="331" t="str">
        <f t="shared" ref="T32:T53" si="76">AJ32</f>
        <v/>
      </c>
      <c r="U32" s="439" t="str">
        <f t="shared" ref="U32:U53" si="77">AL32</f>
        <v/>
      </c>
      <c r="W32" s="490" t="str">
        <f t="shared" si="55"/>
        <v/>
      </c>
      <c r="X32" s="490" t="str">
        <f t="shared" ref="X32:X53" si="78">IF(W32="電気","再エネ_事業所外_電気_種類",IF(W32="熱","再エネ_事業所外_熱_種類",""))</f>
        <v/>
      </c>
      <c r="Y32" s="490" t="str">
        <f t="shared" si="56"/>
        <v/>
      </c>
      <c r="Z32" s="490" t="str">
        <f t="shared" si="57"/>
        <v/>
      </c>
      <c r="AA32" s="490"/>
      <c r="AB32" s="490" t="str">
        <f t="shared" ref="AB32:AB53" si="79">IF(C32="","",IF(C32="電気_仮想電力購入契約","環境価値_仮想電力購入契約_選択",IF(AND(AA32&lt;&gt;"",F32="無"),"環境価値_バイオマス持続可能性無_選択","環境価値_選択")))</f>
        <v/>
      </c>
      <c r="AC32" s="490" t="str">
        <f t="shared" si="58"/>
        <v/>
      </c>
      <c r="AD32" s="490" t="str">
        <f t="shared" ref="AD32:AD53" si="80">IF(W32="","","自家消費以外")</f>
        <v/>
      </c>
      <c r="AE32" s="490"/>
      <c r="AF32" s="490" t="str">
        <f>IF(C32="","",IF(C32="電気_仮想電力購入契約","",VLOOKUP(C32,非_係数!$B$42:$D$55,2,FALSE)))</f>
        <v/>
      </c>
      <c r="AG32" s="490" t="str">
        <f>IF(W32="電気",非_電気事業者!$S$4*1000,IF(W32="熱",非_熱供給事業者!$T$4,""))</f>
        <v/>
      </c>
      <c r="AH32" s="490" t="str">
        <f>IF(N32="","",VLOOKUP(N32,非_単位補正換算!$B$3:$C$16,2,FALSE))</f>
        <v/>
      </c>
      <c r="AI32" s="490" t="str">
        <f t="shared" si="59"/>
        <v/>
      </c>
      <c r="AJ32" s="490" t="str">
        <f t="shared" si="60"/>
        <v/>
      </c>
      <c r="AK32" s="490">
        <f t="shared" si="61"/>
        <v>1</v>
      </c>
      <c r="AL32" s="490" t="str">
        <f t="shared" si="62"/>
        <v/>
      </c>
      <c r="AM32" s="490" t="b">
        <f t="shared" si="28"/>
        <v>1</v>
      </c>
      <c r="AN32" s="490" t="str">
        <f t="shared" si="63"/>
        <v/>
      </c>
      <c r="AO32" s="490" t="str">
        <f t="shared" si="64"/>
        <v/>
      </c>
      <c r="AP32" s="490" t="str">
        <f t="shared" si="13"/>
        <v/>
      </c>
      <c r="AQ32" s="490" t="str">
        <f t="shared" si="65"/>
        <v/>
      </c>
      <c r="AR32" s="490" t="str">
        <f t="shared" si="66"/>
        <v/>
      </c>
      <c r="AS32" s="490" t="str">
        <f>IF(AR32&lt;&gt;"義務","",SUMIFS(非_まとめ表行番号!$N$3:$N$20,非_まとめ表行番号!$J$3:$J$20,AN32,非_まとめ表行番号!$K$3:$K$20,AO32,非_まとめ表行番号!$L$3:$L$20,AP32,非_まとめ表行番号!$M$3:$M$20,AQ32))</f>
        <v/>
      </c>
      <c r="AT32" s="490" t="str">
        <f>IF(AR32&lt;&gt;"義務","",SUMIFS(非_まとめ表行番号!$O$3:$O$20,非_まとめ表行番号!$J$3:$J$20,AN32,非_まとめ表行番号!$K$3:$K$20,AO32,非_まとめ表行番号!$L$3:$L$20,AP32,非_まとめ表行番号!$M$3:$M$20,AQ32))</f>
        <v/>
      </c>
      <c r="AU32" s="490" t="str">
        <f t="shared" si="67"/>
        <v/>
      </c>
      <c r="AW32" s="490" t="str">
        <f>IF(AS32="","",VLOOKUP(AS32,非_まとめ表行番号!$U$3:$V$56,2,FALSE))</f>
        <v/>
      </c>
      <c r="AX32" s="490" t="str">
        <f>IF(D32="","",VLOOKUP(D32,非_燃料種類_選択リスト!$X$2:$Y$14,2,FALSE))</f>
        <v/>
      </c>
      <c r="AY32" s="490" t="str">
        <f>IF(E32="","",VLOOKUP(E32,非_燃料種類_選択リスト!$X$18:$Y$24,2,FALSE))</f>
        <v/>
      </c>
      <c r="AZ32" s="490" t="str">
        <f t="shared" si="68"/>
        <v/>
      </c>
      <c r="BA32" s="490" t="str">
        <f t="shared" si="69"/>
        <v/>
      </c>
      <c r="BB32" s="490" t="str">
        <f t="shared" si="70"/>
        <v/>
      </c>
      <c r="BC32" s="490" t="str">
        <f t="shared" si="71"/>
        <v/>
      </c>
      <c r="BD32" s="490" t="str">
        <f t="shared" si="72"/>
        <v/>
      </c>
      <c r="BE32" s="84">
        <v>1</v>
      </c>
    </row>
    <row r="33" spans="1:57" ht="18.75" customHeight="1">
      <c r="A33" s="582"/>
      <c r="B33" s="523"/>
      <c r="C33" s="400"/>
      <c r="D33" s="400"/>
      <c r="E33" s="407"/>
      <c r="F33" s="409"/>
      <c r="G33" s="401"/>
      <c r="H33" s="327" t="str">
        <f t="shared" si="73"/>
        <v/>
      </c>
      <c r="I33" s="400"/>
      <c r="J33" s="481" t="str">
        <f t="shared" si="54"/>
        <v/>
      </c>
      <c r="K33" s="401"/>
      <c r="L33" s="404"/>
      <c r="M33" s="401"/>
      <c r="N33" s="401"/>
      <c r="O33" s="479"/>
      <c r="P33" s="512"/>
      <c r="Q33" s="330" t="str">
        <f t="shared" si="74"/>
        <v/>
      </c>
      <c r="R33" s="337" t="str">
        <f t="shared" si="75"/>
        <v/>
      </c>
      <c r="S33" s="338" t="str">
        <f>IF(C33="","",VLOOKUP(C33,非_単位!$N$38:$O$53,2,FALSE))</f>
        <v/>
      </c>
      <c r="T33" s="331" t="str">
        <f t="shared" si="76"/>
        <v/>
      </c>
      <c r="U33" s="439" t="str">
        <f t="shared" si="77"/>
        <v/>
      </c>
      <c r="W33" s="490" t="str">
        <f t="shared" si="55"/>
        <v/>
      </c>
      <c r="X33" s="490" t="str">
        <f t="shared" si="78"/>
        <v/>
      </c>
      <c r="Y33" s="490" t="str">
        <f t="shared" si="56"/>
        <v/>
      </c>
      <c r="Z33" s="490" t="str">
        <f t="shared" si="57"/>
        <v/>
      </c>
      <c r="AA33" s="490"/>
      <c r="AB33" s="490" t="str">
        <f t="shared" si="79"/>
        <v/>
      </c>
      <c r="AC33" s="490" t="str">
        <f t="shared" si="58"/>
        <v/>
      </c>
      <c r="AD33" s="490" t="str">
        <f t="shared" si="80"/>
        <v/>
      </c>
      <c r="AE33" s="490"/>
      <c r="AF33" s="490" t="str">
        <f>IF(C33="","",IF(C33="電気_仮想電力購入契約","",VLOOKUP(C33,非_係数!$B$42:$D$55,2,FALSE)))</f>
        <v/>
      </c>
      <c r="AG33" s="490" t="str">
        <f>IF(W33="電気",非_電気事業者!$S$4*1000,IF(W33="熱",非_熱供給事業者!$T$4,""))</f>
        <v/>
      </c>
      <c r="AH33" s="490" t="str">
        <f>IF(N33="","",VLOOKUP(N33,非_単位補正換算!$B$3:$C$16,2,FALSE))</f>
        <v/>
      </c>
      <c r="AI33" s="490" t="str">
        <f t="shared" si="59"/>
        <v/>
      </c>
      <c r="AJ33" s="490" t="str">
        <f t="shared" si="60"/>
        <v/>
      </c>
      <c r="AK33" s="490">
        <f t="shared" si="61"/>
        <v>1</v>
      </c>
      <c r="AL33" s="490" t="str">
        <f t="shared" si="62"/>
        <v/>
      </c>
      <c r="AM33" s="490" t="b">
        <f t="shared" si="28"/>
        <v>1</v>
      </c>
      <c r="AN33" s="490" t="str">
        <f t="shared" si="63"/>
        <v/>
      </c>
      <c r="AO33" s="490" t="str">
        <f t="shared" si="64"/>
        <v/>
      </c>
      <c r="AP33" s="490" t="str">
        <f t="shared" si="13"/>
        <v/>
      </c>
      <c r="AQ33" s="490" t="str">
        <f t="shared" si="65"/>
        <v/>
      </c>
      <c r="AR33" s="490" t="str">
        <f t="shared" si="66"/>
        <v/>
      </c>
      <c r="AS33" s="490" t="str">
        <f>IF(AR33&lt;&gt;"義務","",SUMIFS(非_まとめ表行番号!$N$3:$N$20,非_まとめ表行番号!$J$3:$J$20,AN33,非_まとめ表行番号!$K$3:$K$20,AO33,非_まとめ表行番号!$L$3:$L$20,AP33,非_まとめ表行番号!$M$3:$M$20,AQ33))</f>
        <v/>
      </c>
      <c r="AT33" s="490" t="str">
        <f>IF(AR33&lt;&gt;"義務","",SUMIFS(非_まとめ表行番号!$O$3:$O$20,非_まとめ表行番号!$J$3:$J$20,AN33,非_まとめ表行番号!$K$3:$K$20,AO33,非_まとめ表行番号!$L$3:$L$20,AP33,非_まとめ表行番号!$M$3:$M$20,AQ33))</f>
        <v/>
      </c>
      <c r="AU33" s="490" t="str">
        <f t="shared" si="67"/>
        <v/>
      </c>
      <c r="AW33" s="490" t="str">
        <f>IF(AS33="","",VLOOKUP(AS33,非_まとめ表行番号!$U$3:$V$56,2,FALSE))</f>
        <v/>
      </c>
      <c r="AX33" s="490" t="str">
        <f>IF(D33="","",VLOOKUP(D33,非_燃料種類_選択リスト!$X$2:$Y$14,2,FALSE))</f>
        <v/>
      </c>
      <c r="AY33" s="490" t="str">
        <f>IF(E33="","",VLOOKUP(E33,非_燃料種類_選択リスト!$X$18:$Y$24,2,FALSE))</f>
        <v/>
      </c>
      <c r="AZ33" s="490" t="str">
        <f t="shared" si="68"/>
        <v/>
      </c>
      <c r="BA33" s="490" t="str">
        <f t="shared" si="69"/>
        <v/>
      </c>
      <c r="BB33" s="490" t="str">
        <f t="shared" si="70"/>
        <v/>
      </c>
      <c r="BC33" s="490" t="str">
        <f t="shared" si="71"/>
        <v/>
      </c>
      <c r="BD33" s="490" t="str">
        <f t="shared" si="72"/>
        <v/>
      </c>
      <c r="BE33" s="84">
        <v>1</v>
      </c>
    </row>
    <row r="34" spans="1:57" ht="18.75" customHeight="1">
      <c r="A34" s="582"/>
      <c r="B34" s="523"/>
      <c r="C34" s="400"/>
      <c r="D34" s="400"/>
      <c r="E34" s="407"/>
      <c r="F34" s="409"/>
      <c r="G34" s="401"/>
      <c r="H34" s="327" t="str">
        <f t="shared" si="73"/>
        <v/>
      </c>
      <c r="I34" s="400"/>
      <c r="J34" s="481" t="str">
        <f t="shared" si="54"/>
        <v/>
      </c>
      <c r="K34" s="401"/>
      <c r="L34" s="404"/>
      <c r="M34" s="401"/>
      <c r="N34" s="401"/>
      <c r="O34" s="479"/>
      <c r="P34" s="512"/>
      <c r="Q34" s="330" t="str">
        <f t="shared" si="74"/>
        <v/>
      </c>
      <c r="R34" s="337" t="str">
        <f t="shared" si="75"/>
        <v/>
      </c>
      <c r="S34" s="338" t="str">
        <f>IF(C34="","",VLOOKUP(C34,非_単位!$N$38:$O$53,2,FALSE))</f>
        <v/>
      </c>
      <c r="T34" s="331" t="str">
        <f t="shared" si="76"/>
        <v/>
      </c>
      <c r="U34" s="439" t="str">
        <f t="shared" si="77"/>
        <v/>
      </c>
      <c r="W34" s="490" t="str">
        <f t="shared" si="55"/>
        <v/>
      </c>
      <c r="X34" s="490" t="str">
        <f t="shared" si="78"/>
        <v/>
      </c>
      <c r="Y34" s="490" t="str">
        <f t="shared" si="56"/>
        <v/>
      </c>
      <c r="Z34" s="490" t="str">
        <f t="shared" si="57"/>
        <v/>
      </c>
      <c r="AA34" s="490"/>
      <c r="AB34" s="490" t="str">
        <f t="shared" si="79"/>
        <v/>
      </c>
      <c r="AC34" s="490" t="str">
        <f t="shared" si="58"/>
        <v/>
      </c>
      <c r="AD34" s="490" t="str">
        <f t="shared" si="80"/>
        <v/>
      </c>
      <c r="AE34" s="490"/>
      <c r="AF34" s="490" t="str">
        <f>IF(C34="","",IF(C34="電気_仮想電力購入契約","",VLOOKUP(C34,非_係数!$B$42:$D$55,2,FALSE)))</f>
        <v/>
      </c>
      <c r="AG34" s="490" t="str">
        <f>IF(W34="電気",非_電気事業者!$S$4*1000,IF(W34="熱",非_熱供給事業者!$T$4,""))</f>
        <v/>
      </c>
      <c r="AH34" s="490" t="str">
        <f>IF(N34="","",VLOOKUP(N34,非_単位補正換算!$B$3:$C$16,2,FALSE))</f>
        <v/>
      </c>
      <c r="AI34" s="490" t="str">
        <f t="shared" si="59"/>
        <v/>
      </c>
      <c r="AJ34" s="490" t="str">
        <f t="shared" si="60"/>
        <v/>
      </c>
      <c r="AK34" s="490">
        <f t="shared" si="61"/>
        <v>1</v>
      </c>
      <c r="AL34" s="490" t="str">
        <f t="shared" si="62"/>
        <v/>
      </c>
      <c r="AM34" s="490" t="b">
        <f t="shared" si="28"/>
        <v>1</v>
      </c>
      <c r="AN34" s="490" t="str">
        <f t="shared" si="63"/>
        <v/>
      </c>
      <c r="AO34" s="490" t="str">
        <f t="shared" si="64"/>
        <v/>
      </c>
      <c r="AP34" s="490" t="str">
        <f t="shared" si="13"/>
        <v/>
      </c>
      <c r="AQ34" s="490" t="str">
        <f t="shared" si="65"/>
        <v/>
      </c>
      <c r="AR34" s="490" t="str">
        <f t="shared" si="66"/>
        <v/>
      </c>
      <c r="AS34" s="490" t="str">
        <f>IF(AR34&lt;&gt;"義務","",SUMIFS(非_まとめ表行番号!$N$3:$N$20,非_まとめ表行番号!$J$3:$J$20,AN34,非_まとめ表行番号!$K$3:$K$20,AO34,非_まとめ表行番号!$L$3:$L$20,AP34,非_まとめ表行番号!$M$3:$M$20,AQ34))</f>
        <v/>
      </c>
      <c r="AT34" s="490" t="str">
        <f>IF(AR34&lt;&gt;"義務","",SUMIFS(非_まとめ表行番号!$O$3:$O$20,非_まとめ表行番号!$J$3:$J$20,AN34,非_まとめ表行番号!$K$3:$K$20,AO34,非_まとめ表行番号!$L$3:$L$20,AP34,非_まとめ表行番号!$M$3:$M$20,AQ34))</f>
        <v/>
      </c>
      <c r="AU34" s="490" t="str">
        <f t="shared" si="67"/>
        <v/>
      </c>
      <c r="AW34" s="490" t="str">
        <f>IF(AS34="","",VLOOKUP(AS34,非_まとめ表行番号!$U$3:$V$56,2,FALSE))</f>
        <v/>
      </c>
      <c r="AX34" s="490" t="str">
        <f>IF(D34="","",VLOOKUP(D34,非_燃料種類_選択リスト!$X$2:$Y$14,2,FALSE))</f>
        <v/>
      </c>
      <c r="AY34" s="490" t="str">
        <f>IF(E34="","",VLOOKUP(E34,非_燃料種類_選択リスト!$X$18:$Y$24,2,FALSE))</f>
        <v/>
      </c>
      <c r="AZ34" s="490" t="str">
        <f t="shared" si="68"/>
        <v/>
      </c>
      <c r="BA34" s="490" t="str">
        <f t="shared" si="69"/>
        <v/>
      </c>
      <c r="BB34" s="490" t="str">
        <f t="shared" si="70"/>
        <v/>
      </c>
      <c r="BC34" s="490" t="str">
        <f t="shared" si="71"/>
        <v/>
      </c>
      <c r="BD34" s="490" t="str">
        <f t="shared" si="72"/>
        <v/>
      </c>
      <c r="BE34" s="84">
        <v>1</v>
      </c>
    </row>
    <row r="35" spans="1:57" ht="18.75" customHeight="1">
      <c r="A35" s="582"/>
      <c r="B35" s="523"/>
      <c r="C35" s="400"/>
      <c r="D35" s="400"/>
      <c r="E35" s="407"/>
      <c r="F35" s="409"/>
      <c r="G35" s="401"/>
      <c r="H35" s="327" t="str">
        <f t="shared" ref="H35:H39" si="81">AF35</f>
        <v/>
      </c>
      <c r="I35" s="400"/>
      <c r="J35" s="481" t="str">
        <f t="shared" si="54"/>
        <v/>
      </c>
      <c r="K35" s="401"/>
      <c r="L35" s="404"/>
      <c r="M35" s="401"/>
      <c r="N35" s="401"/>
      <c r="O35" s="479"/>
      <c r="P35" s="512"/>
      <c r="Q35" s="330" t="str">
        <f t="shared" si="74"/>
        <v/>
      </c>
      <c r="R35" s="337" t="str">
        <f t="shared" ref="R35:R39" si="82">AI35</f>
        <v/>
      </c>
      <c r="S35" s="338" t="str">
        <f>IF(C35="","",VLOOKUP(C35,非_単位!$N$38:$O$53,2,FALSE))</f>
        <v/>
      </c>
      <c r="T35" s="331" t="str">
        <f t="shared" ref="T35:T39" si="83">AJ35</f>
        <v/>
      </c>
      <c r="U35" s="439" t="str">
        <f t="shared" ref="U35:U39" si="84">AL35</f>
        <v/>
      </c>
      <c r="W35" s="490" t="str">
        <f t="shared" si="55"/>
        <v/>
      </c>
      <c r="X35" s="490" t="str">
        <f t="shared" ref="X35:X39" si="85">IF(W35="電気","再エネ_事業所外_電気_種類",IF(W35="熱","再エネ_事業所外_熱_種類",""))</f>
        <v/>
      </c>
      <c r="Y35" s="490" t="str">
        <f t="shared" si="56"/>
        <v/>
      </c>
      <c r="Z35" s="490" t="str">
        <f t="shared" si="57"/>
        <v/>
      </c>
      <c r="AA35" s="490"/>
      <c r="AB35" s="490" t="str">
        <f t="shared" si="79"/>
        <v/>
      </c>
      <c r="AC35" s="490" t="str">
        <f t="shared" si="58"/>
        <v/>
      </c>
      <c r="AD35" s="490" t="str">
        <f t="shared" ref="AD35:AD39" si="86">IF(W35="","","自家消費以外")</f>
        <v/>
      </c>
      <c r="AE35" s="490"/>
      <c r="AF35" s="490" t="str">
        <f>IF(C35="","",IF(C35="電気_仮想電力購入契約","",VLOOKUP(C35,非_係数!$B$42:$D$55,2,FALSE)))</f>
        <v/>
      </c>
      <c r="AG35" s="490" t="str">
        <f>IF(W35="電気",非_電気事業者!$S$4*1000,IF(W35="熱",非_熱供給事業者!$T$4,""))</f>
        <v/>
      </c>
      <c r="AH35" s="490" t="str">
        <f>IF(N35="","",VLOOKUP(N35,非_単位補正換算!$B$3:$C$16,2,FALSE))</f>
        <v/>
      </c>
      <c r="AI35" s="490" t="str">
        <f t="shared" si="59"/>
        <v/>
      </c>
      <c r="AJ35" s="490" t="str">
        <f t="shared" si="60"/>
        <v/>
      </c>
      <c r="AK35" s="490">
        <f t="shared" si="61"/>
        <v>1</v>
      </c>
      <c r="AL35" s="490" t="str">
        <f t="shared" si="62"/>
        <v/>
      </c>
      <c r="AM35" s="490" t="b">
        <f t="shared" si="28"/>
        <v>1</v>
      </c>
      <c r="AN35" s="490" t="str">
        <f t="shared" si="63"/>
        <v/>
      </c>
      <c r="AO35" s="490" t="str">
        <f t="shared" si="64"/>
        <v/>
      </c>
      <c r="AP35" s="490" t="str">
        <f t="shared" si="13"/>
        <v/>
      </c>
      <c r="AQ35" s="490" t="str">
        <f t="shared" si="65"/>
        <v/>
      </c>
      <c r="AR35" s="490" t="str">
        <f t="shared" si="66"/>
        <v/>
      </c>
      <c r="AS35" s="490" t="str">
        <f>IF(AR35&lt;&gt;"義務","",SUMIFS(非_まとめ表行番号!$N$3:$N$20,非_まとめ表行番号!$J$3:$J$20,AN35,非_まとめ表行番号!$K$3:$K$20,AO35,非_まとめ表行番号!$L$3:$L$20,AP35,非_まとめ表行番号!$M$3:$M$20,AQ35))</f>
        <v/>
      </c>
      <c r="AT35" s="490" t="str">
        <f>IF(AR35&lt;&gt;"義務","",SUMIFS(非_まとめ表行番号!$O$3:$O$20,非_まとめ表行番号!$J$3:$J$20,AN35,非_まとめ表行番号!$K$3:$K$20,AO35,非_まとめ表行番号!$L$3:$L$20,AP35,非_まとめ表行番号!$M$3:$M$20,AQ35))</f>
        <v/>
      </c>
      <c r="AU35" s="490" t="str">
        <f t="shared" si="67"/>
        <v/>
      </c>
      <c r="AW35" s="490" t="str">
        <f>IF(AS35="","",VLOOKUP(AS35,非_まとめ表行番号!$U$3:$V$56,2,FALSE))</f>
        <v/>
      </c>
      <c r="AX35" s="490" t="str">
        <f>IF(D35="","",VLOOKUP(D35,非_燃料種類_選択リスト!$X$2:$Y$14,2,FALSE))</f>
        <v/>
      </c>
      <c r="AY35" s="490" t="str">
        <f>IF(E35="","",VLOOKUP(E35,非_燃料種類_選択リスト!$X$18:$Y$24,2,FALSE))</f>
        <v/>
      </c>
      <c r="AZ35" s="490" t="str">
        <f t="shared" si="68"/>
        <v/>
      </c>
      <c r="BA35" s="490" t="str">
        <f t="shared" si="69"/>
        <v/>
      </c>
      <c r="BB35" s="490" t="str">
        <f t="shared" si="70"/>
        <v/>
      </c>
      <c r="BC35" s="490" t="str">
        <f t="shared" si="71"/>
        <v/>
      </c>
      <c r="BD35" s="490" t="str">
        <f t="shared" si="72"/>
        <v/>
      </c>
      <c r="BE35" s="84">
        <v>1</v>
      </c>
    </row>
    <row r="36" spans="1:57" ht="18.75" customHeight="1">
      <c r="A36" s="582"/>
      <c r="B36" s="523"/>
      <c r="C36" s="400"/>
      <c r="D36" s="400"/>
      <c r="E36" s="407"/>
      <c r="F36" s="409"/>
      <c r="G36" s="401"/>
      <c r="H36" s="327" t="str">
        <f t="shared" si="81"/>
        <v/>
      </c>
      <c r="I36" s="400"/>
      <c r="J36" s="481" t="str">
        <f t="shared" si="54"/>
        <v/>
      </c>
      <c r="K36" s="401"/>
      <c r="L36" s="404"/>
      <c r="M36" s="401"/>
      <c r="N36" s="401"/>
      <c r="O36" s="479"/>
      <c r="P36" s="512"/>
      <c r="Q36" s="330" t="str">
        <f t="shared" si="74"/>
        <v/>
      </c>
      <c r="R36" s="337" t="str">
        <f t="shared" si="82"/>
        <v/>
      </c>
      <c r="S36" s="338" t="str">
        <f>IF(C36="","",VLOOKUP(C36,非_単位!$N$38:$O$53,2,FALSE))</f>
        <v/>
      </c>
      <c r="T36" s="331" t="str">
        <f t="shared" si="83"/>
        <v/>
      </c>
      <c r="U36" s="439" t="str">
        <f t="shared" si="84"/>
        <v/>
      </c>
      <c r="W36" s="490" t="str">
        <f t="shared" si="55"/>
        <v/>
      </c>
      <c r="X36" s="490" t="str">
        <f t="shared" si="85"/>
        <v/>
      </c>
      <c r="Y36" s="490" t="str">
        <f t="shared" si="56"/>
        <v/>
      </c>
      <c r="Z36" s="490" t="str">
        <f t="shared" si="57"/>
        <v/>
      </c>
      <c r="AA36" s="490"/>
      <c r="AB36" s="490" t="str">
        <f t="shared" si="79"/>
        <v/>
      </c>
      <c r="AC36" s="490" t="str">
        <f t="shared" si="58"/>
        <v/>
      </c>
      <c r="AD36" s="490" t="str">
        <f t="shared" si="86"/>
        <v/>
      </c>
      <c r="AE36" s="490"/>
      <c r="AF36" s="490" t="str">
        <f>IF(C36="","",IF(C36="電気_仮想電力購入契約","",VLOOKUP(C36,非_係数!$B$42:$D$55,2,FALSE)))</f>
        <v/>
      </c>
      <c r="AG36" s="490" t="str">
        <f>IF(W36="電気",非_電気事業者!$S$4*1000,IF(W36="熱",非_熱供給事業者!$T$4,""))</f>
        <v/>
      </c>
      <c r="AH36" s="490" t="str">
        <f>IF(N36="","",VLOOKUP(N36,非_単位補正換算!$B$3:$C$16,2,FALSE))</f>
        <v/>
      </c>
      <c r="AI36" s="490" t="str">
        <f t="shared" si="59"/>
        <v/>
      </c>
      <c r="AJ36" s="490" t="str">
        <f t="shared" si="60"/>
        <v/>
      </c>
      <c r="AK36" s="490">
        <f t="shared" si="61"/>
        <v>1</v>
      </c>
      <c r="AL36" s="490" t="str">
        <f t="shared" si="62"/>
        <v/>
      </c>
      <c r="AM36" s="490" t="b">
        <f t="shared" si="28"/>
        <v>1</v>
      </c>
      <c r="AN36" s="490" t="str">
        <f t="shared" si="63"/>
        <v/>
      </c>
      <c r="AO36" s="490" t="str">
        <f t="shared" si="64"/>
        <v/>
      </c>
      <c r="AP36" s="490" t="str">
        <f t="shared" si="13"/>
        <v/>
      </c>
      <c r="AQ36" s="490" t="str">
        <f t="shared" si="65"/>
        <v/>
      </c>
      <c r="AR36" s="490" t="str">
        <f t="shared" si="66"/>
        <v/>
      </c>
      <c r="AS36" s="490" t="str">
        <f>IF(AR36&lt;&gt;"義務","",SUMIFS(非_まとめ表行番号!$N$3:$N$20,非_まとめ表行番号!$J$3:$J$20,AN36,非_まとめ表行番号!$K$3:$K$20,AO36,非_まとめ表行番号!$L$3:$L$20,AP36,非_まとめ表行番号!$M$3:$M$20,AQ36))</f>
        <v/>
      </c>
      <c r="AT36" s="490" t="str">
        <f>IF(AR36&lt;&gt;"義務","",SUMIFS(非_まとめ表行番号!$O$3:$O$20,非_まとめ表行番号!$J$3:$J$20,AN36,非_まとめ表行番号!$K$3:$K$20,AO36,非_まとめ表行番号!$L$3:$L$20,AP36,非_まとめ表行番号!$M$3:$M$20,AQ36))</f>
        <v/>
      </c>
      <c r="AU36" s="490" t="str">
        <f t="shared" si="67"/>
        <v/>
      </c>
      <c r="AW36" s="490" t="str">
        <f>IF(AS36="","",VLOOKUP(AS36,非_まとめ表行番号!$U$3:$V$56,2,FALSE))</f>
        <v/>
      </c>
      <c r="AX36" s="490" t="str">
        <f>IF(D36="","",VLOOKUP(D36,非_燃料種類_選択リスト!$X$2:$Y$14,2,FALSE))</f>
        <v/>
      </c>
      <c r="AY36" s="490" t="str">
        <f>IF(E36="","",VLOOKUP(E36,非_燃料種類_選択リスト!$X$18:$Y$24,2,FALSE))</f>
        <v/>
      </c>
      <c r="AZ36" s="490" t="str">
        <f t="shared" si="68"/>
        <v/>
      </c>
      <c r="BA36" s="490" t="str">
        <f t="shared" si="69"/>
        <v/>
      </c>
      <c r="BB36" s="490" t="str">
        <f t="shared" si="70"/>
        <v/>
      </c>
      <c r="BC36" s="490" t="str">
        <f t="shared" si="71"/>
        <v/>
      </c>
      <c r="BD36" s="490" t="str">
        <f t="shared" si="72"/>
        <v/>
      </c>
      <c r="BE36" s="84">
        <v>1</v>
      </c>
    </row>
    <row r="37" spans="1:57" ht="18.75" customHeight="1">
      <c r="A37" s="582"/>
      <c r="B37" s="523"/>
      <c r="C37" s="400"/>
      <c r="D37" s="400"/>
      <c r="E37" s="407"/>
      <c r="F37" s="409"/>
      <c r="G37" s="401"/>
      <c r="H37" s="327" t="str">
        <f t="shared" si="81"/>
        <v/>
      </c>
      <c r="I37" s="400"/>
      <c r="J37" s="481" t="str">
        <f t="shared" si="54"/>
        <v/>
      </c>
      <c r="K37" s="401"/>
      <c r="L37" s="404"/>
      <c r="M37" s="401"/>
      <c r="N37" s="401"/>
      <c r="O37" s="479"/>
      <c r="P37" s="512"/>
      <c r="Q37" s="330" t="str">
        <f t="shared" si="74"/>
        <v/>
      </c>
      <c r="R37" s="337" t="str">
        <f t="shared" si="82"/>
        <v/>
      </c>
      <c r="S37" s="338" t="str">
        <f>IF(C37="","",VLOOKUP(C37,非_単位!$N$38:$O$53,2,FALSE))</f>
        <v/>
      </c>
      <c r="T37" s="331" t="str">
        <f t="shared" si="83"/>
        <v/>
      </c>
      <c r="U37" s="439" t="str">
        <f t="shared" si="84"/>
        <v/>
      </c>
      <c r="W37" s="490" t="str">
        <f t="shared" si="55"/>
        <v/>
      </c>
      <c r="X37" s="490" t="str">
        <f t="shared" si="85"/>
        <v/>
      </c>
      <c r="Y37" s="490" t="str">
        <f t="shared" si="56"/>
        <v/>
      </c>
      <c r="Z37" s="490" t="str">
        <f t="shared" si="57"/>
        <v/>
      </c>
      <c r="AA37" s="490"/>
      <c r="AB37" s="490" t="str">
        <f t="shared" si="79"/>
        <v/>
      </c>
      <c r="AC37" s="490" t="str">
        <f t="shared" si="58"/>
        <v/>
      </c>
      <c r="AD37" s="490" t="str">
        <f t="shared" si="86"/>
        <v/>
      </c>
      <c r="AE37" s="490"/>
      <c r="AF37" s="490" t="str">
        <f>IF(C37="","",IF(C37="電気_仮想電力購入契約","",VLOOKUP(C37,非_係数!$B$42:$D$55,2,FALSE)))</f>
        <v/>
      </c>
      <c r="AG37" s="490" t="str">
        <f>IF(W37="電気",非_電気事業者!$S$4*1000,IF(W37="熱",非_熱供給事業者!$T$4,""))</f>
        <v/>
      </c>
      <c r="AH37" s="490" t="str">
        <f>IF(N37="","",VLOOKUP(N37,非_単位補正換算!$B$3:$C$16,2,FALSE))</f>
        <v/>
      </c>
      <c r="AI37" s="490" t="str">
        <f t="shared" si="59"/>
        <v/>
      </c>
      <c r="AJ37" s="490" t="str">
        <f t="shared" si="60"/>
        <v/>
      </c>
      <c r="AK37" s="490">
        <f t="shared" si="61"/>
        <v>1</v>
      </c>
      <c r="AL37" s="490" t="str">
        <f t="shared" si="62"/>
        <v/>
      </c>
      <c r="AM37" s="490" t="b">
        <f t="shared" si="28"/>
        <v>1</v>
      </c>
      <c r="AN37" s="490" t="str">
        <f t="shared" si="63"/>
        <v/>
      </c>
      <c r="AO37" s="490" t="str">
        <f t="shared" si="64"/>
        <v/>
      </c>
      <c r="AP37" s="490" t="str">
        <f t="shared" si="13"/>
        <v/>
      </c>
      <c r="AQ37" s="490" t="str">
        <f t="shared" si="65"/>
        <v/>
      </c>
      <c r="AR37" s="490" t="str">
        <f t="shared" si="66"/>
        <v/>
      </c>
      <c r="AS37" s="490" t="str">
        <f>IF(AR37&lt;&gt;"義務","",SUMIFS(非_まとめ表行番号!$N$3:$N$20,非_まとめ表行番号!$J$3:$J$20,AN37,非_まとめ表行番号!$K$3:$K$20,AO37,非_まとめ表行番号!$L$3:$L$20,AP37,非_まとめ表行番号!$M$3:$M$20,AQ37))</f>
        <v/>
      </c>
      <c r="AT37" s="490" t="str">
        <f>IF(AR37&lt;&gt;"義務","",SUMIFS(非_まとめ表行番号!$O$3:$O$20,非_まとめ表行番号!$J$3:$J$20,AN37,非_まとめ表行番号!$K$3:$K$20,AO37,非_まとめ表行番号!$L$3:$L$20,AP37,非_まとめ表行番号!$M$3:$M$20,AQ37))</f>
        <v/>
      </c>
      <c r="AU37" s="490" t="str">
        <f t="shared" si="67"/>
        <v/>
      </c>
      <c r="AW37" s="490" t="str">
        <f>IF(AS37="","",VLOOKUP(AS37,非_まとめ表行番号!$U$3:$V$56,2,FALSE))</f>
        <v/>
      </c>
      <c r="AX37" s="490" t="str">
        <f>IF(D37="","",VLOOKUP(D37,非_燃料種類_選択リスト!$X$2:$Y$14,2,FALSE))</f>
        <v/>
      </c>
      <c r="AY37" s="490" t="str">
        <f>IF(E37="","",VLOOKUP(E37,非_燃料種類_選択リスト!$X$18:$Y$24,2,FALSE))</f>
        <v/>
      </c>
      <c r="AZ37" s="490" t="str">
        <f t="shared" si="68"/>
        <v/>
      </c>
      <c r="BA37" s="490" t="str">
        <f t="shared" si="69"/>
        <v/>
      </c>
      <c r="BB37" s="490" t="str">
        <f t="shared" si="70"/>
        <v/>
      </c>
      <c r="BC37" s="490" t="str">
        <f t="shared" si="71"/>
        <v/>
      </c>
      <c r="BD37" s="490" t="str">
        <f t="shared" si="72"/>
        <v/>
      </c>
      <c r="BE37" s="84">
        <v>1</v>
      </c>
    </row>
    <row r="38" spans="1:57" ht="18.75" customHeight="1">
      <c r="A38" s="582"/>
      <c r="B38" s="523"/>
      <c r="C38" s="400"/>
      <c r="D38" s="400"/>
      <c r="E38" s="407"/>
      <c r="F38" s="409"/>
      <c r="G38" s="401"/>
      <c r="H38" s="327" t="str">
        <f t="shared" si="81"/>
        <v/>
      </c>
      <c r="I38" s="400"/>
      <c r="J38" s="481" t="str">
        <f t="shared" si="54"/>
        <v/>
      </c>
      <c r="K38" s="401"/>
      <c r="L38" s="404"/>
      <c r="M38" s="401"/>
      <c r="N38" s="401"/>
      <c r="O38" s="479"/>
      <c r="P38" s="512"/>
      <c r="Q38" s="330" t="str">
        <f t="shared" si="74"/>
        <v/>
      </c>
      <c r="R38" s="337" t="str">
        <f t="shared" si="82"/>
        <v/>
      </c>
      <c r="S38" s="338" t="str">
        <f>IF(C38="","",VLOOKUP(C38,非_単位!$N$38:$O$53,2,FALSE))</f>
        <v/>
      </c>
      <c r="T38" s="331" t="str">
        <f t="shared" si="83"/>
        <v/>
      </c>
      <c r="U38" s="439" t="str">
        <f t="shared" si="84"/>
        <v/>
      </c>
      <c r="W38" s="490" t="str">
        <f t="shared" si="55"/>
        <v/>
      </c>
      <c r="X38" s="490" t="str">
        <f t="shared" si="85"/>
        <v/>
      </c>
      <c r="Y38" s="490" t="str">
        <f t="shared" si="56"/>
        <v/>
      </c>
      <c r="Z38" s="490" t="str">
        <f t="shared" si="57"/>
        <v/>
      </c>
      <c r="AA38" s="490"/>
      <c r="AB38" s="490" t="str">
        <f t="shared" si="79"/>
        <v/>
      </c>
      <c r="AC38" s="490" t="str">
        <f t="shared" si="58"/>
        <v/>
      </c>
      <c r="AD38" s="490" t="str">
        <f t="shared" si="86"/>
        <v/>
      </c>
      <c r="AE38" s="490"/>
      <c r="AF38" s="490" t="str">
        <f>IF(C38="","",IF(C38="電気_仮想電力購入契約","",VLOOKUP(C38,非_係数!$B$42:$D$55,2,FALSE)))</f>
        <v/>
      </c>
      <c r="AG38" s="490" t="str">
        <f>IF(W38="電気",非_電気事業者!$S$4*1000,IF(W38="熱",非_熱供給事業者!$T$4,""))</f>
        <v/>
      </c>
      <c r="AH38" s="490" t="str">
        <f>IF(N38="","",VLOOKUP(N38,非_単位補正換算!$B$3:$C$16,2,FALSE))</f>
        <v/>
      </c>
      <c r="AI38" s="490" t="str">
        <f t="shared" si="59"/>
        <v/>
      </c>
      <c r="AJ38" s="490" t="str">
        <f t="shared" si="60"/>
        <v/>
      </c>
      <c r="AK38" s="490">
        <f t="shared" si="61"/>
        <v>1</v>
      </c>
      <c r="AL38" s="490" t="str">
        <f t="shared" si="62"/>
        <v/>
      </c>
      <c r="AM38" s="490" t="b">
        <f t="shared" si="28"/>
        <v>1</v>
      </c>
      <c r="AN38" s="490" t="str">
        <f t="shared" si="63"/>
        <v/>
      </c>
      <c r="AO38" s="490" t="str">
        <f t="shared" si="64"/>
        <v/>
      </c>
      <c r="AP38" s="490" t="str">
        <f t="shared" si="13"/>
        <v/>
      </c>
      <c r="AQ38" s="490" t="str">
        <f t="shared" si="65"/>
        <v/>
      </c>
      <c r="AR38" s="490" t="str">
        <f t="shared" si="66"/>
        <v/>
      </c>
      <c r="AS38" s="490" t="str">
        <f>IF(AR38&lt;&gt;"義務","",SUMIFS(非_まとめ表行番号!$N$3:$N$20,非_まとめ表行番号!$J$3:$J$20,AN38,非_まとめ表行番号!$K$3:$K$20,AO38,非_まとめ表行番号!$L$3:$L$20,AP38,非_まとめ表行番号!$M$3:$M$20,AQ38))</f>
        <v/>
      </c>
      <c r="AT38" s="490" t="str">
        <f>IF(AR38&lt;&gt;"義務","",SUMIFS(非_まとめ表行番号!$O$3:$O$20,非_まとめ表行番号!$J$3:$J$20,AN38,非_まとめ表行番号!$K$3:$K$20,AO38,非_まとめ表行番号!$L$3:$L$20,AP38,非_まとめ表行番号!$M$3:$M$20,AQ38))</f>
        <v/>
      </c>
      <c r="AU38" s="490" t="str">
        <f t="shared" si="67"/>
        <v/>
      </c>
      <c r="AW38" s="490" t="str">
        <f>IF(AS38="","",VLOOKUP(AS38,非_まとめ表行番号!$U$3:$V$56,2,FALSE))</f>
        <v/>
      </c>
      <c r="AX38" s="490" t="str">
        <f>IF(D38="","",VLOOKUP(D38,非_燃料種類_選択リスト!$X$2:$Y$14,2,FALSE))</f>
        <v/>
      </c>
      <c r="AY38" s="490" t="str">
        <f>IF(E38="","",VLOOKUP(E38,非_燃料種類_選択リスト!$X$18:$Y$24,2,FALSE))</f>
        <v/>
      </c>
      <c r="AZ38" s="490" t="str">
        <f t="shared" si="68"/>
        <v/>
      </c>
      <c r="BA38" s="490" t="str">
        <f t="shared" si="69"/>
        <v/>
      </c>
      <c r="BB38" s="490" t="str">
        <f t="shared" si="70"/>
        <v/>
      </c>
      <c r="BC38" s="490" t="str">
        <f t="shared" si="71"/>
        <v/>
      </c>
      <c r="BD38" s="490" t="str">
        <f t="shared" si="72"/>
        <v/>
      </c>
      <c r="BE38" s="84">
        <v>1</v>
      </c>
    </row>
    <row r="39" spans="1:57" ht="18.75" customHeight="1">
      <c r="A39" s="582"/>
      <c r="B39" s="523"/>
      <c r="C39" s="400"/>
      <c r="D39" s="400"/>
      <c r="E39" s="407"/>
      <c r="F39" s="409"/>
      <c r="G39" s="401"/>
      <c r="H39" s="327" t="str">
        <f t="shared" si="81"/>
        <v/>
      </c>
      <c r="I39" s="400"/>
      <c r="J39" s="481" t="str">
        <f t="shared" si="54"/>
        <v/>
      </c>
      <c r="K39" s="401"/>
      <c r="L39" s="404"/>
      <c r="M39" s="401"/>
      <c r="N39" s="401"/>
      <c r="O39" s="479"/>
      <c r="P39" s="512"/>
      <c r="Q39" s="330" t="str">
        <f t="shared" si="74"/>
        <v/>
      </c>
      <c r="R39" s="337" t="str">
        <f t="shared" si="82"/>
        <v/>
      </c>
      <c r="S39" s="338" t="str">
        <f>IF(C39="","",VLOOKUP(C39,非_単位!$N$38:$O$53,2,FALSE))</f>
        <v/>
      </c>
      <c r="T39" s="331" t="str">
        <f t="shared" si="83"/>
        <v/>
      </c>
      <c r="U39" s="439" t="str">
        <f t="shared" si="84"/>
        <v/>
      </c>
      <c r="W39" s="490" t="str">
        <f t="shared" si="55"/>
        <v/>
      </c>
      <c r="X39" s="490" t="str">
        <f t="shared" si="85"/>
        <v/>
      </c>
      <c r="Y39" s="490" t="str">
        <f t="shared" si="56"/>
        <v/>
      </c>
      <c r="Z39" s="490" t="str">
        <f t="shared" si="57"/>
        <v/>
      </c>
      <c r="AA39" s="490"/>
      <c r="AB39" s="490" t="str">
        <f t="shared" si="79"/>
        <v/>
      </c>
      <c r="AC39" s="490" t="str">
        <f t="shared" si="58"/>
        <v/>
      </c>
      <c r="AD39" s="490" t="str">
        <f t="shared" si="86"/>
        <v/>
      </c>
      <c r="AE39" s="490"/>
      <c r="AF39" s="490" t="str">
        <f>IF(C39="","",IF(C39="電気_仮想電力購入契約","",VLOOKUP(C39,非_係数!$B$42:$D$55,2,FALSE)))</f>
        <v/>
      </c>
      <c r="AG39" s="490" t="str">
        <f>IF(W39="電気",非_電気事業者!$S$4*1000,IF(W39="熱",非_熱供給事業者!$T$4,""))</f>
        <v/>
      </c>
      <c r="AH39" s="490" t="str">
        <f>IF(N39="","",VLOOKUP(N39,非_単位補正換算!$B$3:$C$16,2,FALSE))</f>
        <v/>
      </c>
      <c r="AI39" s="490" t="str">
        <f t="shared" si="59"/>
        <v/>
      </c>
      <c r="AJ39" s="490" t="str">
        <f t="shared" si="60"/>
        <v/>
      </c>
      <c r="AK39" s="490">
        <f t="shared" si="61"/>
        <v>1</v>
      </c>
      <c r="AL39" s="490" t="str">
        <f t="shared" si="62"/>
        <v/>
      </c>
      <c r="AM39" s="490" t="b">
        <f t="shared" si="28"/>
        <v>1</v>
      </c>
      <c r="AN39" s="490" t="str">
        <f t="shared" si="63"/>
        <v/>
      </c>
      <c r="AO39" s="490" t="str">
        <f t="shared" si="64"/>
        <v/>
      </c>
      <c r="AP39" s="490" t="str">
        <f t="shared" ref="AP39:AP64" si="87">AD39&amp;IF(C39="電気_仮想電力購入契約","_仮想電力購入契約","")</f>
        <v/>
      </c>
      <c r="AQ39" s="490" t="str">
        <f t="shared" si="65"/>
        <v/>
      </c>
      <c r="AR39" s="490" t="str">
        <f t="shared" si="66"/>
        <v/>
      </c>
      <c r="AS39" s="490" t="str">
        <f>IF(AR39&lt;&gt;"義務","",SUMIFS(非_まとめ表行番号!$N$3:$N$20,非_まとめ表行番号!$J$3:$J$20,AN39,非_まとめ表行番号!$K$3:$K$20,AO39,非_まとめ表行番号!$L$3:$L$20,AP39,非_まとめ表行番号!$M$3:$M$20,AQ39))</f>
        <v/>
      </c>
      <c r="AT39" s="490" t="str">
        <f>IF(AR39&lt;&gt;"義務","",SUMIFS(非_まとめ表行番号!$O$3:$O$20,非_まとめ表行番号!$J$3:$J$20,AN39,非_まとめ表行番号!$K$3:$K$20,AO39,非_まとめ表行番号!$L$3:$L$20,AP39,非_まとめ表行番号!$M$3:$M$20,AQ39))</f>
        <v/>
      </c>
      <c r="AU39" s="490" t="str">
        <f t="shared" si="67"/>
        <v/>
      </c>
      <c r="AW39" s="490" t="str">
        <f>IF(AS39="","",VLOOKUP(AS39,非_まとめ表行番号!$U$3:$V$56,2,FALSE))</f>
        <v/>
      </c>
      <c r="AX39" s="490" t="str">
        <f>IF(D39="","",VLOOKUP(D39,非_燃料種類_選択リスト!$X$2:$Y$14,2,FALSE))</f>
        <v/>
      </c>
      <c r="AY39" s="490" t="str">
        <f>IF(E39="","",VLOOKUP(E39,非_燃料種類_選択リスト!$X$18:$Y$24,2,FALSE))</f>
        <v/>
      </c>
      <c r="AZ39" s="490" t="str">
        <f t="shared" si="68"/>
        <v/>
      </c>
      <c r="BA39" s="490" t="str">
        <f t="shared" si="69"/>
        <v/>
      </c>
      <c r="BB39" s="490" t="str">
        <f t="shared" si="70"/>
        <v/>
      </c>
      <c r="BC39" s="490" t="str">
        <f t="shared" si="71"/>
        <v/>
      </c>
      <c r="BD39" s="490" t="str">
        <f t="shared" si="72"/>
        <v/>
      </c>
      <c r="BE39" s="84">
        <v>1</v>
      </c>
    </row>
    <row r="40" spans="1:57" ht="18.75" customHeight="1" thickBot="1">
      <c r="A40" s="582"/>
      <c r="B40" s="610"/>
      <c r="C40" s="611"/>
      <c r="D40" s="611"/>
      <c r="E40" s="407"/>
      <c r="F40" s="409"/>
      <c r="G40" s="618"/>
      <c r="H40" s="680" t="str">
        <f t="shared" si="73"/>
        <v/>
      </c>
      <c r="I40" s="611"/>
      <c r="J40" s="706" t="str">
        <f t="shared" si="54"/>
        <v/>
      </c>
      <c r="K40" s="618"/>
      <c r="L40" s="404"/>
      <c r="M40" s="401"/>
      <c r="N40" s="618"/>
      <c r="O40" s="480"/>
      <c r="P40" s="512"/>
      <c r="Q40" s="685" t="str">
        <f t="shared" si="74"/>
        <v/>
      </c>
      <c r="R40" s="686" t="str">
        <f t="shared" si="75"/>
        <v/>
      </c>
      <c r="S40" s="687" t="str">
        <f>IF(C40="","",VLOOKUP(C40,非_単位!$N$38:$O$53,2,FALSE))</f>
        <v/>
      </c>
      <c r="T40" s="688" t="str">
        <f t="shared" si="76"/>
        <v/>
      </c>
      <c r="U40" s="689" t="str">
        <f t="shared" si="77"/>
        <v/>
      </c>
      <c r="W40" s="577" t="str">
        <f t="shared" si="55"/>
        <v/>
      </c>
      <c r="X40" s="577" t="str">
        <f t="shared" si="78"/>
        <v/>
      </c>
      <c r="Y40" s="577" t="str">
        <f t="shared" si="56"/>
        <v/>
      </c>
      <c r="Z40" s="577" t="str">
        <f t="shared" si="57"/>
        <v/>
      </c>
      <c r="AA40" s="577"/>
      <c r="AB40" s="577" t="str">
        <f t="shared" si="79"/>
        <v/>
      </c>
      <c r="AC40" s="577" t="str">
        <f t="shared" si="58"/>
        <v/>
      </c>
      <c r="AD40" s="577" t="str">
        <f t="shared" si="80"/>
        <v/>
      </c>
      <c r="AE40" s="577"/>
      <c r="AF40" s="577" t="str">
        <f>IF(C40="","",IF(C40="電気_仮想電力購入契約","",VLOOKUP(C40,非_係数!$B$42:$D$55,2,FALSE)))</f>
        <v/>
      </c>
      <c r="AG40" s="577" t="str">
        <f>IF(W40="電気",非_電気事業者!$S$4*1000,IF(W40="熱",非_熱供給事業者!$T$4,""))</f>
        <v/>
      </c>
      <c r="AH40" s="577" t="str">
        <f>IF(N40="","",VLOOKUP(N40,非_単位補正換算!$B$3:$C$16,2,FALSE))</f>
        <v/>
      </c>
      <c r="AI40" s="577" t="str">
        <f t="shared" si="59"/>
        <v/>
      </c>
      <c r="AJ40" s="577" t="str">
        <f t="shared" si="60"/>
        <v/>
      </c>
      <c r="AK40" s="577">
        <f t="shared" si="61"/>
        <v>1</v>
      </c>
      <c r="AL40" s="577" t="str">
        <f t="shared" si="62"/>
        <v/>
      </c>
      <c r="AM40" s="577" t="b">
        <f t="shared" si="28"/>
        <v>1</v>
      </c>
      <c r="AN40" s="577" t="str">
        <f t="shared" si="63"/>
        <v/>
      </c>
      <c r="AO40" s="577" t="str">
        <f t="shared" si="64"/>
        <v/>
      </c>
      <c r="AP40" s="577" t="str">
        <f t="shared" si="87"/>
        <v/>
      </c>
      <c r="AQ40" s="577" t="str">
        <f t="shared" si="65"/>
        <v/>
      </c>
      <c r="AR40" s="577" t="str">
        <f t="shared" si="66"/>
        <v/>
      </c>
      <c r="AS40" s="577" t="str">
        <f>IF(AR40&lt;&gt;"義務","",SUMIFS(非_まとめ表行番号!$N$3:$N$20,非_まとめ表行番号!$J$3:$J$20,AN40,非_まとめ表行番号!$K$3:$K$20,AO40,非_まとめ表行番号!$L$3:$L$20,AP40,非_まとめ表行番号!$M$3:$M$20,AQ40))</f>
        <v/>
      </c>
      <c r="AT40" s="577" t="str">
        <f>IF(AR40&lt;&gt;"義務","",SUMIFS(非_まとめ表行番号!$O$3:$O$20,非_まとめ表行番号!$J$3:$J$20,AN40,非_まとめ表行番号!$K$3:$K$20,AO40,非_まとめ表行番号!$L$3:$L$20,AP40,非_まとめ表行番号!$M$3:$M$20,AQ40))</f>
        <v/>
      </c>
      <c r="AU40" s="577" t="str">
        <f t="shared" si="67"/>
        <v/>
      </c>
      <c r="AW40" s="577" t="str">
        <f>IF(AS40="","",VLOOKUP(AS40,非_まとめ表行番号!$U$3:$V$56,2,FALSE))</f>
        <v/>
      </c>
      <c r="AX40" s="577" t="str">
        <f>IF(D40="","",VLOOKUP(D40,非_燃料種類_選択リスト!$X$2:$Y$14,2,FALSE))</f>
        <v/>
      </c>
      <c r="AY40" s="577" t="str">
        <f>IF(E40="","",VLOOKUP(E40,非_燃料種類_選択リスト!$X$18:$Y$24,2,FALSE))</f>
        <v/>
      </c>
      <c r="AZ40" s="577" t="str">
        <f t="shared" si="68"/>
        <v/>
      </c>
      <c r="BA40" s="577" t="str">
        <f t="shared" si="69"/>
        <v/>
      </c>
      <c r="BB40" s="577" t="str">
        <f t="shared" si="70"/>
        <v/>
      </c>
      <c r="BC40" s="577" t="str">
        <f t="shared" si="71"/>
        <v/>
      </c>
      <c r="BD40" s="577" t="str">
        <f t="shared" si="72"/>
        <v/>
      </c>
      <c r="BE40" s="84">
        <v>1</v>
      </c>
    </row>
    <row r="41" spans="1:57" ht="18.75" customHeight="1" thickTop="1">
      <c r="A41" s="583" t="s">
        <v>2053</v>
      </c>
      <c r="B41" s="612"/>
      <c r="C41" s="613"/>
      <c r="D41" s="613"/>
      <c r="E41" s="407"/>
      <c r="F41" s="409"/>
      <c r="G41" s="619"/>
      <c r="H41" s="681" t="str">
        <f t="shared" si="73"/>
        <v/>
      </c>
      <c r="I41" s="613"/>
      <c r="J41" s="700" t="str">
        <f t="shared" si="54"/>
        <v/>
      </c>
      <c r="K41" s="619"/>
      <c r="L41" s="404"/>
      <c r="M41" s="401"/>
      <c r="N41" s="619"/>
      <c r="O41" s="683"/>
      <c r="P41" s="512"/>
      <c r="Q41" s="690" t="str">
        <f t="shared" si="74"/>
        <v/>
      </c>
      <c r="R41" s="691" t="str">
        <f t="shared" si="75"/>
        <v/>
      </c>
      <c r="S41" s="692" t="str">
        <f>IF(C41="","",VLOOKUP(C41,非_単位!$N$38:$O$53,2,FALSE))</f>
        <v/>
      </c>
      <c r="T41" s="690" t="str">
        <f t="shared" si="76"/>
        <v/>
      </c>
      <c r="U41" s="650" t="str">
        <f t="shared" si="77"/>
        <v/>
      </c>
      <c r="W41" s="662" t="str">
        <f t="shared" si="55"/>
        <v/>
      </c>
      <c r="X41" s="662" t="str">
        <f t="shared" si="78"/>
        <v/>
      </c>
      <c r="Y41" s="662" t="str">
        <f t="shared" si="56"/>
        <v/>
      </c>
      <c r="Z41" s="662" t="str">
        <f t="shared" si="57"/>
        <v/>
      </c>
      <c r="AA41" s="662"/>
      <c r="AB41" s="662" t="str">
        <f t="shared" si="79"/>
        <v/>
      </c>
      <c r="AC41" s="662" t="str">
        <f t="shared" si="58"/>
        <v/>
      </c>
      <c r="AD41" s="662" t="str">
        <f t="shared" si="80"/>
        <v/>
      </c>
      <c r="AE41" s="662"/>
      <c r="AF41" s="662" t="str">
        <f>IF(C41="","",IF(C41="電気_仮想電力購入契約","",VLOOKUP(C41,非_係数!$B$42:$D$55,2,FALSE)))</f>
        <v/>
      </c>
      <c r="AG41" s="662" t="str">
        <f>IF(W41="電気",非_電気事業者!$S$4*1000,IF(W41="熱",非_熱供給事業者!$T$4,""))</f>
        <v/>
      </c>
      <c r="AH41" s="662" t="str">
        <f>IF(N41="","",VLOOKUP(N41,非_単位補正換算!$B$3:$C$16,2,FALSE))</f>
        <v/>
      </c>
      <c r="AI41" s="662" t="str">
        <f t="shared" si="59"/>
        <v/>
      </c>
      <c r="AJ41" s="662" t="str">
        <f t="shared" si="60"/>
        <v/>
      </c>
      <c r="AK41" s="662">
        <f t="shared" si="61"/>
        <v>1</v>
      </c>
      <c r="AL41" s="662" t="str">
        <f t="shared" si="62"/>
        <v/>
      </c>
      <c r="AM41" s="662" t="b">
        <f t="shared" si="28"/>
        <v>1</v>
      </c>
      <c r="AN41" s="662" t="str">
        <f t="shared" si="63"/>
        <v/>
      </c>
      <c r="AO41" s="662" t="str">
        <f t="shared" si="64"/>
        <v/>
      </c>
      <c r="AP41" s="662" t="str">
        <f t="shared" si="87"/>
        <v/>
      </c>
      <c r="AQ41" s="662" t="str">
        <f t="shared" si="65"/>
        <v/>
      </c>
      <c r="AR41" s="662" t="str">
        <f t="shared" si="66"/>
        <v/>
      </c>
      <c r="AS41" s="662" t="str">
        <f>IF(AR41&lt;&gt;"義務","",SUMIFS(非_まとめ表行番号!$N$3:$N$20,非_まとめ表行番号!$J$3:$J$20,AN41,非_まとめ表行番号!$K$3:$K$20,AO41,非_まとめ表行番号!$L$3:$L$20,AP41,非_まとめ表行番号!$M$3:$M$20,AQ41))</f>
        <v/>
      </c>
      <c r="AT41" s="662" t="str">
        <f>IF(AR41&lt;&gt;"義務","",SUMIFS(非_まとめ表行番号!$O$3:$O$20,非_まとめ表行番号!$J$3:$J$20,AN41,非_まとめ表行番号!$K$3:$K$20,AO41,非_まとめ表行番号!$L$3:$L$20,AP41,非_まとめ表行番号!$M$3:$M$20,AQ41))</f>
        <v/>
      </c>
      <c r="AU41" s="662" t="str">
        <f t="shared" si="67"/>
        <v/>
      </c>
      <c r="AW41" s="662" t="str">
        <f>IF(AS41="","",VLOOKUP(AS41,非_まとめ表行番号!$U$3:$V$56,2,FALSE))</f>
        <v/>
      </c>
      <c r="AX41" s="662" t="str">
        <f>IF(D41="","",VLOOKUP(D41,非_燃料種類_選択リスト!$X$2:$Y$14,2,FALSE))</f>
        <v/>
      </c>
      <c r="AY41" s="662" t="str">
        <f>IF(E41="","",VLOOKUP(E41,非_燃料種類_選択リスト!$X$18:$Y$24,2,FALSE))</f>
        <v/>
      </c>
      <c r="AZ41" s="662" t="str">
        <f t="shared" si="68"/>
        <v/>
      </c>
      <c r="BA41" s="662" t="str">
        <f t="shared" si="69"/>
        <v/>
      </c>
      <c r="BB41" s="662" t="str">
        <f t="shared" si="70"/>
        <v/>
      </c>
      <c r="BC41" s="662" t="str">
        <f t="shared" si="71"/>
        <v/>
      </c>
      <c r="BD41" s="662" t="str">
        <f t="shared" si="72"/>
        <v/>
      </c>
      <c r="BE41" s="84">
        <v>2</v>
      </c>
    </row>
    <row r="42" spans="1:57" ht="18.75" customHeight="1">
      <c r="A42" s="584"/>
      <c r="B42" s="614"/>
      <c r="C42" s="615"/>
      <c r="D42" s="615"/>
      <c r="E42" s="407"/>
      <c r="F42" s="409"/>
      <c r="G42" s="620"/>
      <c r="H42" s="327" t="str">
        <f t="shared" ref="H42:H46" si="88">AF42</f>
        <v/>
      </c>
      <c r="I42" s="615"/>
      <c r="J42" s="481" t="str">
        <f t="shared" si="54"/>
        <v/>
      </c>
      <c r="K42" s="620"/>
      <c r="L42" s="404"/>
      <c r="M42" s="401"/>
      <c r="N42" s="620"/>
      <c r="O42" s="479"/>
      <c r="P42" s="512"/>
      <c r="Q42" s="331" t="str">
        <f t="shared" si="74"/>
        <v/>
      </c>
      <c r="R42" s="693" t="str">
        <f t="shared" ref="R42:R46" si="89">AI42</f>
        <v/>
      </c>
      <c r="S42" s="694" t="str">
        <f>IF(C42="","",VLOOKUP(C42,非_単位!$N$38:$O$53,2,FALSE))</f>
        <v/>
      </c>
      <c r="T42" s="331" t="str">
        <f t="shared" ref="T42:T46" si="90">AJ42</f>
        <v/>
      </c>
      <c r="U42" s="453" t="str">
        <f t="shared" ref="U42:U46" si="91">AL42</f>
        <v/>
      </c>
      <c r="W42" s="490" t="str">
        <f t="shared" si="55"/>
        <v/>
      </c>
      <c r="X42" s="490" t="str">
        <f t="shared" ref="X42:X46" si="92">IF(W42="電気","再エネ_事業所外_電気_種類",IF(W42="熱","再エネ_事業所外_熱_種類",""))</f>
        <v/>
      </c>
      <c r="Y42" s="490" t="str">
        <f t="shared" si="56"/>
        <v/>
      </c>
      <c r="Z42" s="490" t="str">
        <f t="shared" si="57"/>
        <v/>
      </c>
      <c r="AA42" s="490"/>
      <c r="AB42" s="490" t="str">
        <f t="shared" si="79"/>
        <v/>
      </c>
      <c r="AC42" s="490" t="str">
        <f t="shared" si="58"/>
        <v/>
      </c>
      <c r="AD42" s="490" t="str">
        <f t="shared" ref="AD42:AD46" si="93">IF(W42="","","自家消費以外")</f>
        <v/>
      </c>
      <c r="AE42" s="490"/>
      <c r="AF42" s="490" t="str">
        <f>IF(C42="","",IF(C42="電気_仮想電力購入契約","",VLOOKUP(C42,非_係数!$B$42:$D$55,2,FALSE)))</f>
        <v/>
      </c>
      <c r="AG42" s="490" t="str">
        <f>IF(W42="電気",非_電気事業者!$S$4*1000,IF(W42="熱",非_熱供給事業者!$T$4,""))</f>
        <v/>
      </c>
      <c r="AH42" s="490" t="str">
        <f>IF(N42="","",VLOOKUP(N42,非_単位補正換算!$B$3:$C$16,2,FALSE))</f>
        <v/>
      </c>
      <c r="AI42" s="490" t="str">
        <f t="shared" si="59"/>
        <v/>
      </c>
      <c r="AJ42" s="490" t="str">
        <f t="shared" si="60"/>
        <v/>
      </c>
      <c r="AK42" s="490">
        <f t="shared" si="61"/>
        <v>1</v>
      </c>
      <c r="AL42" s="490" t="str">
        <f t="shared" si="62"/>
        <v/>
      </c>
      <c r="AM42" s="490" t="b">
        <f t="shared" si="28"/>
        <v>1</v>
      </c>
      <c r="AN42" s="490" t="str">
        <f t="shared" si="63"/>
        <v/>
      </c>
      <c r="AO42" s="490" t="str">
        <f t="shared" si="64"/>
        <v/>
      </c>
      <c r="AP42" s="490" t="str">
        <f t="shared" si="87"/>
        <v/>
      </c>
      <c r="AQ42" s="490" t="str">
        <f t="shared" si="65"/>
        <v/>
      </c>
      <c r="AR42" s="490" t="str">
        <f t="shared" si="66"/>
        <v/>
      </c>
      <c r="AS42" s="490" t="str">
        <f>IF(AR42&lt;&gt;"義務","",SUMIFS(非_まとめ表行番号!$N$3:$N$20,非_まとめ表行番号!$J$3:$J$20,AN42,非_まとめ表行番号!$K$3:$K$20,AO42,非_まとめ表行番号!$L$3:$L$20,AP42,非_まとめ表行番号!$M$3:$M$20,AQ42))</f>
        <v/>
      </c>
      <c r="AT42" s="490" t="str">
        <f>IF(AR42&lt;&gt;"義務","",SUMIFS(非_まとめ表行番号!$O$3:$O$20,非_まとめ表行番号!$J$3:$J$20,AN42,非_まとめ表行番号!$K$3:$K$20,AO42,非_まとめ表行番号!$L$3:$L$20,AP42,非_まとめ表行番号!$M$3:$M$20,AQ42))</f>
        <v/>
      </c>
      <c r="AU42" s="490" t="str">
        <f t="shared" si="67"/>
        <v/>
      </c>
      <c r="AW42" s="490" t="str">
        <f>IF(AS42="","",VLOOKUP(AS42,非_まとめ表行番号!$U$3:$V$56,2,FALSE))</f>
        <v/>
      </c>
      <c r="AX42" s="490" t="str">
        <f>IF(D42="","",VLOOKUP(D42,非_燃料種類_選択リスト!$X$2:$Y$14,2,FALSE))</f>
        <v/>
      </c>
      <c r="AY42" s="490" t="str">
        <f>IF(E42="","",VLOOKUP(E42,非_燃料種類_選択リスト!$X$18:$Y$24,2,FALSE))</f>
        <v/>
      </c>
      <c r="AZ42" s="490" t="str">
        <f t="shared" si="68"/>
        <v/>
      </c>
      <c r="BA42" s="490" t="str">
        <f t="shared" si="69"/>
        <v/>
      </c>
      <c r="BB42" s="490" t="str">
        <f t="shared" si="70"/>
        <v/>
      </c>
      <c r="BC42" s="490" t="str">
        <f t="shared" si="71"/>
        <v/>
      </c>
      <c r="BD42" s="490" t="str">
        <f t="shared" si="72"/>
        <v/>
      </c>
      <c r="BE42" s="84">
        <v>2</v>
      </c>
    </row>
    <row r="43" spans="1:57" ht="18.75" customHeight="1">
      <c r="A43" s="584"/>
      <c r="B43" s="614"/>
      <c r="C43" s="615"/>
      <c r="D43" s="615"/>
      <c r="E43" s="407"/>
      <c r="F43" s="409"/>
      <c r="G43" s="620"/>
      <c r="H43" s="327" t="str">
        <f t="shared" si="88"/>
        <v/>
      </c>
      <c r="I43" s="615"/>
      <c r="J43" s="481" t="str">
        <f t="shared" si="54"/>
        <v/>
      </c>
      <c r="K43" s="620"/>
      <c r="L43" s="404"/>
      <c r="M43" s="401"/>
      <c r="N43" s="620"/>
      <c r="O43" s="479"/>
      <c r="P43" s="512"/>
      <c r="Q43" s="331" t="str">
        <f t="shared" si="74"/>
        <v/>
      </c>
      <c r="R43" s="693" t="str">
        <f t="shared" si="89"/>
        <v/>
      </c>
      <c r="S43" s="694" t="str">
        <f>IF(C43="","",VLOOKUP(C43,非_単位!$N$38:$O$53,2,FALSE))</f>
        <v/>
      </c>
      <c r="T43" s="331" t="str">
        <f t="shared" si="90"/>
        <v/>
      </c>
      <c r="U43" s="453" t="str">
        <f t="shared" si="91"/>
        <v/>
      </c>
      <c r="W43" s="490" t="str">
        <f t="shared" si="55"/>
        <v/>
      </c>
      <c r="X43" s="490" t="str">
        <f t="shared" si="92"/>
        <v/>
      </c>
      <c r="Y43" s="490" t="str">
        <f t="shared" si="56"/>
        <v/>
      </c>
      <c r="Z43" s="490" t="str">
        <f t="shared" si="57"/>
        <v/>
      </c>
      <c r="AA43" s="490"/>
      <c r="AB43" s="490" t="str">
        <f t="shared" si="79"/>
        <v/>
      </c>
      <c r="AC43" s="490" t="str">
        <f t="shared" si="58"/>
        <v/>
      </c>
      <c r="AD43" s="490" t="str">
        <f t="shared" si="93"/>
        <v/>
      </c>
      <c r="AE43" s="490"/>
      <c r="AF43" s="490" t="str">
        <f>IF(C43="","",IF(C43="電気_仮想電力購入契約","",VLOOKUP(C43,非_係数!$B$42:$D$55,2,FALSE)))</f>
        <v/>
      </c>
      <c r="AG43" s="490" t="str">
        <f>IF(W43="電気",非_電気事業者!$S$4*1000,IF(W43="熱",非_熱供給事業者!$T$4,""))</f>
        <v/>
      </c>
      <c r="AH43" s="490" t="str">
        <f>IF(N43="","",VLOOKUP(N43,非_単位補正換算!$B$3:$C$16,2,FALSE))</f>
        <v/>
      </c>
      <c r="AI43" s="490" t="str">
        <f t="shared" si="59"/>
        <v/>
      </c>
      <c r="AJ43" s="490" t="str">
        <f t="shared" si="60"/>
        <v/>
      </c>
      <c r="AK43" s="490">
        <f t="shared" si="61"/>
        <v>1</v>
      </c>
      <c r="AL43" s="490" t="str">
        <f t="shared" si="62"/>
        <v/>
      </c>
      <c r="AM43" s="490" t="b">
        <f t="shared" si="28"/>
        <v>1</v>
      </c>
      <c r="AN43" s="490" t="str">
        <f t="shared" si="63"/>
        <v/>
      </c>
      <c r="AO43" s="490" t="str">
        <f t="shared" si="64"/>
        <v/>
      </c>
      <c r="AP43" s="490" t="str">
        <f t="shared" si="87"/>
        <v/>
      </c>
      <c r="AQ43" s="490" t="str">
        <f t="shared" si="65"/>
        <v/>
      </c>
      <c r="AR43" s="490" t="str">
        <f t="shared" si="66"/>
        <v/>
      </c>
      <c r="AS43" s="490" t="str">
        <f>IF(AR43&lt;&gt;"義務","",SUMIFS(非_まとめ表行番号!$N$3:$N$20,非_まとめ表行番号!$J$3:$J$20,AN43,非_まとめ表行番号!$K$3:$K$20,AO43,非_まとめ表行番号!$L$3:$L$20,AP43,非_まとめ表行番号!$M$3:$M$20,AQ43))</f>
        <v/>
      </c>
      <c r="AT43" s="490" t="str">
        <f>IF(AR43&lt;&gt;"義務","",SUMIFS(非_まとめ表行番号!$O$3:$O$20,非_まとめ表行番号!$J$3:$J$20,AN43,非_まとめ表行番号!$K$3:$K$20,AO43,非_まとめ表行番号!$L$3:$L$20,AP43,非_まとめ表行番号!$M$3:$M$20,AQ43))</f>
        <v/>
      </c>
      <c r="AU43" s="490" t="str">
        <f t="shared" si="67"/>
        <v/>
      </c>
      <c r="AW43" s="490" t="str">
        <f>IF(AS43="","",VLOOKUP(AS43,非_まとめ表行番号!$U$3:$V$56,2,FALSE))</f>
        <v/>
      </c>
      <c r="AX43" s="490" t="str">
        <f>IF(D43="","",VLOOKUP(D43,非_燃料種類_選択リスト!$X$2:$Y$14,2,FALSE))</f>
        <v/>
      </c>
      <c r="AY43" s="490" t="str">
        <f>IF(E43="","",VLOOKUP(E43,非_燃料種類_選択リスト!$X$18:$Y$24,2,FALSE))</f>
        <v/>
      </c>
      <c r="AZ43" s="490" t="str">
        <f t="shared" si="68"/>
        <v/>
      </c>
      <c r="BA43" s="490" t="str">
        <f t="shared" si="69"/>
        <v/>
      </c>
      <c r="BB43" s="490" t="str">
        <f t="shared" si="70"/>
        <v/>
      </c>
      <c r="BC43" s="490" t="str">
        <f t="shared" si="71"/>
        <v/>
      </c>
      <c r="BD43" s="490" t="str">
        <f t="shared" si="72"/>
        <v/>
      </c>
      <c r="BE43" s="84">
        <v>2</v>
      </c>
    </row>
    <row r="44" spans="1:57" ht="18.75" customHeight="1">
      <c r="A44" s="584"/>
      <c r="B44" s="614"/>
      <c r="C44" s="615"/>
      <c r="D44" s="615"/>
      <c r="E44" s="407"/>
      <c r="F44" s="409"/>
      <c r="G44" s="620"/>
      <c r="H44" s="327" t="str">
        <f t="shared" si="88"/>
        <v/>
      </c>
      <c r="I44" s="615"/>
      <c r="J44" s="481" t="str">
        <f t="shared" si="54"/>
        <v/>
      </c>
      <c r="K44" s="620"/>
      <c r="L44" s="404"/>
      <c r="M44" s="401"/>
      <c r="N44" s="620"/>
      <c r="O44" s="479"/>
      <c r="P44" s="512"/>
      <c r="Q44" s="331" t="str">
        <f t="shared" si="74"/>
        <v/>
      </c>
      <c r="R44" s="693" t="str">
        <f t="shared" si="89"/>
        <v/>
      </c>
      <c r="S44" s="694" t="str">
        <f>IF(C44="","",VLOOKUP(C44,非_単位!$N$38:$O$53,2,FALSE))</f>
        <v/>
      </c>
      <c r="T44" s="331" t="str">
        <f t="shared" si="90"/>
        <v/>
      </c>
      <c r="U44" s="453" t="str">
        <f t="shared" si="91"/>
        <v/>
      </c>
      <c r="W44" s="490" t="str">
        <f t="shared" si="55"/>
        <v/>
      </c>
      <c r="X44" s="490" t="str">
        <f t="shared" si="92"/>
        <v/>
      </c>
      <c r="Y44" s="490" t="str">
        <f t="shared" si="56"/>
        <v/>
      </c>
      <c r="Z44" s="490" t="str">
        <f t="shared" si="57"/>
        <v/>
      </c>
      <c r="AA44" s="490"/>
      <c r="AB44" s="490" t="str">
        <f t="shared" si="79"/>
        <v/>
      </c>
      <c r="AC44" s="490" t="str">
        <f t="shared" si="58"/>
        <v/>
      </c>
      <c r="AD44" s="490" t="str">
        <f t="shared" si="93"/>
        <v/>
      </c>
      <c r="AE44" s="490"/>
      <c r="AF44" s="490" t="str">
        <f>IF(C44="","",IF(C44="電気_仮想電力購入契約","",VLOOKUP(C44,非_係数!$B$42:$D$55,2,FALSE)))</f>
        <v/>
      </c>
      <c r="AG44" s="490" t="str">
        <f>IF(W44="電気",非_電気事業者!$S$4*1000,IF(W44="熱",非_熱供給事業者!$T$4,""))</f>
        <v/>
      </c>
      <c r="AH44" s="490" t="str">
        <f>IF(N44="","",VLOOKUP(N44,非_単位補正換算!$B$3:$C$16,2,FALSE))</f>
        <v/>
      </c>
      <c r="AI44" s="490" t="str">
        <f t="shared" si="59"/>
        <v/>
      </c>
      <c r="AJ44" s="490" t="str">
        <f t="shared" si="60"/>
        <v/>
      </c>
      <c r="AK44" s="490">
        <f t="shared" si="61"/>
        <v>1</v>
      </c>
      <c r="AL44" s="490" t="str">
        <f t="shared" si="62"/>
        <v/>
      </c>
      <c r="AM44" s="490" t="b">
        <f t="shared" si="28"/>
        <v>1</v>
      </c>
      <c r="AN44" s="490" t="str">
        <f t="shared" si="63"/>
        <v/>
      </c>
      <c r="AO44" s="490" t="str">
        <f t="shared" si="64"/>
        <v/>
      </c>
      <c r="AP44" s="490" t="str">
        <f t="shared" si="87"/>
        <v/>
      </c>
      <c r="AQ44" s="490" t="str">
        <f t="shared" si="65"/>
        <v/>
      </c>
      <c r="AR44" s="490" t="str">
        <f t="shared" si="66"/>
        <v/>
      </c>
      <c r="AS44" s="490" t="str">
        <f>IF(AR44&lt;&gt;"義務","",SUMIFS(非_まとめ表行番号!$N$3:$N$20,非_まとめ表行番号!$J$3:$J$20,AN44,非_まとめ表行番号!$K$3:$K$20,AO44,非_まとめ表行番号!$L$3:$L$20,AP44,非_まとめ表行番号!$M$3:$M$20,AQ44))</f>
        <v/>
      </c>
      <c r="AT44" s="490" t="str">
        <f>IF(AR44&lt;&gt;"義務","",SUMIFS(非_まとめ表行番号!$O$3:$O$20,非_まとめ表行番号!$J$3:$J$20,AN44,非_まとめ表行番号!$K$3:$K$20,AO44,非_まとめ表行番号!$L$3:$L$20,AP44,非_まとめ表行番号!$M$3:$M$20,AQ44))</f>
        <v/>
      </c>
      <c r="AU44" s="490" t="str">
        <f t="shared" si="67"/>
        <v/>
      </c>
      <c r="AW44" s="490" t="str">
        <f>IF(AS44="","",VLOOKUP(AS44,非_まとめ表行番号!$U$3:$V$56,2,FALSE))</f>
        <v/>
      </c>
      <c r="AX44" s="490" t="str">
        <f>IF(D44="","",VLOOKUP(D44,非_燃料種類_選択リスト!$X$2:$Y$14,2,FALSE))</f>
        <v/>
      </c>
      <c r="AY44" s="490" t="str">
        <f>IF(E44="","",VLOOKUP(E44,非_燃料種類_選択リスト!$X$18:$Y$24,2,FALSE))</f>
        <v/>
      </c>
      <c r="AZ44" s="490" t="str">
        <f t="shared" si="68"/>
        <v/>
      </c>
      <c r="BA44" s="490" t="str">
        <f t="shared" si="69"/>
        <v/>
      </c>
      <c r="BB44" s="490" t="str">
        <f t="shared" si="70"/>
        <v/>
      </c>
      <c r="BC44" s="490" t="str">
        <f t="shared" si="71"/>
        <v/>
      </c>
      <c r="BD44" s="490" t="str">
        <f t="shared" si="72"/>
        <v/>
      </c>
      <c r="BE44" s="84">
        <v>2</v>
      </c>
    </row>
    <row r="45" spans="1:57" ht="18.75" customHeight="1">
      <c r="A45" s="584"/>
      <c r="B45" s="614"/>
      <c r="C45" s="615"/>
      <c r="D45" s="615"/>
      <c r="E45" s="407"/>
      <c r="F45" s="409"/>
      <c r="G45" s="620"/>
      <c r="H45" s="327" t="str">
        <f t="shared" si="88"/>
        <v/>
      </c>
      <c r="I45" s="615"/>
      <c r="J45" s="481" t="str">
        <f t="shared" si="54"/>
        <v/>
      </c>
      <c r="K45" s="620"/>
      <c r="L45" s="404"/>
      <c r="M45" s="401"/>
      <c r="N45" s="620"/>
      <c r="O45" s="479"/>
      <c r="P45" s="512"/>
      <c r="Q45" s="331" t="str">
        <f t="shared" si="74"/>
        <v/>
      </c>
      <c r="R45" s="693" t="str">
        <f t="shared" si="89"/>
        <v/>
      </c>
      <c r="S45" s="694" t="str">
        <f>IF(C45="","",VLOOKUP(C45,非_単位!$N$38:$O$53,2,FALSE))</f>
        <v/>
      </c>
      <c r="T45" s="331" t="str">
        <f t="shared" si="90"/>
        <v/>
      </c>
      <c r="U45" s="453" t="str">
        <f t="shared" si="91"/>
        <v/>
      </c>
      <c r="W45" s="490" t="str">
        <f t="shared" si="55"/>
        <v/>
      </c>
      <c r="X45" s="490" t="str">
        <f t="shared" si="92"/>
        <v/>
      </c>
      <c r="Y45" s="490" t="str">
        <f t="shared" si="56"/>
        <v/>
      </c>
      <c r="Z45" s="490" t="str">
        <f t="shared" si="57"/>
        <v/>
      </c>
      <c r="AA45" s="490"/>
      <c r="AB45" s="490" t="str">
        <f t="shared" si="79"/>
        <v/>
      </c>
      <c r="AC45" s="490" t="str">
        <f t="shared" si="58"/>
        <v/>
      </c>
      <c r="AD45" s="490" t="str">
        <f t="shared" si="93"/>
        <v/>
      </c>
      <c r="AE45" s="490"/>
      <c r="AF45" s="490" t="str">
        <f>IF(C45="","",IF(C45="電気_仮想電力購入契約","",VLOOKUP(C45,非_係数!$B$42:$D$55,2,FALSE)))</f>
        <v/>
      </c>
      <c r="AG45" s="490" t="str">
        <f>IF(W45="電気",非_電気事業者!$S$4*1000,IF(W45="熱",非_熱供給事業者!$T$4,""))</f>
        <v/>
      </c>
      <c r="AH45" s="490" t="str">
        <f>IF(N45="","",VLOOKUP(N45,非_単位補正換算!$B$3:$C$16,2,FALSE))</f>
        <v/>
      </c>
      <c r="AI45" s="490" t="str">
        <f t="shared" si="59"/>
        <v/>
      </c>
      <c r="AJ45" s="490" t="str">
        <f t="shared" si="60"/>
        <v/>
      </c>
      <c r="AK45" s="490">
        <f t="shared" si="61"/>
        <v>1</v>
      </c>
      <c r="AL45" s="490" t="str">
        <f t="shared" si="62"/>
        <v/>
      </c>
      <c r="AM45" s="490" t="b">
        <f t="shared" si="28"/>
        <v>1</v>
      </c>
      <c r="AN45" s="490" t="str">
        <f t="shared" si="63"/>
        <v/>
      </c>
      <c r="AO45" s="490" t="str">
        <f t="shared" si="64"/>
        <v/>
      </c>
      <c r="AP45" s="490" t="str">
        <f t="shared" si="87"/>
        <v/>
      </c>
      <c r="AQ45" s="490" t="str">
        <f t="shared" si="65"/>
        <v/>
      </c>
      <c r="AR45" s="490" t="str">
        <f t="shared" si="66"/>
        <v/>
      </c>
      <c r="AS45" s="490" t="str">
        <f>IF(AR45&lt;&gt;"義務","",SUMIFS(非_まとめ表行番号!$N$3:$N$20,非_まとめ表行番号!$J$3:$J$20,AN45,非_まとめ表行番号!$K$3:$K$20,AO45,非_まとめ表行番号!$L$3:$L$20,AP45,非_まとめ表行番号!$M$3:$M$20,AQ45))</f>
        <v/>
      </c>
      <c r="AT45" s="490" t="str">
        <f>IF(AR45&lt;&gt;"義務","",SUMIFS(非_まとめ表行番号!$O$3:$O$20,非_まとめ表行番号!$J$3:$J$20,AN45,非_まとめ表行番号!$K$3:$K$20,AO45,非_まとめ表行番号!$L$3:$L$20,AP45,非_まとめ表行番号!$M$3:$M$20,AQ45))</f>
        <v/>
      </c>
      <c r="AU45" s="490" t="str">
        <f t="shared" si="67"/>
        <v/>
      </c>
      <c r="AW45" s="490" t="str">
        <f>IF(AS45="","",VLOOKUP(AS45,非_まとめ表行番号!$U$3:$V$56,2,FALSE))</f>
        <v/>
      </c>
      <c r="AX45" s="490" t="str">
        <f>IF(D45="","",VLOOKUP(D45,非_燃料種類_選択リスト!$X$2:$Y$14,2,FALSE))</f>
        <v/>
      </c>
      <c r="AY45" s="490" t="str">
        <f>IF(E45="","",VLOOKUP(E45,非_燃料種類_選択リスト!$X$18:$Y$24,2,FALSE))</f>
        <v/>
      </c>
      <c r="AZ45" s="490" t="str">
        <f t="shared" si="68"/>
        <v/>
      </c>
      <c r="BA45" s="490" t="str">
        <f t="shared" si="69"/>
        <v/>
      </c>
      <c r="BB45" s="490" t="str">
        <f t="shared" si="70"/>
        <v/>
      </c>
      <c r="BC45" s="490" t="str">
        <f t="shared" si="71"/>
        <v/>
      </c>
      <c r="BD45" s="490" t="str">
        <f t="shared" si="72"/>
        <v/>
      </c>
      <c r="BE45" s="84">
        <v>2</v>
      </c>
    </row>
    <row r="46" spans="1:57" ht="18.75" customHeight="1">
      <c r="A46" s="584"/>
      <c r="B46" s="614"/>
      <c r="C46" s="615"/>
      <c r="D46" s="615"/>
      <c r="E46" s="407"/>
      <c r="F46" s="409"/>
      <c r="G46" s="620"/>
      <c r="H46" s="327" t="str">
        <f t="shared" si="88"/>
        <v/>
      </c>
      <c r="I46" s="615"/>
      <c r="J46" s="481" t="str">
        <f t="shared" si="54"/>
        <v/>
      </c>
      <c r="K46" s="620"/>
      <c r="L46" s="404"/>
      <c r="M46" s="401"/>
      <c r="N46" s="620"/>
      <c r="O46" s="479"/>
      <c r="P46" s="512"/>
      <c r="Q46" s="331" t="str">
        <f t="shared" si="74"/>
        <v/>
      </c>
      <c r="R46" s="693" t="str">
        <f t="shared" si="89"/>
        <v/>
      </c>
      <c r="S46" s="694" t="str">
        <f>IF(C46="","",VLOOKUP(C46,非_単位!$N$38:$O$53,2,FALSE))</f>
        <v/>
      </c>
      <c r="T46" s="331" t="str">
        <f t="shared" si="90"/>
        <v/>
      </c>
      <c r="U46" s="453" t="str">
        <f t="shared" si="91"/>
        <v/>
      </c>
      <c r="W46" s="490" t="str">
        <f t="shared" si="55"/>
        <v/>
      </c>
      <c r="X46" s="490" t="str">
        <f t="shared" si="92"/>
        <v/>
      </c>
      <c r="Y46" s="490" t="str">
        <f t="shared" si="56"/>
        <v/>
      </c>
      <c r="Z46" s="490" t="str">
        <f t="shared" si="57"/>
        <v/>
      </c>
      <c r="AA46" s="490"/>
      <c r="AB46" s="490" t="str">
        <f t="shared" si="79"/>
        <v/>
      </c>
      <c r="AC46" s="490" t="str">
        <f t="shared" si="58"/>
        <v/>
      </c>
      <c r="AD46" s="490" t="str">
        <f t="shared" si="93"/>
        <v/>
      </c>
      <c r="AE46" s="490"/>
      <c r="AF46" s="490" t="str">
        <f>IF(C46="","",IF(C46="電気_仮想電力購入契約","",VLOOKUP(C46,非_係数!$B$42:$D$55,2,FALSE)))</f>
        <v/>
      </c>
      <c r="AG46" s="490" t="str">
        <f>IF(W46="電気",非_電気事業者!$S$4*1000,IF(W46="熱",非_熱供給事業者!$T$4,""))</f>
        <v/>
      </c>
      <c r="AH46" s="490" t="str">
        <f>IF(N46="","",VLOOKUP(N46,非_単位補正換算!$B$3:$C$16,2,FALSE))</f>
        <v/>
      </c>
      <c r="AI46" s="490" t="str">
        <f t="shared" si="59"/>
        <v/>
      </c>
      <c r="AJ46" s="490" t="str">
        <f t="shared" si="60"/>
        <v/>
      </c>
      <c r="AK46" s="490">
        <f t="shared" si="61"/>
        <v>1</v>
      </c>
      <c r="AL46" s="490" t="str">
        <f t="shared" si="62"/>
        <v/>
      </c>
      <c r="AM46" s="490" t="b">
        <f t="shared" si="28"/>
        <v>1</v>
      </c>
      <c r="AN46" s="490" t="str">
        <f t="shared" si="63"/>
        <v/>
      </c>
      <c r="AO46" s="490" t="str">
        <f t="shared" si="64"/>
        <v/>
      </c>
      <c r="AP46" s="490" t="str">
        <f t="shared" si="87"/>
        <v/>
      </c>
      <c r="AQ46" s="490" t="str">
        <f t="shared" si="65"/>
        <v/>
      </c>
      <c r="AR46" s="490" t="str">
        <f t="shared" si="66"/>
        <v/>
      </c>
      <c r="AS46" s="490" t="str">
        <f>IF(AR46&lt;&gt;"義務","",SUMIFS(非_まとめ表行番号!$N$3:$N$20,非_まとめ表行番号!$J$3:$J$20,AN46,非_まとめ表行番号!$K$3:$K$20,AO46,非_まとめ表行番号!$L$3:$L$20,AP46,非_まとめ表行番号!$M$3:$M$20,AQ46))</f>
        <v/>
      </c>
      <c r="AT46" s="490" t="str">
        <f>IF(AR46&lt;&gt;"義務","",SUMIFS(非_まとめ表行番号!$O$3:$O$20,非_まとめ表行番号!$J$3:$J$20,AN46,非_まとめ表行番号!$K$3:$K$20,AO46,非_まとめ表行番号!$L$3:$L$20,AP46,非_まとめ表行番号!$M$3:$M$20,AQ46))</f>
        <v/>
      </c>
      <c r="AU46" s="490" t="str">
        <f t="shared" si="67"/>
        <v/>
      </c>
      <c r="AW46" s="490" t="str">
        <f>IF(AS46="","",VLOOKUP(AS46,非_まとめ表行番号!$U$3:$V$56,2,FALSE))</f>
        <v/>
      </c>
      <c r="AX46" s="490" t="str">
        <f>IF(D46="","",VLOOKUP(D46,非_燃料種類_選択リスト!$X$2:$Y$14,2,FALSE))</f>
        <v/>
      </c>
      <c r="AY46" s="490" t="str">
        <f>IF(E46="","",VLOOKUP(E46,非_燃料種類_選択リスト!$X$18:$Y$24,2,FALSE))</f>
        <v/>
      </c>
      <c r="AZ46" s="490" t="str">
        <f t="shared" si="68"/>
        <v/>
      </c>
      <c r="BA46" s="490" t="str">
        <f t="shared" si="69"/>
        <v/>
      </c>
      <c r="BB46" s="490" t="str">
        <f t="shared" si="70"/>
        <v/>
      </c>
      <c r="BC46" s="490" t="str">
        <f t="shared" si="71"/>
        <v/>
      </c>
      <c r="BD46" s="490" t="str">
        <f t="shared" si="72"/>
        <v/>
      </c>
      <c r="BE46" s="84">
        <v>2</v>
      </c>
    </row>
    <row r="47" spans="1:57" ht="18.75" customHeight="1">
      <c r="A47" s="584"/>
      <c r="B47" s="614"/>
      <c r="C47" s="615"/>
      <c r="D47" s="615"/>
      <c r="E47" s="407"/>
      <c r="F47" s="409"/>
      <c r="G47" s="620"/>
      <c r="H47" s="327" t="str">
        <f t="shared" si="73"/>
        <v/>
      </c>
      <c r="I47" s="615"/>
      <c r="J47" s="481" t="str">
        <f t="shared" si="54"/>
        <v/>
      </c>
      <c r="K47" s="620"/>
      <c r="L47" s="404"/>
      <c r="M47" s="401"/>
      <c r="N47" s="620"/>
      <c r="O47" s="479"/>
      <c r="P47" s="512"/>
      <c r="Q47" s="331" t="str">
        <f t="shared" si="74"/>
        <v/>
      </c>
      <c r="R47" s="693" t="str">
        <f t="shared" si="75"/>
        <v/>
      </c>
      <c r="S47" s="694" t="str">
        <f>IF(C47="","",VLOOKUP(C47,非_単位!$N$38:$O$53,2,FALSE))</f>
        <v/>
      </c>
      <c r="T47" s="331" t="str">
        <f t="shared" si="76"/>
        <v/>
      </c>
      <c r="U47" s="453" t="str">
        <f t="shared" si="77"/>
        <v/>
      </c>
      <c r="W47" s="490" t="str">
        <f t="shared" si="55"/>
        <v/>
      </c>
      <c r="X47" s="490" t="str">
        <f t="shared" si="78"/>
        <v/>
      </c>
      <c r="Y47" s="490" t="str">
        <f t="shared" si="56"/>
        <v/>
      </c>
      <c r="Z47" s="490" t="str">
        <f t="shared" si="57"/>
        <v/>
      </c>
      <c r="AA47" s="490"/>
      <c r="AB47" s="490" t="str">
        <f t="shared" si="79"/>
        <v/>
      </c>
      <c r="AC47" s="490" t="str">
        <f t="shared" si="58"/>
        <v/>
      </c>
      <c r="AD47" s="490" t="str">
        <f t="shared" si="80"/>
        <v/>
      </c>
      <c r="AE47" s="490"/>
      <c r="AF47" s="490" t="str">
        <f>IF(C47="","",IF(C47="電気_仮想電力購入契約","",VLOOKUP(C47,非_係数!$B$42:$D$55,2,FALSE)))</f>
        <v/>
      </c>
      <c r="AG47" s="490" t="str">
        <f>IF(W47="電気",非_電気事業者!$S$4*1000,IF(W47="熱",非_熱供給事業者!$T$4,""))</f>
        <v/>
      </c>
      <c r="AH47" s="490" t="str">
        <f>IF(N47="","",VLOOKUP(N47,非_単位補正換算!$B$3:$C$16,2,FALSE))</f>
        <v/>
      </c>
      <c r="AI47" s="490" t="str">
        <f t="shared" si="59"/>
        <v/>
      </c>
      <c r="AJ47" s="490" t="str">
        <f t="shared" si="60"/>
        <v/>
      </c>
      <c r="AK47" s="490">
        <f t="shared" si="61"/>
        <v>1</v>
      </c>
      <c r="AL47" s="490" t="str">
        <f t="shared" si="62"/>
        <v/>
      </c>
      <c r="AM47" s="490" t="b">
        <f t="shared" si="28"/>
        <v>1</v>
      </c>
      <c r="AN47" s="490" t="str">
        <f t="shared" si="63"/>
        <v/>
      </c>
      <c r="AO47" s="490" t="str">
        <f t="shared" si="64"/>
        <v/>
      </c>
      <c r="AP47" s="490" t="str">
        <f t="shared" si="87"/>
        <v/>
      </c>
      <c r="AQ47" s="490" t="str">
        <f t="shared" si="65"/>
        <v/>
      </c>
      <c r="AR47" s="490" t="str">
        <f t="shared" si="66"/>
        <v/>
      </c>
      <c r="AS47" s="490" t="str">
        <f>IF(AR47&lt;&gt;"義務","",SUMIFS(非_まとめ表行番号!$N$3:$N$20,非_まとめ表行番号!$J$3:$J$20,AN47,非_まとめ表行番号!$K$3:$K$20,AO47,非_まとめ表行番号!$L$3:$L$20,AP47,非_まとめ表行番号!$M$3:$M$20,AQ47))</f>
        <v/>
      </c>
      <c r="AT47" s="490" t="str">
        <f>IF(AR47&lt;&gt;"義務","",SUMIFS(非_まとめ表行番号!$O$3:$O$20,非_まとめ表行番号!$J$3:$J$20,AN47,非_まとめ表行番号!$K$3:$K$20,AO47,非_まとめ表行番号!$L$3:$L$20,AP47,非_まとめ表行番号!$M$3:$M$20,AQ47))</f>
        <v/>
      </c>
      <c r="AU47" s="490" t="str">
        <f t="shared" si="67"/>
        <v/>
      </c>
      <c r="AW47" s="490" t="str">
        <f>IF(AS47="","",VLOOKUP(AS47,非_まとめ表行番号!$U$3:$V$56,2,FALSE))</f>
        <v/>
      </c>
      <c r="AX47" s="490" t="str">
        <f>IF(D47="","",VLOOKUP(D47,非_燃料種類_選択リスト!$X$2:$Y$14,2,FALSE))</f>
        <v/>
      </c>
      <c r="AY47" s="490" t="str">
        <f>IF(E47="","",VLOOKUP(E47,非_燃料種類_選択リスト!$X$18:$Y$24,2,FALSE))</f>
        <v/>
      </c>
      <c r="AZ47" s="490" t="str">
        <f t="shared" si="68"/>
        <v/>
      </c>
      <c r="BA47" s="490" t="str">
        <f t="shared" si="69"/>
        <v/>
      </c>
      <c r="BB47" s="490" t="str">
        <f t="shared" si="70"/>
        <v/>
      </c>
      <c r="BC47" s="490" t="str">
        <f t="shared" si="71"/>
        <v/>
      </c>
      <c r="BD47" s="490" t="str">
        <f t="shared" si="72"/>
        <v/>
      </c>
      <c r="BE47" s="84">
        <v>2</v>
      </c>
    </row>
    <row r="48" spans="1:57" ht="18.75" customHeight="1">
      <c r="A48" s="584"/>
      <c r="B48" s="614"/>
      <c r="C48" s="615"/>
      <c r="D48" s="615"/>
      <c r="E48" s="407"/>
      <c r="F48" s="409"/>
      <c r="G48" s="620"/>
      <c r="H48" s="327" t="str">
        <f t="shared" si="73"/>
        <v/>
      </c>
      <c r="I48" s="615"/>
      <c r="J48" s="481" t="str">
        <f t="shared" si="54"/>
        <v/>
      </c>
      <c r="K48" s="620"/>
      <c r="L48" s="404"/>
      <c r="M48" s="401"/>
      <c r="N48" s="620"/>
      <c r="O48" s="479"/>
      <c r="P48" s="512"/>
      <c r="Q48" s="331" t="str">
        <f t="shared" si="74"/>
        <v/>
      </c>
      <c r="R48" s="693" t="str">
        <f t="shared" si="75"/>
        <v/>
      </c>
      <c r="S48" s="694" t="str">
        <f>IF(C48="","",VLOOKUP(C48,非_単位!$N$38:$O$53,2,FALSE))</f>
        <v/>
      </c>
      <c r="T48" s="331" t="str">
        <f t="shared" si="76"/>
        <v/>
      </c>
      <c r="U48" s="453" t="str">
        <f t="shared" si="77"/>
        <v/>
      </c>
      <c r="W48" s="490" t="str">
        <f t="shared" si="55"/>
        <v/>
      </c>
      <c r="X48" s="490" t="str">
        <f t="shared" si="78"/>
        <v/>
      </c>
      <c r="Y48" s="490" t="str">
        <f t="shared" si="56"/>
        <v/>
      </c>
      <c r="Z48" s="490" t="str">
        <f t="shared" si="57"/>
        <v/>
      </c>
      <c r="AA48" s="490"/>
      <c r="AB48" s="490" t="str">
        <f t="shared" si="79"/>
        <v/>
      </c>
      <c r="AC48" s="490" t="str">
        <f t="shared" si="58"/>
        <v/>
      </c>
      <c r="AD48" s="490" t="str">
        <f t="shared" si="80"/>
        <v/>
      </c>
      <c r="AE48" s="490"/>
      <c r="AF48" s="490" t="str">
        <f>IF(C48="","",IF(C48="電気_仮想電力購入契約","",VLOOKUP(C48,非_係数!$B$42:$D$55,2,FALSE)))</f>
        <v/>
      </c>
      <c r="AG48" s="490" t="str">
        <f>IF(W48="電気",非_電気事業者!$S$4*1000,IF(W48="熱",非_熱供給事業者!$T$4,""))</f>
        <v/>
      </c>
      <c r="AH48" s="490" t="str">
        <f>IF(N48="","",VLOOKUP(N48,非_単位補正換算!$B$3:$C$16,2,FALSE))</f>
        <v/>
      </c>
      <c r="AI48" s="490" t="str">
        <f t="shared" si="59"/>
        <v/>
      </c>
      <c r="AJ48" s="490" t="str">
        <f t="shared" si="60"/>
        <v/>
      </c>
      <c r="AK48" s="490">
        <f t="shared" si="61"/>
        <v>1</v>
      </c>
      <c r="AL48" s="490" t="str">
        <f t="shared" si="62"/>
        <v/>
      </c>
      <c r="AM48" s="490" t="b">
        <f t="shared" si="28"/>
        <v>1</v>
      </c>
      <c r="AN48" s="490" t="str">
        <f t="shared" si="63"/>
        <v/>
      </c>
      <c r="AO48" s="490" t="str">
        <f t="shared" si="64"/>
        <v/>
      </c>
      <c r="AP48" s="490" t="str">
        <f t="shared" si="87"/>
        <v/>
      </c>
      <c r="AQ48" s="490" t="str">
        <f t="shared" si="65"/>
        <v/>
      </c>
      <c r="AR48" s="490" t="str">
        <f t="shared" si="66"/>
        <v/>
      </c>
      <c r="AS48" s="490" t="str">
        <f>IF(AR48&lt;&gt;"義務","",SUMIFS(非_まとめ表行番号!$N$3:$N$20,非_まとめ表行番号!$J$3:$J$20,AN48,非_まとめ表行番号!$K$3:$K$20,AO48,非_まとめ表行番号!$L$3:$L$20,AP48,非_まとめ表行番号!$M$3:$M$20,AQ48))</f>
        <v/>
      </c>
      <c r="AT48" s="490" t="str">
        <f>IF(AR48&lt;&gt;"義務","",SUMIFS(非_まとめ表行番号!$O$3:$O$20,非_まとめ表行番号!$J$3:$J$20,AN48,非_まとめ表行番号!$K$3:$K$20,AO48,非_まとめ表行番号!$L$3:$L$20,AP48,非_まとめ表行番号!$M$3:$M$20,AQ48))</f>
        <v/>
      </c>
      <c r="AU48" s="490" t="str">
        <f t="shared" si="67"/>
        <v/>
      </c>
      <c r="AW48" s="490" t="str">
        <f>IF(AS48="","",VLOOKUP(AS48,非_まとめ表行番号!$U$3:$V$56,2,FALSE))</f>
        <v/>
      </c>
      <c r="AX48" s="490" t="str">
        <f>IF(D48="","",VLOOKUP(D48,非_燃料種類_選択リスト!$X$2:$Y$14,2,FALSE))</f>
        <v/>
      </c>
      <c r="AY48" s="490" t="str">
        <f>IF(E48="","",VLOOKUP(E48,非_燃料種類_選択リスト!$X$18:$Y$24,2,FALSE))</f>
        <v/>
      </c>
      <c r="AZ48" s="490" t="str">
        <f t="shared" si="68"/>
        <v/>
      </c>
      <c r="BA48" s="490" t="str">
        <f t="shared" si="69"/>
        <v/>
      </c>
      <c r="BB48" s="490" t="str">
        <f t="shared" si="70"/>
        <v/>
      </c>
      <c r="BC48" s="490" t="str">
        <f t="shared" si="71"/>
        <v/>
      </c>
      <c r="BD48" s="490" t="str">
        <f t="shared" si="72"/>
        <v/>
      </c>
      <c r="BE48" s="84">
        <v>2</v>
      </c>
    </row>
    <row r="49" spans="1:57" ht="18.75" customHeight="1">
      <c r="A49" s="584"/>
      <c r="B49" s="614"/>
      <c r="C49" s="615"/>
      <c r="D49" s="615"/>
      <c r="E49" s="407"/>
      <c r="F49" s="409"/>
      <c r="G49" s="620"/>
      <c r="H49" s="327" t="str">
        <f t="shared" si="73"/>
        <v/>
      </c>
      <c r="I49" s="615"/>
      <c r="J49" s="481" t="str">
        <f t="shared" si="54"/>
        <v/>
      </c>
      <c r="K49" s="620"/>
      <c r="L49" s="404"/>
      <c r="M49" s="401"/>
      <c r="N49" s="620"/>
      <c r="O49" s="479"/>
      <c r="P49" s="512"/>
      <c r="Q49" s="331" t="str">
        <f t="shared" si="74"/>
        <v/>
      </c>
      <c r="R49" s="693" t="str">
        <f t="shared" si="75"/>
        <v/>
      </c>
      <c r="S49" s="694" t="str">
        <f>IF(C49="","",VLOOKUP(C49,非_単位!$N$38:$O$53,2,FALSE))</f>
        <v/>
      </c>
      <c r="T49" s="331" t="str">
        <f t="shared" si="76"/>
        <v/>
      </c>
      <c r="U49" s="453" t="str">
        <f t="shared" si="77"/>
        <v/>
      </c>
      <c r="W49" s="490" t="str">
        <f t="shared" si="55"/>
        <v/>
      </c>
      <c r="X49" s="490" t="str">
        <f t="shared" si="78"/>
        <v/>
      </c>
      <c r="Y49" s="490" t="str">
        <f t="shared" si="56"/>
        <v/>
      </c>
      <c r="Z49" s="490" t="str">
        <f t="shared" si="57"/>
        <v/>
      </c>
      <c r="AA49" s="490"/>
      <c r="AB49" s="490" t="str">
        <f t="shared" si="79"/>
        <v/>
      </c>
      <c r="AC49" s="490" t="str">
        <f t="shared" si="58"/>
        <v/>
      </c>
      <c r="AD49" s="490" t="str">
        <f t="shared" si="80"/>
        <v/>
      </c>
      <c r="AE49" s="490"/>
      <c r="AF49" s="490" t="str">
        <f>IF(C49="","",IF(C49="電気_仮想電力購入契約","",VLOOKUP(C49,非_係数!$B$42:$D$55,2,FALSE)))</f>
        <v/>
      </c>
      <c r="AG49" s="490" t="str">
        <f>IF(W49="電気",非_電気事業者!$S$4*1000,IF(W49="熱",非_熱供給事業者!$T$4,""))</f>
        <v/>
      </c>
      <c r="AH49" s="490" t="str">
        <f>IF(N49="","",VLOOKUP(N49,非_単位補正換算!$B$3:$C$16,2,FALSE))</f>
        <v/>
      </c>
      <c r="AI49" s="490" t="str">
        <f t="shared" si="59"/>
        <v/>
      </c>
      <c r="AJ49" s="490" t="str">
        <f t="shared" si="60"/>
        <v/>
      </c>
      <c r="AK49" s="490">
        <f t="shared" si="61"/>
        <v>1</v>
      </c>
      <c r="AL49" s="490" t="str">
        <f t="shared" si="62"/>
        <v/>
      </c>
      <c r="AM49" s="490" t="b">
        <f t="shared" si="28"/>
        <v>1</v>
      </c>
      <c r="AN49" s="490" t="str">
        <f t="shared" si="63"/>
        <v/>
      </c>
      <c r="AO49" s="490" t="str">
        <f t="shared" si="64"/>
        <v/>
      </c>
      <c r="AP49" s="490" t="str">
        <f t="shared" si="87"/>
        <v/>
      </c>
      <c r="AQ49" s="490" t="str">
        <f t="shared" si="65"/>
        <v/>
      </c>
      <c r="AR49" s="490" t="str">
        <f t="shared" si="66"/>
        <v/>
      </c>
      <c r="AS49" s="490" t="str">
        <f>IF(AR49&lt;&gt;"義務","",SUMIFS(非_まとめ表行番号!$N$3:$N$20,非_まとめ表行番号!$J$3:$J$20,AN49,非_まとめ表行番号!$K$3:$K$20,AO49,非_まとめ表行番号!$L$3:$L$20,AP49,非_まとめ表行番号!$M$3:$M$20,AQ49))</f>
        <v/>
      </c>
      <c r="AT49" s="490" t="str">
        <f>IF(AR49&lt;&gt;"義務","",SUMIFS(非_まとめ表行番号!$O$3:$O$20,非_まとめ表行番号!$J$3:$J$20,AN49,非_まとめ表行番号!$K$3:$K$20,AO49,非_まとめ表行番号!$L$3:$L$20,AP49,非_まとめ表行番号!$M$3:$M$20,AQ49))</f>
        <v/>
      </c>
      <c r="AU49" s="490" t="str">
        <f t="shared" si="67"/>
        <v/>
      </c>
      <c r="AW49" s="490" t="str">
        <f>IF(AS49="","",VLOOKUP(AS49,非_まとめ表行番号!$U$3:$V$56,2,FALSE))</f>
        <v/>
      </c>
      <c r="AX49" s="490" t="str">
        <f>IF(D49="","",VLOOKUP(D49,非_燃料種類_選択リスト!$X$2:$Y$14,2,FALSE))</f>
        <v/>
      </c>
      <c r="AY49" s="490" t="str">
        <f>IF(E49="","",VLOOKUP(E49,非_燃料種類_選択リスト!$X$18:$Y$24,2,FALSE))</f>
        <v/>
      </c>
      <c r="AZ49" s="490" t="str">
        <f t="shared" si="68"/>
        <v/>
      </c>
      <c r="BA49" s="490" t="str">
        <f t="shared" si="69"/>
        <v/>
      </c>
      <c r="BB49" s="490" t="str">
        <f t="shared" si="70"/>
        <v/>
      </c>
      <c r="BC49" s="490" t="str">
        <f t="shared" si="71"/>
        <v/>
      </c>
      <c r="BD49" s="490" t="str">
        <f t="shared" si="72"/>
        <v/>
      </c>
      <c r="BE49" s="84">
        <v>2</v>
      </c>
    </row>
    <row r="50" spans="1:57" ht="18.75" customHeight="1" thickBot="1">
      <c r="A50" s="585"/>
      <c r="B50" s="616"/>
      <c r="C50" s="617"/>
      <c r="D50" s="617"/>
      <c r="E50" s="407"/>
      <c r="F50" s="409"/>
      <c r="G50" s="621"/>
      <c r="H50" s="682" t="str">
        <f t="shared" si="73"/>
        <v/>
      </c>
      <c r="I50" s="617"/>
      <c r="J50" s="707" t="str">
        <f t="shared" si="54"/>
        <v/>
      </c>
      <c r="K50" s="621"/>
      <c r="L50" s="404"/>
      <c r="M50" s="401"/>
      <c r="N50" s="621"/>
      <c r="O50" s="684"/>
      <c r="P50" s="512"/>
      <c r="Q50" s="695" t="str">
        <f t="shared" si="74"/>
        <v/>
      </c>
      <c r="R50" s="696" t="str">
        <f t="shared" si="75"/>
        <v/>
      </c>
      <c r="S50" s="697" t="str">
        <f>IF(C50="","",VLOOKUP(C50,非_単位!$N$38:$O$53,2,FALSE))</f>
        <v/>
      </c>
      <c r="T50" s="695" t="str">
        <f t="shared" si="76"/>
        <v/>
      </c>
      <c r="U50" s="698" t="str">
        <f t="shared" si="77"/>
        <v/>
      </c>
      <c r="W50" s="663" t="str">
        <f t="shared" si="55"/>
        <v/>
      </c>
      <c r="X50" s="663" t="str">
        <f t="shared" si="78"/>
        <v/>
      </c>
      <c r="Y50" s="663" t="str">
        <f t="shared" si="56"/>
        <v/>
      </c>
      <c r="Z50" s="663" t="str">
        <f t="shared" si="57"/>
        <v/>
      </c>
      <c r="AA50" s="663"/>
      <c r="AB50" s="663" t="str">
        <f t="shared" si="79"/>
        <v/>
      </c>
      <c r="AC50" s="663" t="str">
        <f t="shared" si="58"/>
        <v/>
      </c>
      <c r="AD50" s="663" t="str">
        <f t="shared" si="80"/>
        <v/>
      </c>
      <c r="AE50" s="663"/>
      <c r="AF50" s="663" t="str">
        <f>IF(C50="","",IF(C50="電気_仮想電力購入契約","",VLOOKUP(C50,非_係数!$B$42:$D$55,2,FALSE)))</f>
        <v/>
      </c>
      <c r="AG50" s="663" t="str">
        <f>IF(W50="電気",非_電気事業者!$S$4*1000,IF(W50="熱",非_熱供給事業者!$T$4,""))</f>
        <v/>
      </c>
      <c r="AH50" s="663" t="str">
        <f>IF(N50="","",VLOOKUP(N50,非_単位補正換算!$B$3:$C$16,2,FALSE))</f>
        <v/>
      </c>
      <c r="AI50" s="663" t="str">
        <f t="shared" si="59"/>
        <v/>
      </c>
      <c r="AJ50" s="663" t="str">
        <f t="shared" si="60"/>
        <v/>
      </c>
      <c r="AK50" s="663">
        <f t="shared" si="61"/>
        <v>1</v>
      </c>
      <c r="AL50" s="663" t="str">
        <f t="shared" si="62"/>
        <v/>
      </c>
      <c r="AM50" s="663" t="b">
        <f t="shared" si="28"/>
        <v>1</v>
      </c>
      <c r="AN50" s="663" t="str">
        <f t="shared" si="63"/>
        <v/>
      </c>
      <c r="AO50" s="663" t="str">
        <f t="shared" si="64"/>
        <v/>
      </c>
      <c r="AP50" s="663" t="str">
        <f t="shared" si="87"/>
        <v/>
      </c>
      <c r="AQ50" s="663" t="str">
        <f t="shared" si="65"/>
        <v/>
      </c>
      <c r="AR50" s="663" t="str">
        <f t="shared" si="66"/>
        <v/>
      </c>
      <c r="AS50" s="663" t="str">
        <f>IF(AR50&lt;&gt;"義務","",SUMIFS(非_まとめ表行番号!$N$3:$N$20,非_まとめ表行番号!$J$3:$J$20,AN50,非_まとめ表行番号!$K$3:$K$20,AO50,非_まとめ表行番号!$L$3:$L$20,AP50,非_まとめ表行番号!$M$3:$M$20,AQ50))</f>
        <v/>
      </c>
      <c r="AT50" s="663" t="str">
        <f>IF(AR50&lt;&gt;"義務","",SUMIFS(非_まとめ表行番号!$O$3:$O$20,非_まとめ表行番号!$J$3:$J$20,AN50,非_まとめ表行番号!$K$3:$K$20,AO50,非_まとめ表行番号!$L$3:$L$20,AP50,非_まとめ表行番号!$M$3:$M$20,AQ50))</f>
        <v/>
      </c>
      <c r="AU50" s="663" t="str">
        <f t="shared" si="67"/>
        <v/>
      </c>
      <c r="AW50" s="663" t="str">
        <f>IF(AS50="","",VLOOKUP(AS50,非_まとめ表行番号!$U$3:$V$56,2,FALSE))</f>
        <v/>
      </c>
      <c r="AX50" s="663" t="str">
        <f>IF(D50="","",VLOOKUP(D50,非_燃料種類_選択リスト!$X$2:$Y$14,2,FALSE))</f>
        <v/>
      </c>
      <c r="AY50" s="663" t="str">
        <f>IF(E50="","",VLOOKUP(E50,非_燃料種類_選択リスト!$X$18:$Y$24,2,FALSE))</f>
        <v/>
      </c>
      <c r="AZ50" s="663" t="str">
        <f t="shared" si="68"/>
        <v/>
      </c>
      <c r="BA50" s="663" t="str">
        <f t="shared" si="69"/>
        <v/>
      </c>
      <c r="BB50" s="663" t="str">
        <f t="shared" si="70"/>
        <v/>
      </c>
      <c r="BC50" s="663" t="str">
        <f t="shared" si="71"/>
        <v/>
      </c>
      <c r="BD50" s="663" t="str">
        <f t="shared" si="72"/>
        <v/>
      </c>
      <c r="BE50" s="84">
        <v>2</v>
      </c>
    </row>
    <row r="51" spans="1:57" ht="18.75" customHeight="1" thickTop="1">
      <c r="A51" s="586" t="s">
        <v>2054</v>
      </c>
      <c r="B51" s="622"/>
      <c r="C51" s="623"/>
      <c r="D51" s="623"/>
      <c r="E51" s="407"/>
      <c r="F51" s="409"/>
      <c r="G51" s="596"/>
      <c r="H51" s="327" t="str">
        <f t="shared" si="73"/>
        <v/>
      </c>
      <c r="I51" s="623"/>
      <c r="J51" s="481" t="str">
        <f t="shared" si="54"/>
        <v/>
      </c>
      <c r="K51" s="596"/>
      <c r="L51" s="404"/>
      <c r="M51" s="401"/>
      <c r="N51" s="596"/>
      <c r="O51" s="478"/>
      <c r="P51" s="512"/>
      <c r="Q51" s="330" t="str">
        <f t="shared" si="74"/>
        <v/>
      </c>
      <c r="R51" s="337" t="str">
        <f t="shared" si="75"/>
        <v/>
      </c>
      <c r="S51" s="338" t="str">
        <f>IF(C51="","",VLOOKUP(C51,非_単位!$N$38:$O$53,2,FALSE))</f>
        <v/>
      </c>
      <c r="T51" s="331" t="str">
        <f t="shared" si="76"/>
        <v/>
      </c>
      <c r="U51" s="439" t="str">
        <f t="shared" si="77"/>
        <v/>
      </c>
      <c r="W51" s="578" t="str">
        <f t="shared" si="55"/>
        <v/>
      </c>
      <c r="X51" s="578" t="str">
        <f t="shared" si="78"/>
        <v/>
      </c>
      <c r="Y51" s="578" t="str">
        <f t="shared" si="56"/>
        <v/>
      </c>
      <c r="Z51" s="578" t="str">
        <f t="shared" si="57"/>
        <v/>
      </c>
      <c r="AA51" s="578"/>
      <c r="AB51" s="578" t="str">
        <f t="shared" si="79"/>
        <v/>
      </c>
      <c r="AC51" s="578" t="str">
        <f t="shared" si="58"/>
        <v/>
      </c>
      <c r="AD51" s="578" t="str">
        <f t="shared" si="80"/>
        <v/>
      </c>
      <c r="AE51" s="578"/>
      <c r="AF51" s="578" t="str">
        <f>IF(C51="","",IF(C51="電気_仮想電力購入契約","",VLOOKUP(C51,非_係数!$B$42:$D$55,2,FALSE)))</f>
        <v/>
      </c>
      <c r="AG51" s="578" t="str">
        <f>IF(W51="電気",非_電気事業者!$S$4*1000,IF(W51="熱",非_熱供給事業者!$T$4,""))</f>
        <v/>
      </c>
      <c r="AH51" s="578" t="str">
        <f>IF(N51="","",VLOOKUP(N51,非_単位補正換算!$B$3:$C$16,2,FALSE))</f>
        <v/>
      </c>
      <c r="AI51" s="578" t="str">
        <f t="shared" si="59"/>
        <v/>
      </c>
      <c r="AJ51" s="578" t="str">
        <f t="shared" si="60"/>
        <v/>
      </c>
      <c r="AK51" s="578">
        <f t="shared" si="61"/>
        <v>1</v>
      </c>
      <c r="AL51" s="578" t="str">
        <f t="shared" si="62"/>
        <v/>
      </c>
      <c r="AM51" s="578" t="b">
        <f t="shared" si="28"/>
        <v>1</v>
      </c>
      <c r="AN51" s="578" t="str">
        <f t="shared" si="63"/>
        <v/>
      </c>
      <c r="AO51" s="578" t="str">
        <f t="shared" si="64"/>
        <v/>
      </c>
      <c r="AP51" s="578" t="str">
        <f t="shared" si="87"/>
        <v/>
      </c>
      <c r="AQ51" s="578" t="str">
        <f t="shared" si="65"/>
        <v/>
      </c>
      <c r="AR51" s="578" t="str">
        <f t="shared" si="66"/>
        <v/>
      </c>
      <c r="AS51" s="578" t="str">
        <f>IF(AR51&lt;&gt;"義務","",SUMIFS(非_まとめ表行番号!$N$3:$N$20,非_まとめ表行番号!$J$3:$J$20,AN51,非_まとめ表行番号!$K$3:$K$20,AO51,非_まとめ表行番号!$L$3:$L$20,AP51,非_まとめ表行番号!$M$3:$M$20,AQ51))</f>
        <v/>
      </c>
      <c r="AT51" s="578" t="str">
        <f>IF(AR51&lt;&gt;"義務","",SUMIFS(非_まとめ表行番号!$O$3:$O$20,非_まとめ表行番号!$J$3:$J$20,AN51,非_まとめ表行番号!$K$3:$K$20,AO51,非_まとめ表行番号!$L$3:$L$20,AP51,非_まとめ表行番号!$M$3:$M$20,AQ51))</f>
        <v/>
      </c>
      <c r="AU51" s="578" t="str">
        <f t="shared" si="67"/>
        <v/>
      </c>
      <c r="AW51" s="578" t="str">
        <f>IF(AS51="","",VLOOKUP(AS51,非_まとめ表行番号!$U$3:$V$56,2,FALSE))</f>
        <v/>
      </c>
      <c r="AX51" s="578" t="str">
        <f>IF(D51="","",VLOOKUP(D51,非_燃料種類_選択リスト!$X$2:$Y$14,2,FALSE))</f>
        <v/>
      </c>
      <c r="AY51" s="578" t="str">
        <f>IF(E51="","",VLOOKUP(E51,非_燃料種類_選択リスト!$X$18:$Y$24,2,FALSE))</f>
        <v/>
      </c>
      <c r="AZ51" s="578" t="str">
        <f t="shared" si="68"/>
        <v/>
      </c>
      <c r="BA51" s="578" t="str">
        <f t="shared" si="69"/>
        <v/>
      </c>
      <c r="BB51" s="578" t="str">
        <f t="shared" si="70"/>
        <v/>
      </c>
      <c r="BC51" s="578" t="str">
        <f t="shared" si="71"/>
        <v/>
      </c>
      <c r="BD51" s="578" t="str">
        <f t="shared" si="72"/>
        <v/>
      </c>
      <c r="BE51" s="84">
        <v>3</v>
      </c>
    </row>
    <row r="52" spans="1:57" ht="18.75" customHeight="1">
      <c r="A52" s="587"/>
      <c r="B52" s="622"/>
      <c r="C52" s="623"/>
      <c r="D52" s="623"/>
      <c r="E52" s="407"/>
      <c r="F52" s="409"/>
      <c r="G52" s="596"/>
      <c r="H52" s="327" t="str">
        <f t="shared" si="73"/>
        <v/>
      </c>
      <c r="I52" s="623"/>
      <c r="J52" s="481" t="str">
        <f t="shared" si="54"/>
        <v/>
      </c>
      <c r="K52" s="596"/>
      <c r="L52" s="404"/>
      <c r="M52" s="401"/>
      <c r="N52" s="596"/>
      <c r="O52" s="479"/>
      <c r="P52" s="512"/>
      <c r="Q52" s="330" t="str">
        <f t="shared" si="74"/>
        <v/>
      </c>
      <c r="R52" s="337" t="str">
        <f t="shared" si="75"/>
        <v/>
      </c>
      <c r="S52" s="338" t="str">
        <f>IF(C52="","",VLOOKUP(C52,非_単位!$N$38:$O$53,2,FALSE))</f>
        <v/>
      </c>
      <c r="T52" s="331" t="str">
        <f t="shared" si="76"/>
        <v/>
      </c>
      <c r="U52" s="439" t="str">
        <f t="shared" si="77"/>
        <v/>
      </c>
      <c r="W52" s="490" t="str">
        <f t="shared" si="55"/>
        <v/>
      </c>
      <c r="X52" s="490" t="str">
        <f t="shared" si="78"/>
        <v/>
      </c>
      <c r="Y52" s="490" t="str">
        <f t="shared" si="56"/>
        <v/>
      </c>
      <c r="Z52" s="490" t="str">
        <f t="shared" si="57"/>
        <v/>
      </c>
      <c r="AA52" s="490"/>
      <c r="AB52" s="490" t="str">
        <f t="shared" si="79"/>
        <v/>
      </c>
      <c r="AC52" s="490" t="str">
        <f t="shared" si="58"/>
        <v/>
      </c>
      <c r="AD52" s="490" t="str">
        <f t="shared" si="80"/>
        <v/>
      </c>
      <c r="AE52" s="490"/>
      <c r="AF52" s="490" t="str">
        <f>IF(C52="","",IF(C52="電気_仮想電力購入契約","",VLOOKUP(C52,非_係数!$B$42:$D$55,2,FALSE)))</f>
        <v/>
      </c>
      <c r="AG52" s="490" t="str">
        <f>IF(W52="電気",非_電気事業者!$S$4*1000,IF(W52="熱",非_熱供給事業者!$T$4,""))</f>
        <v/>
      </c>
      <c r="AH52" s="490" t="str">
        <f>IF(N52="","",VLOOKUP(N52,非_単位補正換算!$B$3:$C$16,2,FALSE))</f>
        <v/>
      </c>
      <c r="AI52" s="490" t="str">
        <f t="shared" si="59"/>
        <v/>
      </c>
      <c r="AJ52" s="490" t="str">
        <f t="shared" si="60"/>
        <v/>
      </c>
      <c r="AK52" s="490">
        <f t="shared" si="61"/>
        <v>1</v>
      </c>
      <c r="AL52" s="490" t="str">
        <f t="shared" si="62"/>
        <v/>
      </c>
      <c r="AM52" s="490" t="b">
        <f t="shared" si="28"/>
        <v>1</v>
      </c>
      <c r="AN52" s="490" t="str">
        <f t="shared" si="63"/>
        <v/>
      </c>
      <c r="AO52" s="490" t="str">
        <f t="shared" si="64"/>
        <v/>
      </c>
      <c r="AP52" s="490" t="str">
        <f t="shared" si="87"/>
        <v/>
      </c>
      <c r="AQ52" s="490" t="str">
        <f t="shared" si="65"/>
        <v/>
      </c>
      <c r="AR52" s="490" t="str">
        <f t="shared" si="66"/>
        <v/>
      </c>
      <c r="AS52" s="490" t="str">
        <f>IF(AR52&lt;&gt;"義務","",SUMIFS(非_まとめ表行番号!$N$3:$N$20,非_まとめ表行番号!$J$3:$J$20,AN52,非_まとめ表行番号!$K$3:$K$20,AO52,非_まとめ表行番号!$L$3:$L$20,AP52,非_まとめ表行番号!$M$3:$M$20,AQ52))</f>
        <v/>
      </c>
      <c r="AT52" s="490" t="str">
        <f>IF(AR52&lt;&gt;"義務","",SUMIFS(非_まとめ表行番号!$O$3:$O$20,非_まとめ表行番号!$J$3:$J$20,AN52,非_まとめ表行番号!$K$3:$K$20,AO52,非_まとめ表行番号!$L$3:$L$20,AP52,非_まとめ表行番号!$M$3:$M$20,AQ52))</f>
        <v/>
      </c>
      <c r="AU52" s="490" t="str">
        <f t="shared" si="67"/>
        <v/>
      </c>
      <c r="AW52" s="490" t="str">
        <f>IF(AS52="","",VLOOKUP(AS52,非_まとめ表行番号!$U$3:$V$56,2,FALSE))</f>
        <v/>
      </c>
      <c r="AX52" s="490" t="str">
        <f>IF(D52="","",VLOOKUP(D52,非_燃料種類_選択リスト!$X$2:$Y$14,2,FALSE))</f>
        <v/>
      </c>
      <c r="AY52" s="490" t="str">
        <f>IF(E52="","",VLOOKUP(E52,非_燃料種類_選択リスト!$X$18:$Y$24,2,FALSE))</f>
        <v/>
      </c>
      <c r="AZ52" s="490" t="str">
        <f t="shared" si="68"/>
        <v/>
      </c>
      <c r="BA52" s="490" t="str">
        <f t="shared" si="69"/>
        <v/>
      </c>
      <c r="BB52" s="490" t="str">
        <f t="shared" si="70"/>
        <v/>
      </c>
      <c r="BC52" s="490" t="str">
        <f t="shared" si="71"/>
        <v/>
      </c>
      <c r="BD52" s="490" t="str">
        <f t="shared" si="72"/>
        <v/>
      </c>
      <c r="BE52" s="84">
        <v>3</v>
      </c>
    </row>
    <row r="53" spans="1:57" ht="18.75" customHeight="1" thickBot="1">
      <c r="A53" s="587"/>
      <c r="B53" s="622"/>
      <c r="C53" s="623"/>
      <c r="D53" s="623"/>
      <c r="E53" s="407"/>
      <c r="F53" s="410"/>
      <c r="G53" s="596"/>
      <c r="H53" s="327" t="str">
        <f t="shared" si="73"/>
        <v/>
      </c>
      <c r="I53" s="623"/>
      <c r="J53" s="481" t="str">
        <f t="shared" si="54"/>
        <v/>
      </c>
      <c r="K53" s="596"/>
      <c r="L53" s="405"/>
      <c r="M53" s="401"/>
      <c r="N53" s="596"/>
      <c r="O53" s="480"/>
      <c r="P53" s="512"/>
      <c r="Q53" s="330" t="str">
        <f t="shared" si="74"/>
        <v/>
      </c>
      <c r="R53" s="337" t="str">
        <f t="shared" si="75"/>
        <v/>
      </c>
      <c r="S53" s="338" t="str">
        <f>IF(C53="","",VLOOKUP(C53,非_単位!$N$38:$O$53,2,FALSE))</f>
        <v/>
      </c>
      <c r="T53" s="331" t="str">
        <f t="shared" si="76"/>
        <v/>
      </c>
      <c r="U53" s="439" t="str">
        <f t="shared" si="77"/>
        <v/>
      </c>
      <c r="W53" s="490" t="str">
        <f t="shared" si="55"/>
        <v/>
      </c>
      <c r="X53" s="490" t="str">
        <f t="shared" si="78"/>
        <v/>
      </c>
      <c r="Y53" s="490" t="str">
        <f t="shared" si="56"/>
        <v/>
      </c>
      <c r="Z53" s="490" t="str">
        <f t="shared" si="57"/>
        <v/>
      </c>
      <c r="AA53" s="490"/>
      <c r="AB53" s="490" t="str">
        <f t="shared" si="79"/>
        <v/>
      </c>
      <c r="AC53" s="490" t="str">
        <f t="shared" si="58"/>
        <v/>
      </c>
      <c r="AD53" s="490" t="str">
        <f t="shared" si="80"/>
        <v/>
      </c>
      <c r="AE53" s="490"/>
      <c r="AF53" s="490" t="str">
        <f>IF(C53="","",IF(C53="電気_仮想電力購入契約","",VLOOKUP(C53,非_係数!$B$42:$D$55,2,FALSE)))</f>
        <v/>
      </c>
      <c r="AG53" s="490" t="str">
        <f>IF(W53="電気",非_電気事業者!$S$4*1000,IF(W53="熱",非_熱供給事業者!$T$4,""))</f>
        <v/>
      </c>
      <c r="AH53" s="490" t="str">
        <f>IF(N53="","",VLOOKUP(N53,非_単位補正換算!$B$3:$C$16,2,FALSE))</f>
        <v/>
      </c>
      <c r="AI53" s="490" t="str">
        <f t="shared" si="59"/>
        <v/>
      </c>
      <c r="AJ53" s="490" t="str">
        <f t="shared" si="60"/>
        <v/>
      </c>
      <c r="AK53" s="490">
        <f t="shared" si="61"/>
        <v>1</v>
      </c>
      <c r="AL53" s="490" t="str">
        <f t="shared" si="62"/>
        <v/>
      </c>
      <c r="AM53" s="490" t="b">
        <f t="shared" si="28"/>
        <v>1</v>
      </c>
      <c r="AN53" s="490" t="str">
        <f t="shared" si="63"/>
        <v/>
      </c>
      <c r="AO53" s="490" t="str">
        <f t="shared" si="64"/>
        <v/>
      </c>
      <c r="AP53" s="490" t="str">
        <f t="shared" si="87"/>
        <v/>
      </c>
      <c r="AQ53" s="490" t="str">
        <f t="shared" si="65"/>
        <v/>
      </c>
      <c r="AR53" s="490" t="str">
        <f t="shared" si="66"/>
        <v/>
      </c>
      <c r="AS53" s="490" t="str">
        <f>IF(AR53&lt;&gt;"義務","",SUMIFS(非_まとめ表行番号!$N$3:$N$20,非_まとめ表行番号!$J$3:$J$20,AN53,非_まとめ表行番号!$K$3:$K$20,AO53,非_まとめ表行番号!$L$3:$L$20,AP53,非_まとめ表行番号!$M$3:$M$20,AQ53))</f>
        <v/>
      </c>
      <c r="AT53" s="490" t="str">
        <f>IF(AR53&lt;&gt;"義務","",SUMIFS(非_まとめ表行番号!$O$3:$O$20,非_まとめ表行番号!$J$3:$J$20,AN53,非_まとめ表行番号!$K$3:$K$20,AO53,非_まとめ表行番号!$L$3:$L$20,AP53,非_まとめ表行番号!$M$3:$M$20,AQ53))</f>
        <v/>
      </c>
      <c r="AU53" s="490" t="str">
        <f t="shared" si="67"/>
        <v/>
      </c>
      <c r="AW53" s="490" t="str">
        <f>IF(AS53="","",VLOOKUP(AS53,非_まとめ表行番号!$U$3:$V$56,2,FALSE))</f>
        <v/>
      </c>
      <c r="AX53" s="490" t="str">
        <f>IF(D53="","",VLOOKUP(D53,非_燃料種類_選択リスト!$X$2:$Y$14,2,FALSE))</f>
        <v/>
      </c>
      <c r="AY53" s="490" t="str">
        <f>IF(E53="","",VLOOKUP(E53,非_燃料種類_選択リスト!$X$18:$Y$24,2,FALSE))</f>
        <v/>
      </c>
      <c r="AZ53" s="490" t="str">
        <f t="shared" si="68"/>
        <v/>
      </c>
      <c r="BA53" s="490" t="str">
        <f t="shared" si="69"/>
        <v/>
      </c>
      <c r="BB53" s="490" t="str">
        <f t="shared" si="70"/>
        <v/>
      </c>
      <c r="BC53" s="490" t="str">
        <f t="shared" si="71"/>
        <v/>
      </c>
      <c r="BD53" s="490" t="str">
        <f t="shared" si="72"/>
        <v/>
      </c>
      <c r="BE53" s="84">
        <v>3</v>
      </c>
    </row>
    <row r="54" spans="1:57" ht="17.25" customHeight="1" thickTop="1" thickBot="1">
      <c r="A54" s="609"/>
      <c r="B54" s="324" t="s">
        <v>224</v>
      </c>
      <c r="C54" s="325"/>
      <c r="D54" s="325"/>
      <c r="E54" s="325"/>
      <c r="F54" s="325"/>
      <c r="G54" s="325"/>
      <c r="H54" s="325"/>
      <c r="I54" s="325"/>
      <c r="J54" s="325"/>
      <c r="K54" s="325"/>
      <c r="L54" s="325"/>
      <c r="M54" s="325"/>
      <c r="N54" s="325"/>
      <c r="O54" s="325"/>
      <c r="P54" s="325"/>
      <c r="Q54" s="325"/>
      <c r="R54" s="336"/>
      <c r="S54" s="336"/>
      <c r="T54" s="57"/>
      <c r="U54" s="438"/>
      <c r="AP54" s="84" t="str">
        <f t="shared" si="87"/>
        <v/>
      </c>
    </row>
    <row r="55" spans="1:57" ht="18.75" customHeight="1" thickTop="1">
      <c r="A55" s="581" t="s">
        <v>2052</v>
      </c>
      <c r="B55" s="523"/>
      <c r="C55" s="400"/>
      <c r="D55" s="400"/>
      <c r="E55" s="407"/>
      <c r="F55" s="411"/>
      <c r="G55" s="401"/>
      <c r="H55" s="327" t="str">
        <f>AF55</f>
        <v/>
      </c>
      <c r="I55" s="400"/>
      <c r="J55" s="481" t="str">
        <f t="shared" ref="J55:J64" si="94">IF(I55="","",IF(I55="目標設定ガスの算定対象外",0,IF(I55="国代替値",AG55,"要記入")))</f>
        <v/>
      </c>
      <c r="K55" s="401"/>
      <c r="L55" s="403"/>
      <c r="M55" s="401"/>
      <c r="N55" s="401"/>
      <c r="O55" s="481"/>
      <c r="P55" s="512"/>
      <c r="Q55" s="330" t="str">
        <f>IF(O55="","",IF(P55="",O55,P55*O55))</f>
        <v/>
      </c>
      <c r="R55" s="337" t="str">
        <f>IF(AI55="","",-1*AI55)</f>
        <v/>
      </c>
      <c r="S55" s="338" t="str">
        <f>IF(C55="","",VLOOKUP(C55,非_単位!$N$38:$O$53,2,FALSE))</f>
        <v/>
      </c>
      <c r="T55" s="331" t="str">
        <f>IF(AJ55="","",-1*AJ55)</f>
        <v/>
      </c>
      <c r="U55" s="439" t="str">
        <f>IF(AL55="","",-1*AL55)</f>
        <v/>
      </c>
      <c r="W55" s="490" t="str">
        <f t="shared" ref="W55:W64" si="95">IF(C55="","",IF(LEFT(C55,2)="電気","電気","熱"))</f>
        <v/>
      </c>
      <c r="X55" s="490" t="str">
        <f>IF(AD55="","",IF(AD55="自家消費以外","再エネ_自家消費以外_対象外_種類","再エネ_自家消費_対象外_種類"))</f>
        <v/>
      </c>
      <c r="Y55" s="490" t="str">
        <f t="shared" ref="Y55:Y64" si="96">IF(C55="","","再エネ_種類_選択")</f>
        <v/>
      </c>
      <c r="Z55" s="490" t="str">
        <f t="shared" ref="Z55:Z64" si="97">IF(D55="バイオマス","バイオマス_種類_選択","")</f>
        <v/>
      </c>
      <c r="AA55" s="490"/>
      <c r="AB55" s="490" t="str">
        <f t="shared" ref="AB55:AB64" si="98">IF(C55="","",IF(AND(AA55&lt;&gt;"",F55="無"),"環境価値_バイオマス持続可能性無_選択","環境価値_選択"))</f>
        <v/>
      </c>
      <c r="AC55" s="490" t="str">
        <f>IF(C55="","",IF(G55="","",IF(F55="無","再エネ_係数根拠_持続可能性無",IF(G55="有","再エネ_係数根拠_環境価値有","再エネ_係数根拠_環境価値無"))))</f>
        <v/>
      </c>
      <c r="AD55" s="490" t="str">
        <f t="shared" ref="AD55:AD64" si="99">IF(B55="","",IF(LEFT(B55,6)="自家消費以外","自家消費以外","自家消費"))</f>
        <v/>
      </c>
      <c r="AE55" s="490" t="str">
        <f t="shared" ref="AE55:AE64" si="100">IF(AD55="","",IF(AD55="自家消費",IF(W55&lt;&gt;"熱","",IF(OR(D55="太陽光",D55="地熱",D55="温泉熱",D55="雪氷熱"),"対象","")),""))</f>
        <v/>
      </c>
      <c r="AF55" s="490" t="str">
        <f>IF(C55="","",IF(AE55="対象","熱量計読取",VLOOKUP(C55,非_係数!$B$42:$D$55,2,FALSE)))</f>
        <v/>
      </c>
      <c r="AG55" s="490" t="str">
        <f>IF(W55="電気",非_電気事業者!$S$4*1000,IF(W55="熱",非_熱供給事業者!$T$4,""))</f>
        <v/>
      </c>
      <c r="AH55" s="490" t="str">
        <f>IF(N55="","",VLOOKUP(N55,非_単位補正換算!$B$3:$C$16,2,FALSE))</f>
        <v/>
      </c>
      <c r="AI55" s="490" t="str">
        <f t="shared" ref="AI55:AI64" si="101">IF(N55="","",IF(Q55="","",-1*Q55/AH55))</f>
        <v/>
      </c>
      <c r="AJ55" s="490" t="str">
        <f t="shared" ref="AJ55:AJ64" si="102">IF(AI55="","",IF(AE55="対象",AI55,IF(H55="","",AI55*H55)))</f>
        <v/>
      </c>
      <c r="AK55" s="490">
        <v>1</v>
      </c>
      <c r="AL55" s="490" t="str">
        <f t="shared" ref="AL55:AL64" si="103">IF(AI55="","",IF(ISNUMBER(J55),AI55*J55,""))</f>
        <v/>
      </c>
      <c r="AM55" s="490" t="b">
        <f t="shared" si="28"/>
        <v>1</v>
      </c>
      <c r="AN55" s="490" t="str">
        <f>W55</f>
        <v/>
      </c>
      <c r="AO55" s="490" t="str">
        <f t="shared" ref="AO55:AO64" si="104">IF(G55="","",G55)</f>
        <v/>
      </c>
      <c r="AP55" s="490" t="str">
        <f t="shared" si="87"/>
        <v/>
      </c>
      <c r="AQ55" s="490" t="str">
        <f>IF(F55="","",F55)</f>
        <v/>
      </c>
      <c r="AR55" s="490" t="str">
        <f>IF(D55="","",IF(LEFT(D55,2)="任意","任意","義務"))</f>
        <v/>
      </c>
      <c r="AS55" s="490" t="str">
        <f>IF(AR55&lt;&gt;"義務","",SUMIFS(非_まとめ表行番号!$N$3:$N$20,非_まとめ表行番号!$J$3:$J$20,AN55,非_まとめ表行番号!$K$3:$K$20,AO55,非_まとめ表行番号!$L$3:$L$20,AP55,非_まとめ表行番号!$M$3:$M$20,AQ55))</f>
        <v/>
      </c>
      <c r="AT55" s="490" t="str">
        <f>IF(AR55&lt;&gt;"義務","",SUMIFS(非_まとめ表行番号!$O$3:$O$20,非_まとめ表行番号!$J$3:$J$20,AN55,非_まとめ表行番号!$K$3:$K$20,AO55,非_まとめ表行番号!$L$3:$L$20,AP55,非_まとめ表行番号!$M$3:$M$20,AQ55))</f>
        <v/>
      </c>
      <c r="AU55" s="490" t="str">
        <f t="shared" ref="AU55:AU64" si="105">IF(M55="無","乗率_除外する排出量","")</f>
        <v/>
      </c>
      <c r="AW55" s="490" t="str">
        <f>IF(AS55="","",VLOOKUP(AS55,非_まとめ表行番号!$U$3:$V$56,2,FALSE))</f>
        <v/>
      </c>
      <c r="AX55" s="490" t="str">
        <f>IF(D55="","",VLOOKUP(D55,非_燃料種類_選択リスト!$X$2:$Y$14,2,FALSE))</f>
        <v/>
      </c>
      <c r="AY55" s="490" t="str">
        <f>IF(E55="","",VLOOKUP(E55,非_燃料種類_選択リスト!$X$18:$Y$24,2,FALSE))</f>
        <v/>
      </c>
      <c r="AZ55" s="490" t="str">
        <f t="shared" ref="AZ55:AZ64" si="106">IF(AW55=46,0,IF(H55="","",IF(H55="熱量計読取",1,H55)))</f>
        <v/>
      </c>
      <c r="BA55" s="490" t="str">
        <f t="shared" ref="BA55:BA64" si="107">IF(I55="","",I55)</f>
        <v/>
      </c>
      <c r="BB55" s="490" t="str">
        <f t="shared" ref="BB55:BB64" si="108">IF(J55="","",J55)</f>
        <v/>
      </c>
      <c r="BC55" s="490" t="str">
        <f t="shared" ref="BC55:BC64" si="109">IF(R55="","",R55)</f>
        <v/>
      </c>
      <c r="BD55" s="490" t="str">
        <f>IF(AL55="","",-1)</f>
        <v/>
      </c>
      <c r="BE55" s="84">
        <v>1</v>
      </c>
    </row>
    <row r="56" spans="1:57" ht="18.75" customHeight="1">
      <c r="A56" s="582"/>
      <c r="B56" s="523"/>
      <c r="C56" s="400"/>
      <c r="D56" s="400"/>
      <c r="E56" s="407"/>
      <c r="F56" s="412"/>
      <c r="G56" s="401"/>
      <c r="H56" s="327" t="str">
        <f t="shared" ref="H56:H64" si="110">AF56</f>
        <v/>
      </c>
      <c r="I56" s="400"/>
      <c r="J56" s="481" t="str">
        <f t="shared" si="94"/>
        <v/>
      </c>
      <c r="K56" s="401"/>
      <c r="L56" s="404"/>
      <c r="M56" s="401"/>
      <c r="N56" s="401"/>
      <c r="O56" s="482"/>
      <c r="P56" s="512"/>
      <c r="Q56" s="330" t="str">
        <f t="shared" ref="Q56:Q64" si="111">IF(O56="","",IF(P56="",O56,P56*O56))</f>
        <v/>
      </c>
      <c r="R56" s="337" t="str">
        <f t="shared" ref="R56:R64" si="112">IF(AI56="","",-1*AI56)</f>
        <v/>
      </c>
      <c r="S56" s="338" t="str">
        <f>IF(C56="","",VLOOKUP(C56,非_単位!$N$38:$O$53,2,FALSE))</f>
        <v/>
      </c>
      <c r="T56" s="331" t="str">
        <f t="shared" ref="T56:T64" si="113">IF(AJ56="","",-1*AJ56)</f>
        <v/>
      </c>
      <c r="U56" s="439" t="str">
        <f t="shared" ref="U56:U64" si="114">IF(AL56="","",-1*AL56)</f>
        <v/>
      </c>
      <c r="W56" s="490" t="str">
        <f t="shared" si="95"/>
        <v/>
      </c>
      <c r="X56" s="490" t="str">
        <f t="shared" ref="X56:X64" si="115">IF(B56="","",IF(LEFT(B56,6)="自家消費以外","再エネ_自家消費以外_対象外_種類","再エネ_自家消費_対象外_種類"))</f>
        <v/>
      </c>
      <c r="Y56" s="490" t="str">
        <f t="shared" si="96"/>
        <v/>
      </c>
      <c r="Z56" s="490" t="str">
        <f t="shared" si="97"/>
        <v/>
      </c>
      <c r="AA56" s="490"/>
      <c r="AB56" s="490" t="str">
        <f t="shared" si="98"/>
        <v/>
      </c>
      <c r="AC56" s="490" t="str">
        <f t="shared" ref="AC56:AC64" si="116">IF(C56="","",IF(C56="電気_仮想電力購入契約","再エネ_係数根拠_仮想電力購入契約",IF(G56="","",IF(G56="有","再エネ_係数根拠_環境価値有","再エネ_係数根拠_環境価値無"))))</f>
        <v/>
      </c>
      <c r="AD56" s="490" t="str">
        <f t="shared" si="99"/>
        <v/>
      </c>
      <c r="AE56" s="490" t="str">
        <f t="shared" si="100"/>
        <v/>
      </c>
      <c r="AF56" s="490" t="str">
        <f>IF(C56="","",IF(AE56="対象","熱量計読取",VLOOKUP(C56,非_係数!$B$42:$D$55,2,FALSE)))</f>
        <v/>
      </c>
      <c r="AG56" s="490" t="str">
        <f>IF(W56="電気",非_電気事業者!$S$4*1000,IF(W56="熱",非_熱供給事業者!$T$4,""))</f>
        <v/>
      </c>
      <c r="AH56" s="490" t="str">
        <f>IF(N56="","",VLOOKUP(N56,非_単位補正換算!$B$3:$C$16,2,FALSE))</f>
        <v/>
      </c>
      <c r="AI56" s="490" t="str">
        <f t="shared" si="101"/>
        <v/>
      </c>
      <c r="AJ56" s="490" t="str">
        <f t="shared" si="102"/>
        <v/>
      </c>
      <c r="AK56" s="490">
        <v>1</v>
      </c>
      <c r="AL56" s="490" t="str">
        <f t="shared" si="103"/>
        <v/>
      </c>
      <c r="AM56" s="490" t="b">
        <f t="shared" si="28"/>
        <v>1</v>
      </c>
      <c r="AN56" s="490" t="str">
        <f>W56</f>
        <v/>
      </c>
      <c r="AO56" s="490" t="str">
        <f t="shared" si="104"/>
        <v/>
      </c>
      <c r="AP56" s="490" t="str">
        <f t="shared" si="87"/>
        <v/>
      </c>
      <c r="AQ56" s="490" t="str">
        <f>IF(F56="","",F56)</f>
        <v/>
      </c>
      <c r="AR56" s="490" t="str">
        <f>IF(D56="","",IF(LEFT(D56,2)="任意","任意","義務"))</f>
        <v/>
      </c>
      <c r="AS56" s="490" t="str">
        <f>IF(AR56&lt;&gt;"義務","",SUMIFS(非_まとめ表行番号!$N$3:$N$20,非_まとめ表行番号!$J$3:$J$20,AN56,非_まとめ表行番号!$K$3:$K$20,AO56,非_まとめ表行番号!$L$3:$L$20,AP56,非_まとめ表行番号!$M$3:$M$20,AQ56))</f>
        <v/>
      </c>
      <c r="AT56" s="490" t="str">
        <f>IF(AR56&lt;&gt;"義務","",SUMIFS(非_まとめ表行番号!$O$3:$O$20,非_まとめ表行番号!$J$3:$J$20,AN56,非_まとめ表行番号!$K$3:$K$20,AO56,非_まとめ表行番号!$L$3:$L$20,AP56,非_まとめ表行番号!$M$3:$M$20,AQ56))</f>
        <v/>
      </c>
      <c r="AU56" s="490" t="str">
        <f t="shared" si="105"/>
        <v/>
      </c>
      <c r="AW56" s="490" t="str">
        <f>IF(AS56="","",VLOOKUP(AS56,非_まとめ表行番号!$U$3:$V$56,2,FALSE))</f>
        <v/>
      </c>
      <c r="AX56" s="490" t="str">
        <f>IF(D56="","",VLOOKUP(D56,非_燃料種類_選択リスト!$X$2:$Y$14,2,FALSE))</f>
        <v/>
      </c>
      <c r="AY56" s="490" t="str">
        <f>IF(E56="","",VLOOKUP(E56,非_燃料種類_選択リスト!$X$18:$Y$24,2,FALSE))</f>
        <v/>
      </c>
      <c r="AZ56" s="490" t="str">
        <f t="shared" si="106"/>
        <v/>
      </c>
      <c r="BA56" s="490" t="str">
        <f t="shared" si="107"/>
        <v/>
      </c>
      <c r="BB56" s="490" t="str">
        <f t="shared" si="108"/>
        <v/>
      </c>
      <c r="BC56" s="490" t="str">
        <f t="shared" si="109"/>
        <v/>
      </c>
      <c r="BD56" s="490" t="str">
        <f t="shared" ref="BD56:BD64" si="117">IF(AL56="","",-1)</f>
        <v/>
      </c>
      <c r="BE56" s="84">
        <v>1</v>
      </c>
    </row>
    <row r="57" spans="1:57" ht="18.75" customHeight="1">
      <c r="A57" s="582"/>
      <c r="B57" s="523"/>
      <c r="C57" s="400"/>
      <c r="D57" s="400"/>
      <c r="E57" s="407"/>
      <c r="F57" s="412"/>
      <c r="G57" s="401"/>
      <c r="H57" s="327" t="str">
        <f t="shared" si="110"/>
        <v/>
      </c>
      <c r="I57" s="400"/>
      <c r="J57" s="481" t="str">
        <f t="shared" si="94"/>
        <v/>
      </c>
      <c r="K57" s="401"/>
      <c r="L57" s="404"/>
      <c r="M57" s="401"/>
      <c r="N57" s="401"/>
      <c r="O57" s="482"/>
      <c r="P57" s="512"/>
      <c r="Q57" s="330" t="str">
        <f t="shared" si="111"/>
        <v/>
      </c>
      <c r="R57" s="337" t="str">
        <f t="shared" si="112"/>
        <v/>
      </c>
      <c r="S57" s="338" t="str">
        <f>IF(C57="","",VLOOKUP(C57,非_単位!$N$38:$O$53,2,FALSE))</f>
        <v/>
      </c>
      <c r="T57" s="331" t="str">
        <f t="shared" si="113"/>
        <v/>
      </c>
      <c r="U57" s="439" t="str">
        <f t="shared" si="114"/>
        <v/>
      </c>
      <c r="W57" s="490" t="str">
        <f t="shared" si="95"/>
        <v/>
      </c>
      <c r="X57" s="490" t="str">
        <f t="shared" si="115"/>
        <v/>
      </c>
      <c r="Y57" s="490" t="str">
        <f t="shared" si="96"/>
        <v/>
      </c>
      <c r="Z57" s="490" t="str">
        <f t="shared" si="97"/>
        <v/>
      </c>
      <c r="AA57" s="490"/>
      <c r="AB57" s="490" t="str">
        <f t="shared" si="98"/>
        <v/>
      </c>
      <c r="AC57" s="490" t="str">
        <f t="shared" si="116"/>
        <v/>
      </c>
      <c r="AD57" s="490" t="str">
        <f t="shared" si="99"/>
        <v/>
      </c>
      <c r="AE57" s="490" t="str">
        <f t="shared" si="100"/>
        <v/>
      </c>
      <c r="AF57" s="490" t="str">
        <f>IF(C57="","",IF(AE57="対象","熱量計読取",VLOOKUP(C57,非_係数!$B$42:$D$55,2,FALSE)))</f>
        <v/>
      </c>
      <c r="AG57" s="490" t="str">
        <f>IF(W57="電気",非_電気事業者!$S$4*1000,IF(W57="熱",非_熱供給事業者!$T$4,""))</f>
        <v/>
      </c>
      <c r="AH57" s="490" t="str">
        <f>IF(N57="","",VLOOKUP(N57,非_単位補正換算!$B$3:$C$16,2,FALSE))</f>
        <v/>
      </c>
      <c r="AI57" s="490" t="str">
        <f t="shared" si="101"/>
        <v/>
      </c>
      <c r="AJ57" s="490" t="str">
        <f t="shared" si="102"/>
        <v/>
      </c>
      <c r="AK57" s="490">
        <v>1</v>
      </c>
      <c r="AL57" s="490" t="str">
        <f t="shared" si="103"/>
        <v/>
      </c>
      <c r="AM57" s="490" t="b">
        <f t="shared" si="28"/>
        <v>1</v>
      </c>
      <c r="AN57" s="490" t="str">
        <f>W57</f>
        <v/>
      </c>
      <c r="AO57" s="490" t="str">
        <f t="shared" si="104"/>
        <v/>
      </c>
      <c r="AP57" s="490" t="str">
        <f t="shared" si="87"/>
        <v/>
      </c>
      <c r="AQ57" s="490" t="str">
        <f>IF(F57="","",F57)</f>
        <v/>
      </c>
      <c r="AR57" s="490" t="str">
        <f>IF(D57="","",IF(LEFT(D57,2)="任意","任意","義務"))</f>
        <v/>
      </c>
      <c r="AS57" s="490" t="str">
        <f>IF(AR57&lt;&gt;"義務","",SUMIFS(非_まとめ表行番号!$N$3:$N$20,非_まとめ表行番号!$J$3:$J$20,AN57,非_まとめ表行番号!$K$3:$K$20,AO57,非_まとめ表行番号!$L$3:$L$20,AP57,非_まとめ表行番号!$M$3:$M$20,AQ57))</f>
        <v/>
      </c>
      <c r="AT57" s="490" t="str">
        <f>IF(AR57&lt;&gt;"義務","",SUMIFS(非_まとめ表行番号!$O$3:$O$20,非_まとめ表行番号!$J$3:$J$20,AN57,非_まとめ表行番号!$K$3:$K$20,AO57,非_まとめ表行番号!$L$3:$L$20,AP57,非_まとめ表行番号!$M$3:$M$20,AQ57))</f>
        <v/>
      </c>
      <c r="AU57" s="490" t="str">
        <f t="shared" si="105"/>
        <v/>
      </c>
      <c r="AW57" s="490" t="str">
        <f>IF(AS57="","",VLOOKUP(AS57,非_まとめ表行番号!$U$3:$V$56,2,FALSE))</f>
        <v/>
      </c>
      <c r="AX57" s="490" t="str">
        <f>IF(D57="","",VLOOKUP(D57,非_燃料種類_選択リスト!$X$2:$Y$14,2,FALSE))</f>
        <v/>
      </c>
      <c r="AY57" s="490" t="str">
        <f>IF(E57="","",VLOOKUP(E57,非_燃料種類_選択リスト!$X$18:$Y$24,2,FALSE))</f>
        <v/>
      </c>
      <c r="AZ57" s="490" t="str">
        <f t="shared" si="106"/>
        <v/>
      </c>
      <c r="BA57" s="490" t="str">
        <f t="shared" si="107"/>
        <v/>
      </c>
      <c r="BB57" s="490" t="str">
        <f t="shared" si="108"/>
        <v/>
      </c>
      <c r="BC57" s="490" t="str">
        <f t="shared" si="109"/>
        <v/>
      </c>
      <c r="BD57" s="490" t="str">
        <f t="shared" si="117"/>
        <v/>
      </c>
      <c r="BE57" s="84">
        <v>1</v>
      </c>
    </row>
    <row r="58" spans="1:57" ht="18.75" customHeight="1" thickBot="1">
      <c r="A58" s="582"/>
      <c r="B58" s="610"/>
      <c r="C58" s="611"/>
      <c r="D58" s="611"/>
      <c r="E58" s="407"/>
      <c r="F58" s="412"/>
      <c r="G58" s="618"/>
      <c r="H58" s="680" t="str">
        <f t="shared" ref="H58:H61" si="118">AF58</f>
        <v/>
      </c>
      <c r="I58" s="611"/>
      <c r="J58" s="706" t="str">
        <f t="shared" si="94"/>
        <v/>
      </c>
      <c r="K58" s="618"/>
      <c r="L58" s="404"/>
      <c r="M58" s="401"/>
      <c r="N58" s="618"/>
      <c r="O58" s="699"/>
      <c r="P58" s="512"/>
      <c r="Q58" s="685" t="str">
        <f t="shared" si="111"/>
        <v/>
      </c>
      <c r="R58" s="686" t="str">
        <f t="shared" ref="R58:R61" si="119">IF(AI58="","",-1*AI58)</f>
        <v/>
      </c>
      <c r="S58" s="687" t="str">
        <f>IF(C58="","",VLOOKUP(C58,非_単位!$N$38:$O$53,2,FALSE))</f>
        <v/>
      </c>
      <c r="T58" s="688" t="str">
        <f t="shared" ref="T58:T61" si="120">IF(AJ58="","",-1*AJ58)</f>
        <v/>
      </c>
      <c r="U58" s="689" t="str">
        <f t="shared" ref="U58:U61" si="121">IF(AL58="","",-1*AL58)</f>
        <v/>
      </c>
      <c r="W58" s="490" t="str">
        <f t="shared" si="95"/>
        <v/>
      </c>
      <c r="X58" s="490" t="str">
        <f t="shared" si="115"/>
        <v/>
      </c>
      <c r="Y58" s="490" t="str">
        <f t="shared" si="96"/>
        <v/>
      </c>
      <c r="Z58" s="490" t="str">
        <f t="shared" si="97"/>
        <v/>
      </c>
      <c r="AA58" s="490"/>
      <c r="AB58" s="490" t="str">
        <f t="shared" si="98"/>
        <v/>
      </c>
      <c r="AC58" s="490" t="str">
        <f t="shared" si="116"/>
        <v/>
      </c>
      <c r="AD58" s="490" t="str">
        <f t="shared" si="99"/>
        <v/>
      </c>
      <c r="AE58" s="490" t="str">
        <f t="shared" si="100"/>
        <v/>
      </c>
      <c r="AF58" s="490" t="str">
        <f>IF(C58="","",IF(AE58="対象","熱量計読取",VLOOKUP(C58,非_係数!$B$42:$D$55,2,FALSE)))</f>
        <v/>
      </c>
      <c r="AG58" s="490" t="str">
        <f>IF(W58="電気",非_電気事業者!$S$4*1000,IF(W58="熱",非_熱供給事業者!$T$4,""))</f>
        <v/>
      </c>
      <c r="AH58" s="490" t="str">
        <f>IF(N58="","",VLOOKUP(N58,非_単位補正換算!$B$3:$C$16,2,FALSE))</f>
        <v/>
      </c>
      <c r="AI58" s="490" t="str">
        <f t="shared" si="101"/>
        <v/>
      </c>
      <c r="AJ58" s="490" t="str">
        <f t="shared" si="102"/>
        <v/>
      </c>
      <c r="AK58" s="490">
        <v>1</v>
      </c>
      <c r="AL58" s="490" t="str">
        <f t="shared" si="103"/>
        <v/>
      </c>
      <c r="AM58" s="490" t="b">
        <f t="shared" si="28"/>
        <v>1</v>
      </c>
      <c r="AN58" s="490" t="str">
        <f t="shared" ref="AN58:AN61" si="122">W58</f>
        <v/>
      </c>
      <c r="AO58" s="490" t="str">
        <f t="shared" si="104"/>
        <v/>
      </c>
      <c r="AP58" s="490" t="str">
        <f t="shared" si="87"/>
        <v/>
      </c>
      <c r="AQ58" s="490" t="str">
        <f t="shared" ref="AQ58:AQ61" si="123">IF(F58="","",F58)</f>
        <v/>
      </c>
      <c r="AR58" s="490" t="str">
        <f t="shared" ref="AR58:AR64" si="124">IF(D58="","",IF(LEFT(D58,2)="任意","任意","義務"))</f>
        <v/>
      </c>
      <c r="AS58" s="490" t="str">
        <f>IF(AR58&lt;&gt;"義務","",SUMIFS(非_まとめ表行番号!$N$3:$N$20,非_まとめ表行番号!$J$3:$J$20,AN58,非_まとめ表行番号!$K$3:$K$20,AO58,非_まとめ表行番号!$L$3:$L$20,AP58,非_まとめ表行番号!$M$3:$M$20,AQ58))</f>
        <v/>
      </c>
      <c r="AT58" s="490" t="str">
        <f>IF(AR58&lt;&gt;"義務","",SUMIFS(非_まとめ表行番号!$O$3:$O$20,非_まとめ表行番号!$J$3:$J$20,AN58,非_まとめ表行番号!$K$3:$K$20,AO58,非_まとめ表行番号!$L$3:$L$20,AP58,非_まとめ表行番号!$M$3:$M$20,AQ58))</f>
        <v/>
      </c>
      <c r="AU58" s="490" t="str">
        <f t="shared" si="105"/>
        <v/>
      </c>
      <c r="AW58" s="490" t="str">
        <f>IF(AS58="","",VLOOKUP(AS58,非_まとめ表行番号!$U$3:$V$56,2,FALSE))</f>
        <v/>
      </c>
      <c r="AX58" s="490" t="str">
        <f>IF(D58="","",VLOOKUP(D58,非_燃料種類_選択リスト!$X$2:$Y$14,2,FALSE))</f>
        <v/>
      </c>
      <c r="AY58" s="490" t="str">
        <f>IF(E58="","",VLOOKUP(E58,非_燃料種類_選択リスト!$X$18:$Y$24,2,FALSE))</f>
        <v/>
      </c>
      <c r="AZ58" s="490" t="str">
        <f t="shared" si="106"/>
        <v/>
      </c>
      <c r="BA58" s="490" t="str">
        <f t="shared" si="107"/>
        <v/>
      </c>
      <c r="BB58" s="490" t="str">
        <f t="shared" si="108"/>
        <v/>
      </c>
      <c r="BC58" s="490" t="str">
        <f t="shared" si="109"/>
        <v/>
      </c>
      <c r="BD58" s="490" t="str">
        <f t="shared" si="117"/>
        <v/>
      </c>
      <c r="BE58" s="84">
        <v>1</v>
      </c>
    </row>
    <row r="59" spans="1:57" ht="18.75" customHeight="1" thickTop="1">
      <c r="A59" s="583" t="s">
        <v>2053</v>
      </c>
      <c r="B59" s="612"/>
      <c r="C59" s="613"/>
      <c r="D59" s="613"/>
      <c r="E59" s="407"/>
      <c r="F59" s="412"/>
      <c r="G59" s="619"/>
      <c r="H59" s="681" t="str">
        <f t="shared" si="118"/>
        <v/>
      </c>
      <c r="I59" s="613"/>
      <c r="J59" s="700" t="str">
        <f t="shared" si="94"/>
        <v/>
      </c>
      <c r="K59" s="619"/>
      <c r="L59" s="404"/>
      <c r="M59" s="401"/>
      <c r="N59" s="619"/>
      <c r="O59" s="700"/>
      <c r="P59" s="512"/>
      <c r="Q59" s="690" t="str">
        <f t="shared" si="111"/>
        <v/>
      </c>
      <c r="R59" s="691" t="str">
        <f t="shared" si="119"/>
        <v/>
      </c>
      <c r="S59" s="692" t="str">
        <f>IF(C59="","",VLOOKUP(C59,非_単位!$N$38:$O$53,2,FALSE))</f>
        <v/>
      </c>
      <c r="T59" s="690" t="str">
        <f t="shared" si="120"/>
        <v/>
      </c>
      <c r="U59" s="650" t="str">
        <f t="shared" si="121"/>
        <v/>
      </c>
      <c r="W59" s="490" t="str">
        <f t="shared" si="95"/>
        <v/>
      </c>
      <c r="X59" s="490" t="str">
        <f t="shared" si="115"/>
        <v/>
      </c>
      <c r="Y59" s="490" t="str">
        <f t="shared" si="96"/>
        <v/>
      </c>
      <c r="Z59" s="490" t="str">
        <f t="shared" si="97"/>
        <v/>
      </c>
      <c r="AA59" s="490"/>
      <c r="AB59" s="490" t="str">
        <f t="shared" si="98"/>
        <v/>
      </c>
      <c r="AC59" s="490" t="str">
        <f t="shared" si="116"/>
        <v/>
      </c>
      <c r="AD59" s="490" t="str">
        <f t="shared" si="99"/>
        <v/>
      </c>
      <c r="AE59" s="490" t="str">
        <f t="shared" si="100"/>
        <v/>
      </c>
      <c r="AF59" s="490" t="str">
        <f>IF(C59="","",IF(AE59="対象","熱量計読取",VLOOKUP(C59,非_係数!$B$42:$D$55,2,FALSE)))</f>
        <v/>
      </c>
      <c r="AG59" s="490" t="str">
        <f>IF(W59="電気",非_電気事業者!$S$4*1000,IF(W59="熱",非_熱供給事業者!$T$4,""))</f>
        <v/>
      </c>
      <c r="AH59" s="490" t="str">
        <f>IF(N59="","",VLOOKUP(N59,非_単位補正換算!$B$3:$C$16,2,FALSE))</f>
        <v/>
      </c>
      <c r="AI59" s="490" t="str">
        <f t="shared" si="101"/>
        <v/>
      </c>
      <c r="AJ59" s="490" t="str">
        <f t="shared" si="102"/>
        <v/>
      </c>
      <c r="AK59" s="490">
        <v>1</v>
      </c>
      <c r="AL59" s="490" t="str">
        <f t="shared" si="103"/>
        <v/>
      </c>
      <c r="AM59" s="490" t="b">
        <f t="shared" si="28"/>
        <v>1</v>
      </c>
      <c r="AN59" s="490" t="str">
        <f t="shared" si="122"/>
        <v/>
      </c>
      <c r="AO59" s="490" t="str">
        <f t="shared" si="104"/>
        <v/>
      </c>
      <c r="AP59" s="490" t="str">
        <f t="shared" si="87"/>
        <v/>
      </c>
      <c r="AQ59" s="490" t="str">
        <f t="shared" si="123"/>
        <v/>
      </c>
      <c r="AR59" s="490" t="str">
        <f t="shared" si="124"/>
        <v/>
      </c>
      <c r="AS59" s="490" t="str">
        <f>IF(AR59&lt;&gt;"義務","",SUMIFS(非_まとめ表行番号!$N$3:$N$20,非_まとめ表行番号!$J$3:$J$20,AN59,非_まとめ表行番号!$K$3:$K$20,AO59,非_まとめ表行番号!$L$3:$L$20,AP59,非_まとめ表行番号!$M$3:$M$20,AQ59))</f>
        <v/>
      </c>
      <c r="AT59" s="490" t="str">
        <f>IF(AR59&lt;&gt;"義務","",SUMIFS(非_まとめ表行番号!$O$3:$O$20,非_まとめ表行番号!$J$3:$J$20,AN59,非_まとめ表行番号!$K$3:$K$20,AO59,非_まとめ表行番号!$L$3:$L$20,AP59,非_まとめ表行番号!$M$3:$M$20,AQ59))</f>
        <v/>
      </c>
      <c r="AU59" s="490" t="str">
        <f t="shared" si="105"/>
        <v/>
      </c>
      <c r="AW59" s="490" t="str">
        <f>IF(AS59="","",VLOOKUP(AS59,非_まとめ表行番号!$U$3:$V$56,2,FALSE))</f>
        <v/>
      </c>
      <c r="AX59" s="490" t="str">
        <f>IF(D59="","",VLOOKUP(D59,非_燃料種類_選択リスト!$X$2:$Y$14,2,FALSE))</f>
        <v/>
      </c>
      <c r="AY59" s="490" t="str">
        <f>IF(E59="","",VLOOKUP(E59,非_燃料種類_選択リスト!$X$18:$Y$24,2,FALSE))</f>
        <v/>
      </c>
      <c r="AZ59" s="490" t="str">
        <f t="shared" si="106"/>
        <v/>
      </c>
      <c r="BA59" s="490" t="str">
        <f t="shared" si="107"/>
        <v/>
      </c>
      <c r="BB59" s="490" t="str">
        <f t="shared" si="108"/>
        <v/>
      </c>
      <c r="BC59" s="490" t="str">
        <f t="shared" si="109"/>
        <v/>
      </c>
      <c r="BD59" s="490" t="str">
        <f t="shared" si="117"/>
        <v/>
      </c>
      <c r="BE59" s="84">
        <v>2</v>
      </c>
    </row>
    <row r="60" spans="1:57" ht="18.75" customHeight="1">
      <c r="A60" s="584"/>
      <c r="B60" s="614"/>
      <c r="C60" s="615"/>
      <c r="D60" s="615"/>
      <c r="E60" s="407"/>
      <c r="F60" s="412"/>
      <c r="G60" s="620"/>
      <c r="H60" s="328" t="str">
        <f t="shared" si="118"/>
        <v/>
      </c>
      <c r="I60" s="615"/>
      <c r="J60" s="481" t="str">
        <f t="shared" si="94"/>
        <v/>
      </c>
      <c r="K60" s="620"/>
      <c r="L60" s="404"/>
      <c r="M60" s="401"/>
      <c r="N60" s="620"/>
      <c r="O60" s="482"/>
      <c r="P60" s="512"/>
      <c r="Q60" s="701" t="str">
        <f t="shared" si="111"/>
        <v/>
      </c>
      <c r="R60" s="702" t="str">
        <f t="shared" si="119"/>
        <v/>
      </c>
      <c r="S60" s="221" t="str">
        <f>IF(C60="","",VLOOKUP(C60,非_単位!$N$38:$O$53,2,FALSE))</f>
        <v/>
      </c>
      <c r="T60" s="701" t="str">
        <f t="shared" si="120"/>
        <v/>
      </c>
      <c r="U60" s="450" t="str">
        <f t="shared" si="121"/>
        <v/>
      </c>
      <c r="W60" s="490" t="str">
        <f t="shared" si="95"/>
        <v/>
      </c>
      <c r="X60" s="490" t="str">
        <f t="shared" si="115"/>
        <v/>
      </c>
      <c r="Y60" s="490" t="str">
        <f t="shared" si="96"/>
        <v/>
      </c>
      <c r="Z60" s="490" t="str">
        <f t="shared" si="97"/>
        <v/>
      </c>
      <c r="AA60" s="490"/>
      <c r="AB60" s="490" t="str">
        <f t="shared" si="98"/>
        <v/>
      </c>
      <c r="AC60" s="490" t="str">
        <f t="shared" si="116"/>
        <v/>
      </c>
      <c r="AD60" s="490" t="str">
        <f t="shared" si="99"/>
        <v/>
      </c>
      <c r="AE60" s="490" t="str">
        <f t="shared" si="100"/>
        <v/>
      </c>
      <c r="AF60" s="490" t="str">
        <f>IF(C60="","",IF(AE60="対象","熱量計読取",VLOOKUP(C60,非_係数!$B$42:$D$55,2,FALSE)))</f>
        <v/>
      </c>
      <c r="AG60" s="490" t="str">
        <f>IF(W60="電気",非_電気事業者!$S$4*1000,IF(W60="熱",非_熱供給事業者!$T$4,""))</f>
        <v/>
      </c>
      <c r="AH60" s="490" t="str">
        <f>IF(N60="","",VLOOKUP(N60,非_単位補正換算!$B$3:$C$16,2,FALSE))</f>
        <v/>
      </c>
      <c r="AI60" s="490" t="str">
        <f t="shared" si="101"/>
        <v/>
      </c>
      <c r="AJ60" s="490" t="str">
        <f t="shared" si="102"/>
        <v/>
      </c>
      <c r="AK60" s="490">
        <v>1</v>
      </c>
      <c r="AL60" s="490" t="str">
        <f t="shared" si="103"/>
        <v/>
      </c>
      <c r="AM60" s="490" t="b">
        <f t="shared" si="28"/>
        <v>1</v>
      </c>
      <c r="AN60" s="490" t="str">
        <f t="shared" si="122"/>
        <v/>
      </c>
      <c r="AO60" s="490" t="str">
        <f t="shared" si="104"/>
        <v/>
      </c>
      <c r="AP60" s="490" t="str">
        <f t="shared" si="87"/>
        <v/>
      </c>
      <c r="AQ60" s="490" t="str">
        <f t="shared" si="123"/>
        <v/>
      </c>
      <c r="AR60" s="490" t="str">
        <f t="shared" si="124"/>
        <v/>
      </c>
      <c r="AS60" s="490" t="str">
        <f>IF(AR60&lt;&gt;"義務","",SUMIFS(非_まとめ表行番号!$N$3:$N$20,非_まとめ表行番号!$J$3:$J$20,AN60,非_まとめ表行番号!$K$3:$K$20,AO60,非_まとめ表行番号!$L$3:$L$20,AP60,非_まとめ表行番号!$M$3:$M$20,AQ60))</f>
        <v/>
      </c>
      <c r="AT60" s="490" t="str">
        <f>IF(AR60&lt;&gt;"義務","",SUMIFS(非_まとめ表行番号!$O$3:$O$20,非_まとめ表行番号!$J$3:$J$20,AN60,非_まとめ表行番号!$K$3:$K$20,AO60,非_まとめ表行番号!$L$3:$L$20,AP60,非_まとめ表行番号!$M$3:$M$20,AQ60))</f>
        <v/>
      </c>
      <c r="AU60" s="490" t="str">
        <f t="shared" si="105"/>
        <v/>
      </c>
      <c r="AW60" s="490" t="str">
        <f>IF(AS60="","",VLOOKUP(AS60,非_まとめ表行番号!$U$3:$V$56,2,FALSE))</f>
        <v/>
      </c>
      <c r="AX60" s="490" t="str">
        <f>IF(D60="","",VLOOKUP(D60,非_燃料種類_選択リスト!$X$2:$Y$14,2,FALSE))</f>
        <v/>
      </c>
      <c r="AY60" s="490" t="str">
        <f>IF(E60="","",VLOOKUP(E60,非_燃料種類_選択リスト!$X$18:$Y$24,2,FALSE))</f>
        <v/>
      </c>
      <c r="AZ60" s="490" t="str">
        <f t="shared" si="106"/>
        <v/>
      </c>
      <c r="BA60" s="490" t="str">
        <f t="shared" si="107"/>
        <v/>
      </c>
      <c r="BB60" s="490" t="str">
        <f t="shared" si="108"/>
        <v/>
      </c>
      <c r="BC60" s="490" t="str">
        <f t="shared" si="109"/>
        <v/>
      </c>
      <c r="BD60" s="490" t="str">
        <f t="shared" si="117"/>
        <v/>
      </c>
      <c r="BE60" s="84">
        <v>2</v>
      </c>
    </row>
    <row r="61" spans="1:57" ht="18.75" customHeight="1">
      <c r="A61" s="584"/>
      <c r="B61" s="614"/>
      <c r="C61" s="615"/>
      <c r="D61" s="615"/>
      <c r="E61" s="407"/>
      <c r="F61" s="412"/>
      <c r="G61" s="620"/>
      <c r="H61" s="328" t="str">
        <f t="shared" si="118"/>
        <v/>
      </c>
      <c r="I61" s="615"/>
      <c r="J61" s="481" t="str">
        <f t="shared" si="94"/>
        <v/>
      </c>
      <c r="K61" s="620"/>
      <c r="L61" s="404"/>
      <c r="M61" s="401"/>
      <c r="N61" s="620"/>
      <c r="O61" s="482"/>
      <c r="P61" s="512"/>
      <c r="Q61" s="701" t="str">
        <f t="shared" si="111"/>
        <v/>
      </c>
      <c r="R61" s="702" t="str">
        <f t="shared" si="119"/>
        <v/>
      </c>
      <c r="S61" s="221" t="str">
        <f>IF(C61="","",VLOOKUP(C61,非_単位!$N$38:$O$53,2,FALSE))</f>
        <v/>
      </c>
      <c r="T61" s="701" t="str">
        <f t="shared" si="120"/>
        <v/>
      </c>
      <c r="U61" s="450" t="str">
        <f t="shared" si="121"/>
        <v/>
      </c>
      <c r="W61" s="490" t="str">
        <f t="shared" si="95"/>
        <v/>
      </c>
      <c r="X61" s="490" t="str">
        <f t="shared" si="115"/>
        <v/>
      </c>
      <c r="Y61" s="490" t="str">
        <f t="shared" si="96"/>
        <v/>
      </c>
      <c r="Z61" s="490" t="str">
        <f t="shared" si="97"/>
        <v/>
      </c>
      <c r="AA61" s="490"/>
      <c r="AB61" s="490" t="str">
        <f t="shared" si="98"/>
        <v/>
      </c>
      <c r="AC61" s="490" t="str">
        <f t="shared" si="116"/>
        <v/>
      </c>
      <c r="AD61" s="490" t="str">
        <f t="shared" si="99"/>
        <v/>
      </c>
      <c r="AE61" s="490" t="str">
        <f t="shared" si="100"/>
        <v/>
      </c>
      <c r="AF61" s="490" t="str">
        <f>IF(C61="","",IF(AE61="対象","熱量計読取",VLOOKUP(C61,非_係数!$B$42:$D$55,2,FALSE)))</f>
        <v/>
      </c>
      <c r="AG61" s="490" t="str">
        <f>IF(W61="電気",非_電気事業者!$S$4*1000,IF(W61="熱",非_熱供給事業者!$T$4,""))</f>
        <v/>
      </c>
      <c r="AH61" s="490" t="str">
        <f>IF(N61="","",VLOOKUP(N61,非_単位補正換算!$B$3:$C$16,2,FALSE))</f>
        <v/>
      </c>
      <c r="AI61" s="490" t="str">
        <f t="shared" si="101"/>
        <v/>
      </c>
      <c r="AJ61" s="490" t="str">
        <f t="shared" si="102"/>
        <v/>
      </c>
      <c r="AK61" s="490">
        <v>1</v>
      </c>
      <c r="AL61" s="490" t="str">
        <f t="shared" si="103"/>
        <v/>
      </c>
      <c r="AM61" s="490" t="b">
        <f t="shared" si="28"/>
        <v>1</v>
      </c>
      <c r="AN61" s="490" t="str">
        <f t="shared" si="122"/>
        <v/>
      </c>
      <c r="AO61" s="490" t="str">
        <f t="shared" si="104"/>
        <v/>
      </c>
      <c r="AP61" s="490" t="str">
        <f t="shared" si="87"/>
        <v/>
      </c>
      <c r="AQ61" s="490" t="str">
        <f t="shared" si="123"/>
        <v/>
      </c>
      <c r="AR61" s="490" t="str">
        <f t="shared" si="124"/>
        <v/>
      </c>
      <c r="AS61" s="490" t="str">
        <f>IF(AR61&lt;&gt;"義務","",SUMIFS(非_まとめ表行番号!$N$3:$N$20,非_まとめ表行番号!$J$3:$J$20,AN61,非_まとめ表行番号!$K$3:$K$20,AO61,非_まとめ表行番号!$L$3:$L$20,AP61,非_まとめ表行番号!$M$3:$M$20,AQ61))</f>
        <v/>
      </c>
      <c r="AT61" s="490" t="str">
        <f>IF(AR61&lt;&gt;"義務","",SUMIFS(非_まとめ表行番号!$O$3:$O$20,非_まとめ表行番号!$J$3:$J$20,AN61,非_まとめ表行番号!$K$3:$K$20,AO61,非_まとめ表行番号!$L$3:$L$20,AP61,非_まとめ表行番号!$M$3:$M$20,AQ61))</f>
        <v/>
      </c>
      <c r="AU61" s="490" t="str">
        <f t="shared" si="105"/>
        <v/>
      </c>
      <c r="AW61" s="490" t="str">
        <f>IF(AS61="","",VLOOKUP(AS61,非_まとめ表行番号!$U$3:$V$56,2,FALSE))</f>
        <v/>
      </c>
      <c r="AX61" s="490" t="str">
        <f>IF(D61="","",VLOOKUP(D61,非_燃料種類_選択リスト!$X$2:$Y$14,2,FALSE))</f>
        <v/>
      </c>
      <c r="AY61" s="490" t="str">
        <f>IF(E61="","",VLOOKUP(E61,非_燃料種類_選択リスト!$X$18:$Y$24,2,FALSE))</f>
        <v/>
      </c>
      <c r="AZ61" s="490" t="str">
        <f t="shared" si="106"/>
        <v/>
      </c>
      <c r="BA61" s="490" t="str">
        <f t="shared" si="107"/>
        <v/>
      </c>
      <c r="BB61" s="490" t="str">
        <f t="shared" si="108"/>
        <v/>
      </c>
      <c r="BC61" s="490" t="str">
        <f t="shared" si="109"/>
        <v/>
      </c>
      <c r="BD61" s="490" t="str">
        <f t="shared" si="117"/>
        <v/>
      </c>
      <c r="BE61" s="84">
        <v>2</v>
      </c>
    </row>
    <row r="62" spans="1:57" ht="18.75" customHeight="1" thickBot="1">
      <c r="A62" s="585"/>
      <c r="B62" s="616"/>
      <c r="C62" s="617"/>
      <c r="D62" s="617"/>
      <c r="E62" s="407"/>
      <c r="F62" s="412"/>
      <c r="G62" s="621"/>
      <c r="H62" s="601" t="str">
        <f t="shared" si="110"/>
        <v/>
      </c>
      <c r="I62" s="617"/>
      <c r="J62" s="707" t="str">
        <f t="shared" si="94"/>
        <v/>
      </c>
      <c r="K62" s="621"/>
      <c r="L62" s="404"/>
      <c r="M62" s="401"/>
      <c r="N62" s="621"/>
      <c r="O62" s="600"/>
      <c r="P62" s="512"/>
      <c r="Q62" s="703" t="str">
        <f t="shared" si="111"/>
        <v/>
      </c>
      <c r="R62" s="704" t="str">
        <f t="shared" si="112"/>
        <v/>
      </c>
      <c r="S62" s="705" t="str">
        <f>IF(C62="","",VLOOKUP(C62,非_単位!$N$38:$O$53,2,FALSE))</f>
        <v/>
      </c>
      <c r="T62" s="703" t="str">
        <f t="shared" si="113"/>
        <v/>
      </c>
      <c r="U62" s="658" t="str">
        <f t="shared" si="114"/>
        <v/>
      </c>
      <c r="W62" s="490" t="str">
        <f t="shared" si="95"/>
        <v/>
      </c>
      <c r="X62" s="490" t="str">
        <f t="shared" si="115"/>
        <v/>
      </c>
      <c r="Y62" s="490" t="str">
        <f t="shared" si="96"/>
        <v/>
      </c>
      <c r="Z62" s="490" t="str">
        <f t="shared" si="97"/>
        <v/>
      </c>
      <c r="AA62" s="490"/>
      <c r="AB62" s="490" t="str">
        <f t="shared" si="98"/>
        <v/>
      </c>
      <c r="AC62" s="490" t="str">
        <f t="shared" si="116"/>
        <v/>
      </c>
      <c r="AD62" s="490" t="str">
        <f t="shared" si="99"/>
        <v/>
      </c>
      <c r="AE62" s="490" t="str">
        <f t="shared" si="100"/>
        <v/>
      </c>
      <c r="AF62" s="490" t="str">
        <f>IF(C62="","",IF(AE62="対象","熱量計読取",VLOOKUP(C62,非_係数!$B$42:$D$55,2,FALSE)))</f>
        <v/>
      </c>
      <c r="AG62" s="490" t="str">
        <f>IF(W62="電気",非_電気事業者!$S$4*1000,IF(W62="熱",非_熱供給事業者!$T$4,""))</f>
        <v/>
      </c>
      <c r="AH62" s="490" t="str">
        <f>IF(N62="","",VLOOKUP(N62,非_単位補正換算!$B$3:$C$16,2,FALSE))</f>
        <v/>
      </c>
      <c r="AI62" s="490" t="str">
        <f t="shared" si="101"/>
        <v/>
      </c>
      <c r="AJ62" s="490" t="str">
        <f t="shared" si="102"/>
        <v/>
      </c>
      <c r="AK62" s="490">
        <v>1</v>
      </c>
      <c r="AL62" s="490" t="str">
        <f t="shared" si="103"/>
        <v/>
      </c>
      <c r="AM62" s="490" t="b">
        <f t="shared" si="28"/>
        <v>1</v>
      </c>
      <c r="AN62" s="490" t="str">
        <f>W62</f>
        <v/>
      </c>
      <c r="AO62" s="490" t="str">
        <f t="shared" si="104"/>
        <v/>
      </c>
      <c r="AP62" s="490" t="str">
        <f t="shared" si="87"/>
        <v/>
      </c>
      <c r="AQ62" s="490" t="str">
        <f>IF(F62="","",F62)</f>
        <v/>
      </c>
      <c r="AR62" s="490" t="str">
        <f t="shared" si="124"/>
        <v/>
      </c>
      <c r="AS62" s="490" t="str">
        <f>IF(AR62&lt;&gt;"義務","",SUMIFS(非_まとめ表行番号!$N$3:$N$20,非_まとめ表行番号!$J$3:$J$20,AN62,非_まとめ表行番号!$K$3:$K$20,AO62,非_まとめ表行番号!$L$3:$L$20,AP62,非_まとめ表行番号!$M$3:$M$20,AQ62))</f>
        <v/>
      </c>
      <c r="AT62" s="490" t="str">
        <f>IF(AR62&lt;&gt;"義務","",SUMIFS(非_まとめ表行番号!$O$3:$O$20,非_まとめ表行番号!$J$3:$J$20,AN62,非_まとめ表行番号!$K$3:$K$20,AO62,非_まとめ表行番号!$L$3:$L$20,AP62,非_まとめ表行番号!$M$3:$M$20,AQ62))</f>
        <v/>
      </c>
      <c r="AU62" s="490" t="str">
        <f t="shared" si="105"/>
        <v/>
      </c>
      <c r="AW62" s="490" t="str">
        <f>IF(AS62="","",VLOOKUP(AS62,非_まとめ表行番号!$U$3:$V$56,2,FALSE))</f>
        <v/>
      </c>
      <c r="AX62" s="490" t="str">
        <f>IF(D62="","",VLOOKUP(D62,非_燃料種類_選択リスト!$X$2:$Y$14,2,FALSE))</f>
        <v/>
      </c>
      <c r="AY62" s="490" t="str">
        <f>IF(E62="","",VLOOKUP(E62,非_燃料種類_選択リスト!$X$18:$Y$24,2,FALSE))</f>
        <v/>
      </c>
      <c r="AZ62" s="490" t="str">
        <f t="shared" si="106"/>
        <v/>
      </c>
      <c r="BA62" s="490" t="str">
        <f t="shared" si="107"/>
        <v/>
      </c>
      <c r="BB62" s="490" t="str">
        <f t="shared" si="108"/>
        <v/>
      </c>
      <c r="BC62" s="490" t="str">
        <f t="shared" si="109"/>
        <v/>
      </c>
      <c r="BD62" s="490" t="str">
        <f t="shared" si="117"/>
        <v/>
      </c>
      <c r="BE62" s="84">
        <v>2</v>
      </c>
    </row>
    <row r="63" spans="1:57" ht="18.75" customHeight="1" thickTop="1">
      <c r="A63" s="586" t="s">
        <v>2054</v>
      </c>
      <c r="B63" s="622"/>
      <c r="C63" s="623"/>
      <c r="D63" s="623"/>
      <c r="E63" s="407"/>
      <c r="F63" s="412"/>
      <c r="G63" s="596"/>
      <c r="H63" s="327" t="str">
        <f t="shared" si="110"/>
        <v/>
      </c>
      <c r="I63" s="623"/>
      <c r="J63" s="481" t="str">
        <f t="shared" si="94"/>
        <v/>
      </c>
      <c r="K63" s="596"/>
      <c r="L63" s="404"/>
      <c r="M63" s="401"/>
      <c r="N63" s="596"/>
      <c r="O63" s="481"/>
      <c r="P63" s="512"/>
      <c r="Q63" s="330" t="str">
        <f t="shared" si="111"/>
        <v/>
      </c>
      <c r="R63" s="337" t="str">
        <f t="shared" si="112"/>
        <v/>
      </c>
      <c r="S63" s="338" t="str">
        <f>IF(C63="","",VLOOKUP(C63,非_単位!$N$38:$O$53,2,FALSE))</f>
        <v/>
      </c>
      <c r="T63" s="331" t="str">
        <f t="shared" si="113"/>
        <v/>
      </c>
      <c r="U63" s="439" t="str">
        <f t="shared" si="114"/>
        <v/>
      </c>
      <c r="W63" s="490" t="str">
        <f t="shared" si="95"/>
        <v/>
      </c>
      <c r="X63" s="490" t="str">
        <f t="shared" si="115"/>
        <v/>
      </c>
      <c r="Y63" s="490" t="str">
        <f t="shared" si="96"/>
        <v/>
      </c>
      <c r="Z63" s="490" t="str">
        <f t="shared" si="97"/>
        <v/>
      </c>
      <c r="AA63" s="490"/>
      <c r="AB63" s="490" t="str">
        <f t="shared" si="98"/>
        <v/>
      </c>
      <c r="AC63" s="490" t="str">
        <f t="shared" si="116"/>
        <v/>
      </c>
      <c r="AD63" s="490" t="str">
        <f t="shared" si="99"/>
        <v/>
      </c>
      <c r="AE63" s="490" t="str">
        <f t="shared" si="100"/>
        <v/>
      </c>
      <c r="AF63" s="490" t="str">
        <f>IF(C63="","",IF(AE63="対象","熱量計読取",VLOOKUP(C63,非_係数!$B$42:$D$55,2,FALSE)))</f>
        <v/>
      </c>
      <c r="AG63" s="490" t="str">
        <f>IF(W63="電気",非_電気事業者!$S$4*1000,IF(W63="熱",非_熱供給事業者!$T$4,""))</f>
        <v/>
      </c>
      <c r="AH63" s="490" t="str">
        <f>IF(N63="","",VLOOKUP(N63,非_単位補正換算!$B$3:$C$16,2,FALSE))</f>
        <v/>
      </c>
      <c r="AI63" s="490" t="str">
        <f t="shared" si="101"/>
        <v/>
      </c>
      <c r="AJ63" s="490" t="str">
        <f t="shared" si="102"/>
        <v/>
      </c>
      <c r="AK63" s="490">
        <v>1</v>
      </c>
      <c r="AL63" s="490" t="str">
        <f t="shared" si="103"/>
        <v/>
      </c>
      <c r="AM63" s="490" t="b">
        <f t="shared" si="28"/>
        <v>1</v>
      </c>
      <c r="AN63" s="490" t="str">
        <f>W63</f>
        <v/>
      </c>
      <c r="AO63" s="490" t="str">
        <f t="shared" si="104"/>
        <v/>
      </c>
      <c r="AP63" s="490" t="str">
        <f t="shared" si="87"/>
        <v/>
      </c>
      <c r="AQ63" s="490" t="str">
        <f>IF(F63="","",F63)</f>
        <v/>
      </c>
      <c r="AR63" s="490" t="str">
        <f t="shared" si="124"/>
        <v/>
      </c>
      <c r="AS63" s="490" t="str">
        <f>IF(AR63&lt;&gt;"義務","",SUMIFS(非_まとめ表行番号!$N$3:$N$20,非_まとめ表行番号!$J$3:$J$20,AN63,非_まとめ表行番号!$K$3:$K$20,AO63,非_まとめ表行番号!$L$3:$L$20,AP63,非_まとめ表行番号!$M$3:$M$20,AQ63))</f>
        <v/>
      </c>
      <c r="AT63" s="490" t="str">
        <f>IF(AR63&lt;&gt;"義務","",SUMIFS(非_まとめ表行番号!$O$3:$O$20,非_まとめ表行番号!$J$3:$J$20,AN63,非_まとめ表行番号!$K$3:$K$20,AO63,非_まとめ表行番号!$L$3:$L$20,AP63,非_まとめ表行番号!$M$3:$M$20,AQ63))</f>
        <v/>
      </c>
      <c r="AU63" s="490" t="str">
        <f t="shared" si="105"/>
        <v/>
      </c>
      <c r="AW63" s="490" t="str">
        <f>IF(AS63="","",VLOOKUP(AS63,非_まとめ表行番号!$U$3:$V$56,2,FALSE))</f>
        <v/>
      </c>
      <c r="AX63" s="490" t="str">
        <f>IF(D63="","",VLOOKUP(D63,非_燃料種類_選択リスト!$X$2:$Y$14,2,FALSE))</f>
        <v/>
      </c>
      <c r="AY63" s="490" t="str">
        <f>IF(E63="","",VLOOKUP(E63,非_燃料種類_選択リスト!$X$18:$Y$24,2,FALSE))</f>
        <v/>
      </c>
      <c r="AZ63" s="490" t="str">
        <f t="shared" si="106"/>
        <v/>
      </c>
      <c r="BA63" s="490" t="str">
        <f t="shared" si="107"/>
        <v/>
      </c>
      <c r="BB63" s="490" t="str">
        <f t="shared" si="108"/>
        <v/>
      </c>
      <c r="BC63" s="490" t="str">
        <f t="shared" si="109"/>
        <v/>
      </c>
      <c r="BD63" s="490" t="str">
        <f t="shared" si="117"/>
        <v/>
      </c>
      <c r="BE63" s="84">
        <v>3</v>
      </c>
    </row>
    <row r="64" spans="1:57" ht="18.75" customHeight="1" thickBot="1">
      <c r="A64" s="588"/>
      <c r="B64" s="624"/>
      <c r="C64" s="625"/>
      <c r="D64" s="625"/>
      <c r="E64" s="413"/>
      <c r="F64" s="413"/>
      <c r="G64" s="594"/>
      <c r="H64" s="414" t="str">
        <f t="shared" si="110"/>
        <v/>
      </c>
      <c r="I64" s="625"/>
      <c r="J64" s="483" t="str">
        <f t="shared" si="94"/>
        <v/>
      </c>
      <c r="K64" s="594"/>
      <c r="L64" s="419"/>
      <c r="M64" s="418"/>
      <c r="N64" s="594"/>
      <c r="O64" s="483"/>
      <c r="P64" s="511"/>
      <c r="Q64" s="465" t="str">
        <f t="shared" si="111"/>
        <v/>
      </c>
      <c r="R64" s="415" t="str">
        <f t="shared" si="112"/>
        <v/>
      </c>
      <c r="S64" s="416" t="str">
        <f>IF(C64="","",VLOOKUP(C64,非_単位!$N$38:$O$53,2,FALSE))</f>
        <v/>
      </c>
      <c r="T64" s="417" t="str">
        <f t="shared" si="113"/>
        <v/>
      </c>
      <c r="U64" s="440" t="str">
        <f t="shared" si="114"/>
        <v/>
      </c>
      <c r="W64" s="490" t="str">
        <f t="shared" si="95"/>
        <v/>
      </c>
      <c r="X64" s="490" t="str">
        <f t="shared" si="115"/>
        <v/>
      </c>
      <c r="Y64" s="490" t="str">
        <f t="shared" si="96"/>
        <v/>
      </c>
      <c r="Z64" s="490" t="str">
        <f t="shared" si="97"/>
        <v/>
      </c>
      <c r="AA64" s="490"/>
      <c r="AB64" s="490" t="str">
        <f t="shared" si="98"/>
        <v/>
      </c>
      <c r="AC64" s="490" t="str">
        <f t="shared" si="116"/>
        <v/>
      </c>
      <c r="AD64" s="490" t="str">
        <f t="shared" si="99"/>
        <v/>
      </c>
      <c r="AE64" s="490" t="str">
        <f t="shared" si="100"/>
        <v/>
      </c>
      <c r="AF64" s="490" t="str">
        <f>IF(C64="","",IF(AE64="対象","熱量計読取",VLOOKUP(C64,非_係数!$B$42:$D$55,2,FALSE)))</f>
        <v/>
      </c>
      <c r="AG64" s="490" t="str">
        <f>IF(W64="電気",非_電気事業者!$S$4*1000,IF(W64="熱",非_熱供給事業者!$T$4,""))</f>
        <v/>
      </c>
      <c r="AH64" s="490" t="str">
        <f>IF(N64="","",VLOOKUP(N64,非_単位補正換算!$B$3:$C$16,2,FALSE))</f>
        <v/>
      </c>
      <c r="AI64" s="490" t="str">
        <f t="shared" si="101"/>
        <v/>
      </c>
      <c r="AJ64" s="490" t="str">
        <f t="shared" si="102"/>
        <v/>
      </c>
      <c r="AK64" s="490">
        <v>1</v>
      </c>
      <c r="AL64" s="490" t="str">
        <f t="shared" si="103"/>
        <v/>
      </c>
      <c r="AM64" s="490" t="b">
        <f t="shared" si="28"/>
        <v>1</v>
      </c>
      <c r="AN64" s="490" t="str">
        <f>W64</f>
        <v/>
      </c>
      <c r="AO64" s="490" t="str">
        <f t="shared" si="104"/>
        <v/>
      </c>
      <c r="AP64" s="490" t="str">
        <f t="shared" si="87"/>
        <v/>
      </c>
      <c r="AQ64" s="490" t="str">
        <f>IF(F64="","",F64)</f>
        <v/>
      </c>
      <c r="AR64" s="490" t="str">
        <f t="shared" si="124"/>
        <v/>
      </c>
      <c r="AS64" s="490" t="str">
        <f>IF(AR64&lt;&gt;"義務","",SUMIFS(非_まとめ表行番号!$N$3:$N$20,非_まとめ表行番号!$J$3:$J$20,AN64,非_まとめ表行番号!$K$3:$K$20,AO64,非_まとめ表行番号!$L$3:$L$20,AP64,非_まとめ表行番号!$M$3:$M$20,AQ64))</f>
        <v/>
      </c>
      <c r="AT64" s="490" t="str">
        <f>IF(AR64&lt;&gt;"義務","",SUMIFS(非_まとめ表行番号!$O$3:$O$20,非_まとめ表行番号!$J$3:$J$20,AN64,非_まとめ表行番号!$K$3:$K$20,AO64,非_まとめ表行番号!$L$3:$L$20,AP64,非_まとめ表行番号!$M$3:$M$20,AQ64))</f>
        <v/>
      </c>
      <c r="AU64" s="490" t="str">
        <f t="shared" si="105"/>
        <v/>
      </c>
      <c r="AW64" s="490" t="str">
        <f>IF(AS64="","",VLOOKUP(AS64,非_まとめ表行番号!$U$3:$V$56,2,FALSE))</f>
        <v/>
      </c>
      <c r="AX64" s="490" t="str">
        <f>IF(D64="","",VLOOKUP(D64,非_燃料種類_選択リスト!$X$2:$Y$14,2,FALSE))</f>
        <v/>
      </c>
      <c r="AY64" s="490" t="str">
        <f>IF(E64="","",VLOOKUP(E64,非_燃料種類_選択リスト!$X$18:$Y$24,2,FALSE))</f>
        <v/>
      </c>
      <c r="AZ64" s="490" t="str">
        <f t="shared" si="106"/>
        <v/>
      </c>
      <c r="BA64" s="490" t="str">
        <f t="shared" si="107"/>
        <v/>
      </c>
      <c r="BB64" s="490" t="str">
        <f t="shared" si="108"/>
        <v/>
      </c>
      <c r="BC64" s="490" t="str">
        <f t="shared" si="109"/>
        <v/>
      </c>
      <c r="BD64" s="490" t="str">
        <f t="shared" si="117"/>
        <v/>
      </c>
      <c r="BE64" s="84">
        <v>3</v>
      </c>
    </row>
  </sheetData>
  <sheetProtection algorithmName="SHA-512" hashValue="ptn4JB75qXstEOpwBNiDDpYJOBsrzjtsC4Y9dkvy7mcBdeeTH6ajFh1znsOEk3uvR9+MHJ0H8+3sa1q4KGl+5w==" saltValue="a185sbiMy1mm1S6WxrsWaA==" spinCount="100000" sheet="1" objects="1" scenarios="1"/>
  <mergeCells count="34">
    <mergeCell ref="Z4:Z5"/>
    <mergeCell ref="AA4:AA5"/>
    <mergeCell ref="W4:W5"/>
    <mergeCell ref="X4:X5"/>
    <mergeCell ref="N4:N5"/>
    <mergeCell ref="P4:P5"/>
    <mergeCell ref="O4:O5"/>
    <mergeCell ref="R4:S5"/>
    <mergeCell ref="Q4:Q5"/>
    <mergeCell ref="Y4:Y5"/>
    <mergeCell ref="B4:B5"/>
    <mergeCell ref="H4:H5"/>
    <mergeCell ref="I4:J4"/>
    <mergeCell ref="L4:M4"/>
    <mergeCell ref="C4:C5"/>
    <mergeCell ref="K4:K5"/>
    <mergeCell ref="G4:G5"/>
    <mergeCell ref="D4:F4"/>
    <mergeCell ref="BE4:BE5"/>
    <mergeCell ref="AM4:AM5"/>
    <mergeCell ref="T1:U1"/>
    <mergeCell ref="U4:U5"/>
    <mergeCell ref="T4:T5"/>
    <mergeCell ref="T2:U2"/>
    <mergeCell ref="AJ4:AJ5"/>
    <mergeCell ref="AL4:AL5"/>
    <mergeCell ref="AK4:AK5"/>
    <mergeCell ref="AB4:AB5"/>
    <mergeCell ref="AC4:AC5"/>
    <mergeCell ref="AF4:AF5"/>
    <mergeCell ref="AE4:AE5"/>
    <mergeCell ref="AD4:AD5"/>
    <mergeCell ref="AH4:AH5"/>
    <mergeCell ref="AI4:AI5"/>
  </mergeCells>
  <phoneticPr fontId="5"/>
  <conditionalFormatting sqref="E7:E29 E31:E53">
    <cfRule type="expression" dxfId="16" priority="101">
      <formula>D7="バイオマス"</formula>
    </cfRule>
  </conditionalFormatting>
  <conditionalFormatting sqref="E55:E59">
    <cfRule type="expression" dxfId="15" priority="43">
      <formula>D55="バイオマス"</formula>
    </cfRule>
  </conditionalFormatting>
  <conditionalFormatting sqref="F7:F29">
    <cfRule type="expression" dxfId="14" priority="100">
      <formula>D7="バイオマス"</formula>
    </cfRule>
  </conditionalFormatting>
  <conditionalFormatting sqref="G7:G29 G31:G53">
    <cfRule type="expression" dxfId="13" priority="98">
      <formula>C7="電気_仮想電力購入契約"</formula>
    </cfRule>
  </conditionalFormatting>
  <conditionalFormatting sqref="G55:G64">
    <cfRule type="expression" dxfId="12" priority="95">
      <formula>C55="電気_仮想電力購入契約"</formula>
    </cfRule>
  </conditionalFormatting>
  <conditionalFormatting sqref="H7:H29 H31:H53">
    <cfRule type="expression" dxfId="11" priority="99">
      <formula>C7="電気_仮想電力購入契約"</formula>
    </cfRule>
  </conditionalFormatting>
  <conditionalFormatting sqref="H55:H64">
    <cfRule type="expression" dxfId="10" priority="41">
      <formula>C55="電気_仮想電力購入契約"</formula>
    </cfRule>
  </conditionalFormatting>
  <conditionalFormatting sqref="J7:J29 J31:J53 J55:J64">
    <cfRule type="expression" dxfId="9" priority="2">
      <formula>$AM7=FALSE</formula>
    </cfRule>
  </conditionalFormatting>
  <conditionalFormatting sqref="J7:J29 J31:J53">
    <cfRule type="cellIs" dxfId="8" priority="8" operator="equal">
      <formula>"要記入"</formula>
    </cfRule>
  </conditionalFormatting>
  <conditionalFormatting sqref="J55:J64">
    <cfRule type="cellIs" dxfId="7" priority="6" operator="equal">
      <formula>"要記入"</formula>
    </cfRule>
  </conditionalFormatting>
  <conditionalFormatting sqref="L7:M29 L31:M53">
    <cfRule type="expression" dxfId="6" priority="5">
      <formula>$K7&lt;&gt;"計量器の実測値"</formula>
    </cfRule>
  </conditionalFormatting>
  <conditionalFormatting sqref="L55:M64">
    <cfRule type="expression" dxfId="5" priority="3">
      <formula>$K55&lt;&gt;"計量器の実測値"</formula>
    </cfRule>
  </conditionalFormatting>
  <conditionalFormatting sqref="P7:P29 P31:P53 P55:P64">
    <cfRule type="expression" dxfId="4" priority="1">
      <formula>OR($M7="有",$M7="")</formula>
    </cfRule>
  </conditionalFormatting>
  <conditionalFormatting sqref="T7:T29 T31:T53">
    <cfRule type="expression" dxfId="3" priority="97">
      <formula>C7="電気_仮想電力購入契約"</formula>
    </cfRule>
  </conditionalFormatting>
  <conditionalFormatting sqref="T55:T64">
    <cfRule type="expression" dxfId="2" priority="93">
      <formula>C55="電気_仮想電力購入契約"</formula>
    </cfRule>
  </conditionalFormatting>
  <dataValidations count="12">
    <dataValidation type="list" allowBlank="1" showInputMessage="1" showErrorMessage="1" sqref="G55:G64 C55:E64 C7:E29 G7:G29 C31:E53 G31:G53" xr:uid="{4C25D5D3-A669-4914-B5B7-838ADB97CF76}">
      <formula1>INDIRECT(X7)</formula1>
    </dataValidation>
    <dataValidation type="list" allowBlank="1" showInputMessage="1" showErrorMessage="1" sqref="M55:M64 M7:M29 M31:M53" xr:uid="{D49BCE78-5A46-4AEB-9215-906F4B60A81D}">
      <formula1>計量器_検定有無_選択</formula1>
    </dataValidation>
    <dataValidation type="list" allowBlank="1" showInputMessage="1" showErrorMessage="1" sqref="N55:N64 N7:N29 N31:N53" xr:uid="{4612FAC0-AD2F-411D-8411-9533E83C6745}">
      <formula1>INDIRECT(C7&amp;"_単位")</formula1>
    </dataValidation>
    <dataValidation type="list" allowBlank="1" showInputMessage="1" showErrorMessage="1" sqref="I55:I64 I7:I29 I31:I53" xr:uid="{EE25CC01-E627-433F-A649-723845366CAE}">
      <formula1>INDIRECT(AC7)</formula1>
    </dataValidation>
    <dataValidation type="list" allowBlank="1" showInputMessage="1" showErrorMessage="1" sqref="K55:K64 K31:K53" xr:uid="{D77645A8-691B-4F20-AAFB-DE79259D832D}">
      <formula1>再エネ_把握方法_選択_事業所外</formula1>
    </dataValidation>
    <dataValidation imeMode="disabled" allowBlank="1" showInputMessage="1" showErrorMessage="1" sqref="O55:O64 O7:O29 O31:O53" xr:uid="{F387902A-8FB1-47F4-B0DB-97885A9ABA71}"/>
    <dataValidation type="list" allowBlank="1" showInputMessage="1" showErrorMessage="1" sqref="B55:B64" xr:uid="{F1D4E9EA-E309-4AFD-95E2-1DFC76188410}">
      <formula1>再エネ電気熱_排出活動③</formula1>
    </dataValidation>
    <dataValidation type="list" imeMode="disabled" allowBlank="1" showInputMessage="1" showErrorMessage="1" sqref="P55:P64 P7:P29 P31:P53" xr:uid="{74FDF000-0169-4769-A387-B970A6E3803C}">
      <formula1>INDIRECT(AU7)</formula1>
    </dataValidation>
    <dataValidation type="list" allowBlank="1" showInputMessage="1" showErrorMessage="1" sqref="F7:F29" xr:uid="{E587D6D1-7608-41EB-8094-B87560B21120}">
      <formula1>INDIRECT("バイオマス燃料_持続可能性_選択")</formula1>
    </dataValidation>
    <dataValidation type="list" allowBlank="1" showInputMessage="1" showErrorMessage="1" sqref="K7:K29" xr:uid="{E03BB0E4-B680-4F25-A31F-47358A4948C0}">
      <formula1>再エネ_把握方法_選択_事業所内</formula1>
    </dataValidation>
    <dataValidation type="list" allowBlank="1" showInputMessage="1" showErrorMessage="1" sqref="B7:B29" xr:uid="{C9937B3A-EA0F-4C3D-AD28-D093753AFFCE}">
      <formula1>再エネ電気熱_排出活動①</formula1>
    </dataValidation>
    <dataValidation type="list" allowBlank="1" showInputMessage="1" showErrorMessage="1" sqref="B31:B53" xr:uid="{7D9B9EF7-C6E1-4C76-9112-89ABF867ADB1}">
      <formula1>再エネ電気熱_排出活動②</formula1>
    </dataValidation>
  </dataValidations>
  <pageMargins left="0.78740157480314965" right="0.59055118110236227" top="0.78740157480314965" bottom="0.59055118110236227" header="0.31496062992125984" footer="0.31496062992125984"/>
  <pageSetup paperSize="9" scale="25" fitToHeight="0" orientation="portrait" r:id="rId1"/>
  <headerFooter>
    <oddHeader>&amp;R&amp;8ver.4.01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7" tint="0.79998168889431442"/>
    <pageSetUpPr fitToPage="1"/>
  </sheetPr>
  <dimension ref="A1:R32"/>
  <sheetViews>
    <sheetView showGridLines="0" zoomScale="85" zoomScaleNormal="85" zoomScaleSheetLayoutView="100" workbookViewId="0">
      <pane xSplit="4" ySplit="7" topLeftCell="E8" activePane="bottomRight" state="frozen"/>
      <selection activeCell="L62" sqref="L62"/>
      <selection pane="topRight" activeCell="L62" sqref="L62"/>
      <selection pane="bottomLeft" activeCell="L62" sqref="L62"/>
      <selection pane="bottomRight" activeCell="V24" sqref="V24"/>
    </sheetView>
  </sheetViews>
  <sheetFormatPr defaultColWidth="9" defaultRowHeight="17.5" outlineLevelCol="1"/>
  <cols>
    <col min="1" max="1" width="6.1640625" style="64" customWidth="1"/>
    <col min="2" max="2" width="17.5" style="64" customWidth="1"/>
    <col min="3" max="3" width="23.1640625" style="64" customWidth="1"/>
    <col min="4" max="4" width="17.4140625" style="64" customWidth="1"/>
    <col min="5" max="5" width="9.58203125" style="64" customWidth="1"/>
    <col min="6" max="6" width="13.4140625" style="64" customWidth="1"/>
    <col min="7" max="7" width="11.1640625" style="65" hidden="1" customWidth="1" outlineLevel="1"/>
    <col min="8" max="8" width="7.4140625" style="64" hidden="1" customWidth="1" outlineLevel="1"/>
    <col min="9" max="9" width="10" style="84" customWidth="1" collapsed="1"/>
    <col min="10" max="10" width="14.5" style="84" customWidth="1"/>
    <col min="11" max="11" width="11.5" style="84" customWidth="1"/>
    <col min="12" max="12" width="10.58203125" style="84" bestFit="1" customWidth="1"/>
    <col min="13" max="13" width="9" style="84"/>
    <col min="14" max="14" width="15.1640625" style="84" hidden="1" customWidth="1" outlineLevel="1"/>
    <col min="15" max="15" width="32.5" style="84" hidden="1" customWidth="1" outlineLevel="1"/>
    <col min="16" max="16" width="21.58203125" style="84" hidden="1" customWidth="1" outlineLevel="1"/>
    <col min="17" max="17" width="24.1640625" style="84" hidden="1" customWidth="1" outlineLevel="1"/>
    <col min="18" max="18" width="9" style="84" collapsed="1"/>
    <col min="19" max="16384" width="9" style="84"/>
  </cols>
  <sheetData>
    <row r="1" spans="1:17">
      <c r="A1" s="3" t="s">
        <v>2506</v>
      </c>
      <c r="B1" s="3"/>
      <c r="C1" s="3"/>
      <c r="D1" s="3"/>
      <c r="E1" s="3"/>
      <c r="F1" s="3"/>
      <c r="G1" s="225" t="s">
        <v>1896</v>
      </c>
      <c r="H1" s="225" t="s">
        <v>1896</v>
      </c>
      <c r="I1" s="1942" t="s">
        <v>2057</v>
      </c>
      <c r="J1" s="1943"/>
      <c r="K1" s="1939" t="str">
        <f>IF('0.事業所概要'!D11="","",'0.事業所概要'!D11)</f>
        <v>県庁産業㈱　　本社、浦和支店</v>
      </c>
      <c r="L1" s="1940"/>
      <c r="N1" s="102"/>
      <c r="O1" s="102"/>
      <c r="P1" s="102"/>
      <c r="Q1" s="102"/>
    </row>
    <row r="2" spans="1:17">
      <c r="A2" s="103" t="s">
        <v>2512</v>
      </c>
      <c r="B2" s="3"/>
      <c r="C2" s="3"/>
      <c r="D2" s="3"/>
      <c r="E2" s="3"/>
      <c r="F2" s="3"/>
      <c r="G2" s="226">
        <v>0</v>
      </c>
      <c r="I2" s="52"/>
      <c r="J2" s="52"/>
      <c r="K2" s="1941" t="str">
        <f>CONCATENATE('0.事業所概要'!$B$3,'0.事業所概要'!$C$3,"年度")</f>
        <v>令和７年度</v>
      </c>
      <c r="L2" s="1941"/>
      <c r="N2" s="102"/>
      <c r="O2" s="102"/>
      <c r="P2" s="102"/>
      <c r="Q2" s="102"/>
    </row>
    <row r="3" spans="1:17">
      <c r="A3" s="103"/>
      <c r="B3" s="3"/>
      <c r="C3" s="3"/>
      <c r="D3" s="3"/>
      <c r="E3" s="3"/>
      <c r="F3" s="3"/>
      <c r="G3" s="226"/>
      <c r="H3" s="226"/>
      <c r="I3" s="52"/>
      <c r="J3" s="52"/>
      <c r="K3" s="52"/>
      <c r="L3" s="52"/>
      <c r="N3" s="102"/>
      <c r="O3" s="102"/>
      <c r="P3" s="102"/>
      <c r="Q3" s="102"/>
    </row>
    <row r="4" spans="1:17" ht="18" thickBot="1">
      <c r="A4" s="103"/>
      <c r="B4" s="3"/>
      <c r="C4" s="3"/>
      <c r="D4" s="3"/>
      <c r="E4" s="3"/>
      <c r="F4" s="3"/>
      <c r="G4" s="226"/>
      <c r="H4" s="226"/>
      <c r="I4" s="52"/>
      <c r="J4" s="52"/>
      <c r="K4" s="52"/>
      <c r="L4" s="52"/>
      <c r="N4" s="102"/>
      <c r="O4" s="102"/>
      <c r="P4" s="102"/>
      <c r="Q4" s="102"/>
    </row>
    <row r="5" spans="1:17" ht="18.75" customHeight="1">
      <c r="A5" s="1930"/>
      <c r="B5" s="1933" t="s">
        <v>156</v>
      </c>
      <c r="C5" s="1933" t="s">
        <v>73</v>
      </c>
      <c r="D5" s="1933"/>
      <c r="E5" s="1936" t="s">
        <v>74</v>
      </c>
      <c r="F5" s="1907" t="s">
        <v>210</v>
      </c>
      <c r="G5" s="1910" t="s">
        <v>1908</v>
      </c>
      <c r="H5" s="1910"/>
      <c r="I5" s="1907" t="s">
        <v>277</v>
      </c>
      <c r="J5" s="1907"/>
      <c r="K5" s="1907" t="s">
        <v>278</v>
      </c>
      <c r="L5" s="1913"/>
      <c r="N5" s="1906" t="s">
        <v>77</v>
      </c>
      <c r="O5" s="1905" t="s">
        <v>1897</v>
      </c>
      <c r="P5" s="1906" t="s">
        <v>1901</v>
      </c>
      <c r="Q5" s="1906" t="s">
        <v>1902</v>
      </c>
    </row>
    <row r="6" spans="1:17" ht="51.75" customHeight="1">
      <c r="A6" s="1931"/>
      <c r="B6" s="1934"/>
      <c r="C6" s="1934"/>
      <c r="D6" s="1934"/>
      <c r="E6" s="1937"/>
      <c r="F6" s="1908"/>
      <c r="G6" s="1911"/>
      <c r="H6" s="1911"/>
      <c r="I6" s="1908"/>
      <c r="J6" s="1908"/>
      <c r="K6" s="1908"/>
      <c r="L6" s="1914"/>
      <c r="N6" s="1906"/>
      <c r="O6" s="1905"/>
      <c r="P6" s="1906"/>
      <c r="Q6" s="1906"/>
    </row>
    <row r="7" spans="1:17" ht="19.5" customHeight="1" thickBot="1">
      <c r="A7" s="1932"/>
      <c r="B7" s="1935"/>
      <c r="C7" s="1935"/>
      <c r="D7" s="1935"/>
      <c r="E7" s="1938"/>
      <c r="F7" s="1909"/>
      <c r="G7" s="1912"/>
      <c r="H7" s="1912"/>
      <c r="I7" s="1909"/>
      <c r="J7" s="1909"/>
      <c r="K7" s="1909"/>
      <c r="L7" s="1915"/>
      <c r="N7" s="1906"/>
      <c r="O7" s="1905"/>
      <c r="P7" s="1906"/>
      <c r="Q7" s="1906"/>
    </row>
    <row r="8" spans="1:17" ht="19.5">
      <c r="A8" s="1916" t="s">
        <v>157</v>
      </c>
      <c r="B8" s="1920" t="s">
        <v>158</v>
      </c>
      <c r="C8" s="1918" t="s">
        <v>87</v>
      </c>
      <c r="D8" s="1919"/>
      <c r="E8" s="420" t="s">
        <v>373</v>
      </c>
      <c r="F8" s="265"/>
      <c r="G8" s="229" t="str">
        <f>IF(F8="","",IF(E8="","",F8/N8))</f>
        <v/>
      </c>
      <c r="H8" s="234" t="s">
        <v>194</v>
      </c>
      <c r="I8" s="257">
        <v>18</v>
      </c>
      <c r="J8" s="241" t="s">
        <v>179</v>
      </c>
      <c r="K8" s="260">
        <v>1.07</v>
      </c>
      <c r="L8" s="242" t="s">
        <v>1898</v>
      </c>
      <c r="N8" s="221">
        <f>IF(E8="","",VLOOKUP(E8,非_単位補正換算!$B$3:$C$16,2,FALSE))</f>
        <v>1000</v>
      </c>
      <c r="O8" s="221" t="str">
        <f>"非_単位!$C$"&amp;MATCH(C8,非_単位!B:B,0)&amp;":$D$"&amp;MATCH(C8,非_単位!B:B,0)</f>
        <v>非_単位!$C$56:$D$56</v>
      </c>
      <c r="P8" s="221" t="str">
        <f>IF(G8="","",IF(I8="","",G8*I8))</f>
        <v/>
      </c>
      <c r="Q8" s="221" t="str">
        <f>IF(G8="","",IF(K8="","",G8*K8))</f>
        <v/>
      </c>
    </row>
    <row r="9" spans="1:17" ht="19.5">
      <c r="A9" s="1916"/>
      <c r="B9" s="1675"/>
      <c r="C9" s="1365" t="s">
        <v>88</v>
      </c>
      <c r="D9" s="1367"/>
      <c r="E9" s="420" t="s">
        <v>373</v>
      </c>
      <c r="F9" s="266"/>
      <c r="G9" s="230" t="str">
        <f t="shared" ref="G9:G31" si="0">IF(F9="","",IF(E9="","",F9/N9))</f>
        <v/>
      </c>
      <c r="H9" s="235" t="s">
        <v>194</v>
      </c>
      <c r="I9" s="258">
        <v>26.9</v>
      </c>
      <c r="J9" s="243" t="s">
        <v>179</v>
      </c>
      <c r="K9" s="260">
        <v>1.64</v>
      </c>
      <c r="L9" s="244" t="s">
        <v>1898</v>
      </c>
      <c r="N9" s="221">
        <f>IF(E9="","",VLOOKUP(E9,非_単位補正換算!$B$3:$C$16,2,FALSE))</f>
        <v>1000</v>
      </c>
      <c r="O9" s="221" t="str">
        <f>"非_単位!$C$"&amp;MATCH(C9,非_単位!B:B,0)&amp;":$D$"&amp;MATCH(C9,非_単位!B:B,0)</f>
        <v>非_単位!$C$57:$D$57</v>
      </c>
      <c r="P9" s="221" t="str">
        <f t="shared" ref="P9:P31" si="1">IF(G9="","",IF(I9="","",G9*I9))</f>
        <v/>
      </c>
      <c r="Q9" s="221" t="str">
        <f t="shared" ref="Q9:Q18" si="2">IF(G9="","",IF(K9="","",G9*K9))</f>
        <v/>
      </c>
    </row>
    <row r="10" spans="1:17" ht="19.5">
      <c r="A10" s="1916"/>
      <c r="B10" s="1675"/>
      <c r="C10" s="1365" t="s">
        <v>89</v>
      </c>
      <c r="D10" s="1367"/>
      <c r="E10" s="420" t="s">
        <v>373</v>
      </c>
      <c r="F10" s="266"/>
      <c r="G10" s="230" t="str">
        <f t="shared" si="0"/>
        <v/>
      </c>
      <c r="H10" s="235" t="s">
        <v>194</v>
      </c>
      <c r="I10" s="258">
        <v>33.200000000000003</v>
      </c>
      <c r="J10" s="243" t="s">
        <v>179</v>
      </c>
      <c r="K10" s="260">
        <v>1.64</v>
      </c>
      <c r="L10" s="244" t="s">
        <v>1898</v>
      </c>
      <c r="N10" s="221">
        <f>IF(E10="","",VLOOKUP(E10,非_単位補正換算!$B$3:$C$16,2,FALSE))</f>
        <v>1000</v>
      </c>
      <c r="O10" s="221" t="str">
        <f>"非_単位!$C$"&amp;MATCH(C10,非_単位!B:B,0)&amp;":$D$"&amp;MATCH(C10,非_単位!B:B,0)</f>
        <v>非_単位!$C$58:$D$58</v>
      </c>
      <c r="P10" s="221" t="str">
        <f t="shared" si="1"/>
        <v/>
      </c>
      <c r="Q10" s="221" t="str">
        <f t="shared" si="2"/>
        <v/>
      </c>
    </row>
    <row r="11" spans="1:17" ht="19.5">
      <c r="A11" s="1916"/>
      <c r="B11" s="1675"/>
      <c r="C11" s="1365" t="s">
        <v>90</v>
      </c>
      <c r="D11" s="1367"/>
      <c r="E11" s="420" t="s">
        <v>373</v>
      </c>
      <c r="F11" s="266"/>
      <c r="G11" s="230" t="str">
        <f t="shared" si="0"/>
        <v/>
      </c>
      <c r="H11" s="235" t="s">
        <v>194</v>
      </c>
      <c r="I11" s="258">
        <v>29.3</v>
      </c>
      <c r="J11" s="243" t="s">
        <v>179</v>
      </c>
      <c r="K11" s="260">
        <v>2.76</v>
      </c>
      <c r="L11" s="244" t="s">
        <v>1898</v>
      </c>
      <c r="N11" s="221">
        <f>IF(E11="","",VLOOKUP(E11,非_単位補正換算!$B$3:$C$16,2,FALSE))</f>
        <v>1000</v>
      </c>
      <c r="O11" s="221" t="str">
        <f>"非_単位!$C$"&amp;MATCH(C11,非_単位!B:B,0)&amp;":$D$"&amp;MATCH(C11,非_単位!B:B,0)</f>
        <v>非_単位!$C$59:$D$59</v>
      </c>
      <c r="P11" s="221" t="str">
        <f t="shared" si="1"/>
        <v/>
      </c>
      <c r="Q11" s="221" t="str">
        <f t="shared" si="2"/>
        <v/>
      </c>
    </row>
    <row r="12" spans="1:17" ht="19.5">
      <c r="A12" s="1916"/>
      <c r="B12" s="1675"/>
      <c r="C12" s="1365" t="s">
        <v>91</v>
      </c>
      <c r="D12" s="1367"/>
      <c r="E12" s="420" t="s">
        <v>373</v>
      </c>
      <c r="F12" s="266"/>
      <c r="G12" s="230" t="str">
        <f t="shared" si="0"/>
        <v/>
      </c>
      <c r="H12" s="235" t="s">
        <v>194</v>
      </c>
      <c r="I12" s="258">
        <v>29.3</v>
      </c>
      <c r="J12" s="243" t="s">
        <v>179</v>
      </c>
      <c r="K12" s="260">
        <v>2.57</v>
      </c>
      <c r="L12" s="244" t="s">
        <v>1898</v>
      </c>
      <c r="N12" s="221">
        <f>IF(E12="","",VLOOKUP(E12,非_単位補正換算!$B$3:$C$16,2,FALSE))</f>
        <v>1000</v>
      </c>
      <c r="O12" s="221" t="str">
        <f>"非_単位!$C$"&amp;MATCH(C12,非_単位!B:B,0)&amp;":$D$"&amp;MATCH(C12,非_単位!B:B,0)</f>
        <v>非_単位!$C$60:$D$60</v>
      </c>
      <c r="P12" s="221" t="str">
        <f t="shared" si="1"/>
        <v/>
      </c>
      <c r="Q12" s="221" t="str">
        <f t="shared" si="2"/>
        <v/>
      </c>
    </row>
    <row r="13" spans="1:17" ht="69.900000000000006" customHeight="1">
      <c r="A13" s="1916"/>
      <c r="B13" s="1675"/>
      <c r="C13" s="1365" t="s">
        <v>92</v>
      </c>
      <c r="D13" s="1367"/>
      <c r="E13" s="420" t="s">
        <v>372</v>
      </c>
      <c r="F13" s="266"/>
      <c r="G13" s="230" t="str">
        <f t="shared" si="0"/>
        <v/>
      </c>
      <c r="H13" s="235" t="s">
        <v>8</v>
      </c>
      <c r="I13" s="258">
        <v>40.200000000000003</v>
      </c>
      <c r="J13" s="243" t="s">
        <v>180</v>
      </c>
      <c r="K13" s="260">
        <v>2.64</v>
      </c>
      <c r="L13" s="244" t="s">
        <v>1899</v>
      </c>
      <c r="N13" s="221">
        <f>IF(E13="","",VLOOKUP(E13,非_単位補正換算!$B$3:$C$16,2,FALSE))</f>
        <v>1000</v>
      </c>
      <c r="O13" s="221" t="str">
        <f>"非_単位!$C$"&amp;MATCH(C13,非_単位!B:B,0)&amp;":$D$"&amp;MATCH(C13,非_単位!B:B,0)</f>
        <v>非_単位!$C$61:$D$61</v>
      </c>
      <c r="P13" s="221" t="str">
        <f t="shared" si="1"/>
        <v/>
      </c>
      <c r="Q13" s="221" t="str">
        <f t="shared" si="2"/>
        <v/>
      </c>
    </row>
    <row r="14" spans="1:17" ht="41.25" customHeight="1">
      <c r="A14" s="1916"/>
      <c r="B14" s="1675"/>
      <c r="C14" s="1365" t="s">
        <v>93</v>
      </c>
      <c r="D14" s="1367"/>
      <c r="E14" s="420" t="s">
        <v>372</v>
      </c>
      <c r="F14" s="266"/>
      <c r="G14" s="230" t="str">
        <f t="shared" si="0"/>
        <v/>
      </c>
      <c r="H14" s="235" t="s">
        <v>8</v>
      </c>
      <c r="I14" s="258">
        <v>38</v>
      </c>
      <c r="J14" s="243" t="s">
        <v>180</v>
      </c>
      <c r="K14" s="260">
        <v>2.62</v>
      </c>
      <c r="L14" s="244" t="s">
        <v>1899</v>
      </c>
      <c r="N14" s="221">
        <f>IF(E14="","",VLOOKUP(E14,非_単位補正換算!$B$3:$C$16,2,FALSE))</f>
        <v>1000</v>
      </c>
      <c r="O14" s="221" t="str">
        <f>"非_単位!$C$"&amp;MATCH(C14,非_単位!B:B,0)&amp;":$D$"&amp;MATCH(C14,非_単位!B:B,0)</f>
        <v>非_単位!$C$62:$D$62</v>
      </c>
      <c r="P14" s="221" t="str">
        <f t="shared" si="1"/>
        <v/>
      </c>
      <c r="Q14" s="221" t="str">
        <f t="shared" si="2"/>
        <v/>
      </c>
    </row>
    <row r="15" spans="1:17" ht="24" customHeight="1">
      <c r="A15" s="1916"/>
      <c r="B15" s="1675"/>
      <c r="C15" s="1365" t="s">
        <v>94</v>
      </c>
      <c r="D15" s="1367"/>
      <c r="E15" s="420" t="s">
        <v>375</v>
      </c>
      <c r="F15" s="266"/>
      <c r="G15" s="230" t="str">
        <f t="shared" si="0"/>
        <v/>
      </c>
      <c r="H15" s="235" t="s">
        <v>195</v>
      </c>
      <c r="I15" s="258">
        <v>21.2</v>
      </c>
      <c r="J15" s="243" t="s">
        <v>196</v>
      </c>
      <c r="K15" s="261"/>
      <c r="L15" s="245"/>
      <c r="N15" s="221">
        <f>IF(E15="","",VLOOKUP(E15,非_単位補正換算!$B$3:$C$16,2,FALSE))</f>
        <v>1000</v>
      </c>
      <c r="O15" s="221" t="str">
        <f>"非_単位!$C$"&amp;MATCH(C15,非_単位!B:B,0)&amp;":$D$"&amp;MATCH(C15,非_単位!B:B,0)</f>
        <v>非_単位!$C$63:$D$63</v>
      </c>
      <c r="P15" s="221" t="str">
        <f t="shared" si="1"/>
        <v/>
      </c>
      <c r="Q15" s="221" t="str">
        <f t="shared" si="2"/>
        <v/>
      </c>
    </row>
    <row r="16" spans="1:17">
      <c r="A16" s="1916"/>
      <c r="B16" s="1675"/>
      <c r="C16" s="1365" t="s">
        <v>159</v>
      </c>
      <c r="D16" s="1367"/>
      <c r="E16" s="420" t="s">
        <v>373</v>
      </c>
      <c r="F16" s="266"/>
      <c r="G16" s="230" t="str">
        <f t="shared" si="0"/>
        <v/>
      </c>
      <c r="H16" s="235" t="s">
        <v>19</v>
      </c>
      <c r="I16" s="258">
        <v>17.100000000000001</v>
      </c>
      <c r="J16" s="243" t="s">
        <v>179</v>
      </c>
      <c r="K16" s="261"/>
      <c r="L16" s="245"/>
      <c r="N16" s="221">
        <f>IF(E16="","",VLOOKUP(E16,非_単位補正換算!$B$3:$C$16,2,FALSE))</f>
        <v>1000</v>
      </c>
      <c r="O16" s="221" t="str">
        <f>"非_単位!$C$"&amp;MATCH(C16,非_単位!B:B,0)&amp;":$D$"&amp;MATCH(C16,非_単位!B:B,0)</f>
        <v>非_単位!$C$64:$D$64</v>
      </c>
      <c r="P16" s="221" t="str">
        <f t="shared" si="1"/>
        <v/>
      </c>
      <c r="Q16" s="221" t="str">
        <f t="shared" si="2"/>
        <v/>
      </c>
    </row>
    <row r="17" spans="1:17">
      <c r="A17" s="1916"/>
      <c r="B17" s="1675"/>
      <c r="C17" s="1944" t="s">
        <v>94</v>
      </c>
      <c r="D17" s="1945"/>
      <c r="E17" s="420" t="s">
        <v>373</v>
      </c>
      <c r="F17" s="266"/>
      <c r="G17" s="230" t="str">
        <f t="shared" si="0"/>
        <v/>
      </c>
      <c r="H17" s="235" t="str">
        <f>IF(E17="","",E17)</f>
        <v>kg</v>
      </c>
      <c r="I17" s="426"/>
      <c r="J17" s="243" t="str">
        <f>IF(E17="","","GJ/"&amp;E17)</f>
        <v>GJ/kg</v>
      </c>
      <c r="K17" s="428"/>
      <c r="L17" s="244" t="str">
        <f>"t-CO2/"&amp;IF(E17="","入力単位",E17)</f>
        <v>t-CO2/kg</v>
      </c>
      <c r="N17" s="221">
        <f>IF(E17="","",VLOOKUP(E17,非_単位補正換算!$B$3:$C$16,2,FALSE))</f>
        <v>1000</v>
      </c>
      <c r="O17" s="221" t="str">
        <f>"非_単位!$C$"&amp;MATCH(IF(C17="","廃棄物原燃料　自由記入1",C17),非_単位!B:B,0)&amp;":$H$"&amp;MATCH(IF(C17="","廃棄物原燃料　自由記入1",C17),非_単位!B:B,0)</f>
        <v>非_単位!$C$63:$H$63</v>
      </c>
      <c r="P17" s="221" t="str">
        <f t="shared" si="1"/>
        <v/>
      </c>
      <c r="Q17" s="221" t="str">
        <f t="shared" si="2"/>
        <v/>
      </c>
    </row>
    <row r="18" spans="1:17" ht="18" customHeight="1" thickBot="1">
      <c r="A18" s="1916"/>
      <c r="B18" s="1921"/>
      <c r="C18" s="1922"/>
      <c r="D18" s="1923"/>
      <c r="E18" s="421" t="s">
        <v>373</v>
      </c>
      <c r="F18" s="267"/>
      <c r="G18" s="231" t="str">
        <f t="shared" si="0"/>
        <v/>
      </c>
      <c r="H18" s="236" t="str">
        <f>IF(E18="","",E18)</f>
        <v>kg</v>
      </c>
      <c r="I18" s="427"/>
      <c r="J18" s="246" t="str">
        <f>IF(E18="","","GJ/"&amp;E18)</f>
        <v>GJ/kg</v>
      </c>
      <c r="K18" s="429"/>
      <c r="L18" s="244" t="str">
        <f>"t-CO2/"&amp;IF(E18="","入力単位",E18)</f>
        <v>t-CO2/kg</v>
      </c>
      <c r="N18" s="221">
        <f>IF(E18="","",VLOOKUP(E18,非_単位補正換算!$B$3:$C$16,2,FALSE))</f>
        <v>1000</v>
      </c>
      <c r="O18" s="221" t="str">
        <f>"非_単位!$C$"&amp;MATCH(IF(C18="","廃棄物原燃料　自由記入2",C18),非_単位!B:B,0)&amp;":$H$"&amp;MATCH(IF(C18="","廃棄物原燃料　自由記入2",C18),非_単位!B:B,0)</f>
        <v>非_単位!$C$66:$H$66</v>
      </c>
      <c r="P18" s="221" t="str">
        <f t="shared" si="1"/>
        <v/>
      </c>
      <c r="Q18" s="221" t="str">
        <f t="shared" si="2"/>
        <v/>
      </c>
    </row>
    <row r="19" spans="1:17" ht="19.5" customHeight="1" thickTop="1">
      <c r="A19" s="1916"/>
      <c r="B19" s="1925" t="s">
        <v>160</v>
      </c>
      <c r="C19" s="1746" t="s">
        <v>161</v>
      </c>
      <c r="D19" s="1929"/>
      <c r="E19" s="420" t="s">
        <v>373</v>
      </c>
      <c r="F19" s="423"/>
      <c r="G19" s="232" t="str">
        <f t="shared" si="0"/>
        <v/>
      </c>
      <c r="H19" s="237" t="s">
        <v>19</v>
      </c>
      <c r="I19" s="259">
        <v>13.6</v>
      </c>
      <c r="J19" s="247" t="s">
        <v>179</v>
      </c>
      <c r="K19" s="262"/>
      <c r="L19" s="248"/>
      <c r="N19" s="221">
        <f>IF(E19="","",VLOOKUP(E19,非_単位補正換算!$B$3:$C$16,2,FALSE))</f>
        <v>1000</v>
      </c>
      <c r="O19" s="221" t="str">
        <f>"非_単位!$C$"&amp;MATCH(C19,非_単位!B:B,0)&amp;":$D$"&amp;MATCH(C19,非_単位!B:B,0)</f>
        <v>非_単位!$C$67:$D$67</v>
      </c>
      <c r="P19" s="221" t="str">
        <f t="shared" si="1"/>
        <v/>
      </c>
      <c r="Q19" s="256"/>
    </row>
    <row r="20" spans="1:17">
      <c r="A20" s="1916"/>
      <c r="B20" s="1926"/>
      <c r="C20" s="1749" t="s">
        <v>162</v>
      </c>
      <c r="D20" s="1928"/>
      <c r="E20" s="420" t="s">
        <v>373</v>
      </c>
      <c r="F20" s="424"/>
      <c r="G20" s="230" t="str">
        <f t="shared" si="0"/>
        <v/>
      </c>
      <c r="H20" s="238" t="s">
        <v>19</v>
      </c>
      <c r="I20" s="258">
        <v>13.2</v>
      </c>
      <c r="J20" s="249" t="s">
        <v>179</v>
      </c>
      <c r="K20" s="261"/>
      <c r="L20" s="250"/>
      <c r="N20" s="221">
        <f>IF(E20="","",VLOOKUP(E20,非_単位補正換算!$B$3:$C$16,2,FALSE))</f>
        <v>1000</v>
      </c>
      <c r="O20" s="221" t="str">
        <f>"非_単位!$C$"&amp;MATCH(C20,非_単位!B:B,0)&amp;":$D$"&amp;MATCH(C20,非_単位!B:B,0)</f>
        <v>非_単位!$C$68:$D$68</v>
      </c>
      <c r="P20" s="221" t="str">
        <f t="shared" si="1"/>
        <v/>
      </c>
      <c r="Q20" s="256"/>
    </row>
    <row r="21" spans="1:17">
      <c r="A21" s="1916"/>
      <c r="B21" s="1926"/>
      <c r="C21" s="1749" t="s">
        <v>163</v>
      </c>
      <c r="D21" s="1928"/>
      <c r="E21" s="420" t="s">
        <v>373</v>
      </c>
      <c r="F21" s="424"/>
      <c r="G21" s="230" t="str">
        <f t="shared" si="0"/>
        <v/>
      </c>
      <c r="H21" s="238" t="s">
        <v>19</v>
      </c>
      <c r="I21" s="258">
        <v>17.100000000000001</v>
      </c>
      <c r="J21" s="249" t="s">
        <v>179</v>
      </c>
      <c r="K21" s="261"/>
      <c r="L21" s="250"/>
      <c r="N21" s="221">
        <f>IF(E21="","",VLOOKUP(E21,非_単位補正換算!$B$3:$C$16,2,FALSE))</f>
        <v>1000</v>
      </c>
      <c r="O21" s="221" t="str">
        <f>"非_単位!$C$"&amp;MATCH(C21,非_単位!B:B,0)&amp;":$D$"&amp;MATCH(C21,非_単位!B:B,0)</f>
        <v>非_単位!$C$69:$D$69</v>
      </c>
      <c r="P21" s="221" t="str">
        <f t="shared" si="1"/>
        <v/>
      </c>
      <c r="Q21" s="256"/>
    </row>
    <row r="22" spans="1:17">
      <c r="A22" s="1916"/>
      <c r="B22" s="1926"/>
      <c r="C22" s="1749" t="s">
        <v>164</v>
      </c>
      <c r="D22" s="1928"/>
      <c r="E22" s="420" t="s">
        <v>372</v>
      </c>
      <c r="F22" s="424"/>
      <c r="G22" s="230" t="str">
        <f t="shared" si="0"/>
        <v/>
      </c>
      <c r="H22" s="238" t="s">
        <v>193</v>
      </c>
      <c r="I22" s="258">
        <v>23.4</v>
      </c>
      <c r="J22" s="249" t="s">
        <v>180</v>
      </c>
      <c r="K22" s="261"/>
      <c r="L22" s="250"/>
      <c r="N22" s="221">
        <f>IF(E22="","",VLOOKUP(E22,非_単位補正換算!$B$3:$C$16,2,FALSE))</f>
        <v>1000</v>
      </c>
      <c r="O22" s="221" t="str">
        <f>"非_単位!$C$"&amp;MATCH(C22,非_単位!B:B,0)&amp;":$D$"&amp;MATCH(C22,非_単位!B:B,0)</f>
        <v>非_単位!$C$70:$D$70</v>
      </c>
      <c r="P22" s="221" t="str">
        <f t="shared" si="1"/>
        <v/>
      </c>
      <c r="Q22" s="256"/>
    </row>
    <row r="23" spans="1:17">
      <c r="A23" s="1916"/>
      <c r="B23" s="1926"/>
      <c r="C23" s="1749" t="s">
        <v>2018</v>
      </c>
      <c r="D23" s="1928"/>
      <c r="E23" s="420" t="s">
        <v>372</v>
      </c>
      <c r="F23" s="424"/>
      <c r="G23" s="230" t="str">
        <f t="shared" si="0"/>
        <v/>
      </c>
      <c r="H23" s="238" t="s">
        <v>193</v>
      </c>
      <c r="I23" s="258">
        <v>35.6</v>
      </c>
      <c r="J23" s="249" t="s">
        <v>180</v>
      </c>
      <c r="K23" s="261"/>
      <c r="L23" s="250"/>
      <c r="N23" s="221">
        <f>IF(E23="","",VLOOKUP(E23,非_単位補正換算!$B$3:$C$16,2,FALSE))</f>
        <v>1000</v>
      </c>
      <c r="O23" s="221" t="str">
        <f>"非_単位!$C$"&amp;MATCH(C23,非_単位!B:B,0)&amp;":$D$"&amp;MATCH(C23,非_単位!B:B,0)</f>
        <v>非_単位!$C$71:$D$71</v>
      </c>
      <c r="P23" s="221" t="str">
        <f t="shared" si="1"/>
        <v/>
      </c>
      <c r="Q23" s="256"/>
    </row>
    <row r="24" spans="1:17" ht="19.5">
      <c r="A24" s="1916"/>
      <c r="B24" s="1926"/>
      <c r="C24" s="1749" t="s">
        <v>166</v>
      </c>
      <c r="D24" s="1928"/>
      <c r="E24" s="420" t="s">
        <v>375</v>
      </c>
      <c r="F24" s="424"/>
      <c r="G24" s="230" t="str">
        <f t="shared" si="0"/>
        <v/>
      </c>
      <c r="H24" s="235" t="s">
        <v>195</v>
      </c>
      <c r="I24" s="258">
        <v>21.2</v>
      </c>
      <c r="J24" s="243" t="s">
        <v>196</v>
      </c>
      <c r="K24" s="261"/>
      <c r="L24" s="251"/>
      <c r="N24" s="221">
        <f>IF(E24="","",VLOOKUP(E24,非_単位補正換算!$B$3:$C$16,2,FALSE))</f>
        <v>1000</v>
      </c>
      <c r="O24" s="221" t="str">
        <f>"非_単位!$C$"&amp;MATCH(C24,非_単位!B:B,0)&amp;":$D$"&amp;MATCH(C24,非_単位!B:B,0)</f>
        <v>非_単位!$C$72:$D$72</v>
      </c>
      <c r="P24" s="221" t="str">
        <f t="shared" si="1"/>
        <v/>
      </c>
      <c r="Q24" s="256"/>
    </row>
    <row r="25" spans="1:17">
      <c r="A25" s="1916"/>
      <c r="B25" s="1926"/>
      <c r="C25" s="1749" t="s">
        <v>167</v>
      </c>
      <c r="D25" s="1928"/>
      <c r="E25" s="420" t="s">
        <v>373</v>
      </c>
      <c r="F25" s="424"/>
      <c r="G25" s="230" t="str">
        <f t="shared" si="0"/>
        <v/>
      </c>
      <c r="H25" s="235" t="s">
        <v>197</v>
      </c>
      <c r="I25" s="258">
        <v>13.2</v>
      </c>
      <c r="J25" s="243" t="s">
        <v>179</v>
      </c>
      <c r="K25" s="261"/>
      <c r="L25" s="251"/>
      <c r="N25" s="221">
        <f>IF(E25="","",VLOOKUP(E25,非_単位補正換算!$B$3:$C$16,2,FALSE))</f>
        <v>1000</v>
      </c>
      <c r="O25" s="221" t="str">
        <f>"非_単位!$C$"&amp;MATCH(C25,非_単位!B:B,0)&amp;":$D$"&amp;MATCH(C25,非_単位!B:B,0)</f>
        <v>非_単位!$C$73:$D$73</v>
      </c>
      <c r="P25" s="221" t="str">
        <f t="shared" si="1"/>
        <v/>
      </c>
      <c r="Q25" s="256"/>
    </row>
    <row r="26" spans="1:17">
      <c r="A26" s="1916"/>
      <c r="B26" s="1926"/>
      <c r="C26" s="1947"/>
      <c r="D26" s="1948"/>
      <c r="E26" s="420" t="s">
        <v>372</v>
      </c>
      <c r="F26" s="424"/>
      <c r="G26" s="230" t="str">
        <f t="shared" si="0"/>
        <v/>
      </c>
      <c r="H26" s="235" t="str">
        <f>IF(E26="","",E26)</f>
        <v>L</v>
      </c>
      <c r="I26" s="426"/>
      <c r="J26" s="243" t="str">
        <f>IF(E26="","","GJ/"&amp;E26)</f>
        <v>GJ/L</v>
      </c>
      <c r="K26" s="261"/>
      <c r="L26" s="251"/>
      <c r="N26" s="221">
        <f>IF(E26="","",VLOOKUP(E26,非_単位補正換算!$B$3:$C$16,2,FALSE))</f>
        <v>1000</v>
      </c>
      <c r="O26" s="221" t="str">
        <f>"非_単位!$C$"&amp;MATCH(IF(C26="","バイオマス燃料　自由記入1",C26),非_単位!B:B,0)&amp;":$H$"&amp;MATCH(IF(C26="","バイオマス燃料　自由記入1",C26),非_単位!B:B,0)</f>
        <v>非_単位!$C$74:$H$74</v>
      </c>
      <c r="P26" s="221" t="str">
        <f t="shared" si="1"/>
        <v/>
      </c>
      <c r="Q26" s="256"/>
    </row>
    <row r="27" spans="1:17" ht="18" thickBot="1">
      <c r="A27" s="1916"/>
      <c r="B27" s="1927"/>
      <c r="C27" s="1949"/>
      <c r="D27" s="1950"/>
      <c r="E27" s="421" t="s">
        <v>373</v>
      </c>
      <c r="F27" s="425"/>
      <c r="G27" s="231" t="str">
        <f t="shared" si="0"/>
        <v/>
      </c>
      <c r="H27" s="236" t="str">
        <f>IF(E27="","",E27)</f>
        <v>kg</v>
      </c>
      <c r="I27" s="427"/>
      <c r="J27" s="246" t="str">
        <f>IF(E27="","","GJ/"&amp;E27)</f>
        <v>GJ/kg</v>
      </c>
      <c r="K27" s="263"/>
      <c r="L27" s="252"/>
      <c r="N27" s="221">
        <f>IF(E27="","",VLOOKUP(E27,非_単位補正換算!$B$3:$C$16,2,FALSE))</f>
        <v>1000</v>
      </c>
      <c r="O27" s="221" t="str">
        <f>"非_単位!$C$"&amp;MATCH(IF(C27="","バイオマス燃料　自由記入2",C27),非_単位!B:B,0)&amp;":$H$"&amp;MATCH(IF(C27="","バイオマス燃料　自由記入2",C27),非_単位!B:B,0)</f>
        <v>非_単位!$C$75:$H$75</v>
      </c>
      <c r="P27" s="221" t="str">
        <f t="shared" si="1"/>
        <v/>
      </c>
      <c r="Q27" s="256"/>
    </row>
    <row r="28" spans="1:17" ht="18" thickTop="1">
      <c r="A28" s="1916"/>
      <c r="B28" s="1674" t="s">
        <v>280</v>
      </c>
      <c r="C28" s="1677" t="s">
        <v>169</v>
      </c>
      <c r="D28" s="1677"/>
      <c r="E28" s="420" t="s">
        <v>373</v>
      </c>
      <c r="F28" s="268"/>
      <c r="G28" s="232" t="str">
        <f t="shared" si="0"/>
        <v/>
      </c>
      <c r="H28" s="239" t="s">
        <v>197</v>
      </c>
      <c r="I28" s="259">
        <v>142</v>
      </c>
      <c r="J28" s="253" t="s">
        <v>179</v>
      </c>
      <c r="K28" s="262"/>
      <c r="L28" s="254"/>
      <c r="N28" s="221">
        <f>IF(E28="","",VLOOKUP(E28,非_単位補正換算!$B$3:$C$16,2,FALSE))</f>
        <v>1000</v>
      </c>
      <c r="O28" s="221" t="str">
        <f>"非_単位!$C$"&amp;MATCH(C28,非_単位!B:B,0)&amp;":$D$"&amp;MATCH(C28,非_単位!B:B,0)</f>
        <v>非_単位!$C$76:$D$76</v>
      </c>
      <c r="P28" s="221" t="str">
        <f t="shared" si="1"/>
        <v/>
      </c>
      <c r="Q28" s="256"/>
    </row>
    <row r="29" spans="1:17">
      <c r="A29" s="1916"/>
      <c r="B29" s="1675"/>
      <c r="C29" s="1679" t="s">
        <v>170</v>
      </c>
      <c r="D29" s="1679"/>
      <c r="E29" s="420" t="s">
        <v>373</v>
      </c>
      <c r="F29" s="266"/>
      <c r="G29" s="230" t="str">
        <f t="shared" si="0"/>
        <v/>
      </c>
      <c r="H29" s="235" t="s">
        <v>191</v>
      </c>
      <c r="I29" s="258">
        <v>22.5</v>
      </c>
      <c r="J29" s="243" t="s">
        <v>179</v>
      </c>
      <c r="K29" s="261"/>
      <c r="L29" s="251"/>
      <c r="N29" s="221">
        <f>IF(E29="","",VLOOKUP(E29,非_単位補正換算!$B$3:$C$16,2,FALSE))</f>
        <v>1000</v>
      </c>
      <c r="O29" s="221" t="str">
        <f>"非_単位!$C$"&amp;MATCH(C29,非_単位!B:B,0)&amp;":$D$"&amp;MATCH(C29,非_単位!B:B,0)</f>
        <v>非_単位!$C$77:$D$77</v>
      </c>
      <c r="P29" s="221" t="str">
        <f t="shared" si="1"/>
        <v/>
      </c>
      <c r="Q29" s="256"/>
    </row>
    <row r="30" spans="1:17">
      <c r="A30" s="1916"/>
      <c r="B30" s="1675"/>
      <c r="C30" s="1944"/>
      <c r="D30" s="1945"/>
      <c r="E30" s="420" t="s">
        <v>373</v>
      </c>
      <c r="F30" s="266"/>
      <c r="G30" s="230" t="str">
        <f t="shared" si="0"/>
        <v/>
      </c>
      <c r="H30" s="235" t="str">
        <f>IF(E30="","",E30)</f>
        <v>kg</v>
      </c>
      <c r="I30" s="426"/>
      <c r="J30" s="243" t="str">
        <f>IF(E30="","","GJ/"&amp;E30)</f>
        <v>GJ/kg</v>
      </c>
      <c r="K30" s="261"/>
      <c r="L30" s="251"/>
      <c r="N30" s="221">
        <f>IF(E30="","",VLOOKUP(E30,非_単位補正換算!$B$3:$C$16,2,FALSE))</f>
        <v>1000</v>
      </c>
      <c r="O30" s="221" t="str">
        <f>"非_単位!$C$"&amp;MATCH(IF(C30="","その他の非化石燃料　自由記入1",C30),非_単位!B:B,0)&amp;":$H$"&amp;MATCH(IF(C30="","その他の非化石燃料　自由記入1",C30),非_単位!B:B,0)</f>
        <v>非_単位!$C$78:$H$78</v>
      </c>
      <c r="P30" s="221" t="str">
        <f t="shared" si="1"/>
        <v/>
      </c>
      <c r="Q30" s="256"/>
    </row>
    <row r="31" spans="1:17" ht="18" thickBot="1">
      <c r="A31" s="1917"/>
      <c r="B31" s="1924"/>
      <c r="C31" s="1951"/>
      <c r="D31" s="1951"/>
      <c r="E31" s="422" t="s">
        <v>373</v>
      </c>
      <c r="F31" s="269"/>
      <c r="G31" s="233" t="str">
        <f t="shared" si="0"/>
        <v/>
      </c>
      <c r="H31" s="240" t="str">
        <f>IF(E31="","",E31)</f>
        <v>kg</v>
      </c>
      <c r="I31" s="430"/>
      <c r="J31" s="442" t="str">
        <f>IF(E31="","","GJ/"&amp;E31)</f>
        <v>GJ/kg</v>
      </c>
      <c r="K31" s="264"/>
      <c r="L31" s="255"/>
      <c r="N31" s="221">
        <f>IF(E31="","",VLOOKUP(E31,非_単位補正換算!$B$3:$C$16,2,FALSE))</f>
        <v>1000</v>
      </c>
      <c r="O31" s="221" t="str">
        <f>"非_単位!$C$"&amp;MATCH(IF(C31="","その他の非化石燃料　自由記入2",C31),非_単位!B:B,0)&amp;":$H$"&amp;MATCH(IF(C31="","その他の非化石燃料　自由記入2",C31),非_単位!B:B,0)</f>
        <v>非_単位!$C$79:$H$79</v>
      </c>
      <c r="P31" s="221" t="str">
        <f t="shared" si="1"/>
        <v/>
      </c>
      <c r="Q31" s="256"/>
    </row>
    <row r="32" spans="1:17" ht="22.5">
      <c r="A32" s="104"/>
      <c r="B32" s="43"/>
      <c r="C32" s="43"/>
      <c r="D32" s="43"/>
      <c r="E32" s="105"/>
      <c r="F32" s="106"/>
      <c r="G32" s="227"/>
      <c r="H32" s="228"/>
      <c r="I32" s="52"/>
      <c r="J32" s="1946" t="s">
        <v>121</v>
      </c>
      <c r="K32" s="1946"/>
      <c r="L32" s="1946"/>
      <c r="N32" s="102"/>
      <c r="O32" s="102"/>
      <c r="P32" s="102"/>
      <c r="Q32" s="102"/>
    </row>
  </sheetData>
  <sheetProtection algorithmName="SHA-512" hashValue="BuGX4NYHpApmniaYEyYnkJX2STqhsy3pTfJjJz6UOg+VKWtMLO+0680uPk+0ig80yfQGNGsvB7Cows2Tuf2e7w==" saltValue="7S7nKHNmsBzQez67OnhxvA==" spinCount="100000" sheet="1" objects="1" scenarios="1"/>
  <mergeCells count="44">
    <mergeCell ref="K1:L1"/>
    <mergeCell ref="K2:L2"/>
    <mergeCell ref="I1:J1"/>
    <mergeCell ref="C30:D30"/>
    <mergeCell ref="J32:L32"/>
    <mergeCell ref="C17:D17"/>
    <mergeCell ref="C29:D29"/>
    <mergeCell ref="C26:D26"/>
    <mergeCell ref="C27:D27"/>
    <mergeCell ref="C28:D28"/>
    <mergeCell ref="C31:D31"/>
    <mergeCell ref="C20:D20"/>
    <mergeCell ref="C21:D21"/>
    <mergeCell ref="C22:D22"/>
    <mergeCell ref="C23:D23"/>
    <mergeCell ref="C24:D24"/>
    <mergeCell ref="A5:A7"/>
    <mergeCell ref="B5:B7"/>
    <mergeCell ref="C5:D7"/>
    <mergeCell ref="N5:N7"/>
    <mergeCell ref="E5:E7"/>
    <mergeCell ref="A8:A31"/>
    <mergeCell ref="C8:D8"/>
    <mergeCell ref="C9:D9"/>
    <mergeCell ref="C10:D10"/>
    <mergeCell ref="C11:D11"/>
    <mergeCell ref="C12:D12"/>
    <mergeCell ref="C13:D13"/>
    <mergeCell ref="C14:D14"/>
    <mergeCell ref="C15:D15"/>
    <mergeCell ref="B8:B18"/>
    <mergeCell ref="C18:D18"/>
    <mergeCell ref="B28:B31"/>
    <mergeCell ref="B19:B27"/>
    <mergeCell ref="C25:D25"/>
    <mergeCell ref="C16:D16"/>
    <mergeCell ref="C19:D19"/>
    <mergeCell ref="O5:O7"/>
    <mergeCell ref="P5:P7"/>
    <mergeCell ref="Q5:Q7"/>
    <mergeCell ref="F5:F7"/>
    <mergeCell ref="G5:H7"/>
    <mergeCell ref="I5:J7"/>
    <mergeCell ref="K5:L7"/>
  </mergeCells>
  <phoneticPr fontId="5"/>
  <dataValidations count="4">
    <dataValidation type="list" allowBlank="1" showInputMessage="1" showErrorMessage="1" sqref="E65516:E65549 E131052:E131085 E196588:E196621 E262124:E262157 E327660:E327693 E393196:E393229 E458732:E458765 E524268:E524301 E589804:E589837 E655340:E655373 E720876:E720909 E786412:E786445 E851948:E851981 E917484:E917517 E983020:E983053" xr:uid="{00000000-0002-0000-0700-000000000000}">
      <formula1>#REF!</formula1>
    </dataValidation>
    <dataValidation type="list" allowBlank="1" showInputMessage="1" showErrorMessage="1" sqref="E983054:E983056 E917518:E917520 E851982:E851984 E786446:E786448 E720910:E720912 E655374:E655376 E589838:E589840 E524302:E524304 E458766:E458768 E393230:E393232 E327694:E327696 E262158:E262160 E196622:E196624 E131086:E131088 E65550:E65552" xr:uid="{00000000-0002-0000-0700-000001000000}">
      <formula1>$L$8:$L$14</formula1>
    </dataValidation>
    <dataValidation type="list" allowBlank="1" showInputMessage="1" showErrorMessage="1" sqref="E8:E31" xr:uid="{00000000-0002-0000-0700-000002000000}">
      <formula1>INDIRECT(O8)</formula1>
    </dataValidation>
    <dataValidation imeMode="disabled" allowBlank="1" showInputMessage="1" showErrorMessage="1" sqref="K17:K18 I17:I18 F8:F31 I26:I27 I30:I31" xr:uid="{00000000-0002-0000-0700-000003000000}"/>
  </dataValidations>
  <pageMargins left="0.78740157480314965" right="0.59055118110236227" top="0.78740157480314965" bottom="0.59055118110236227" header="0.31496062992125984" footer="0.31496062992125984"/>
  <pageSetup paperSize="9" scale="60" fitToHeight="0" orientation="portrait" r:id="rId1"/>
  <headerFooter>
    <oddHeader>&amp;R&amp;8ver.4.01</oddHeader>
  </headerFooter>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9AE13-672B-4DEF-811F-1615CF034C33}">
  <sheetPr codeName="Sheet31">
    <tabColor theme="7" tint="0.79998168889431442"/>
    <pageSetUpPr fitToPage="1"/>
  </sheetPr>
  <dimension ref="A1:R32"/>
  <sheetViews>
    <sheetView showGridLines="0" zoomScaleNormal="100" zoomScaleSheetLayoutView="100" workbookViewId="0">
      <pane xSplit="4" ySplit="7" topLeftCell="E27" activePane="bottomRight" state="frozen"/>
      <selection activeCell="L62" sqref="L62"/>
      <selection pane="topRight" activeCell="L62" sqref="L62"/>
      <selection pane="bottomLeft" activeCell="L62" sqref="L62"/>
      <selection pane="bottomRight" activeCell="F8" sqref="F8"/>
    </sheetView>
  </sheetViews>
  <sheetFormatPr defaultColWidth="9" defaultRowHeight="17.5" outlineLevelCol="1"/>
  <cols>
    <col min="1" max="1" width="6.1640625" style="64" customWidth="1"/>
    <col min="2" max="2" width="17.5" style="64" customWidth="1"/>
    <col min="3" max="3" width="23.1640625" style="64" customWidth="1"/>
    <col min="4" max="4" width="17.4140625" style="64" customWidth="1"/>
    <col min="5" max="5" width="9.58203125" style="64" customWidth="1"/>
    <col min="6" max="6" width="13.4140625" style="64" customWidth="1"/>
    <col min="7" max="7" width="11.1640625" style="65" hidden="1" customWidth="1" outlineLevel="1"/>
    <col min="8" max="8" width="7.4140625" style="64" hidden="1" customWidth="1" outlineLevel="1"/>
    <col min="9" max="9" width="10" style="84" customWidth="1" collapsed="1"/>
    <col min="10" max="10" width="14.5" style="84" customWidth="1"/>
    <col min="11" max="11" width="11.5" style="84" customWidth="1"/>
    <col min="12" max="12" width="10.58203125" style="84" bestFit="1" customWidth="1"/>
    <col min="13" max="13" width="9" style="84"/>
    <col min="14" max="14" width="15.1640625" style="84" hidden="1" customWidth="1" outlineLevel="1"/>
    <col min="15" max="15" width="32.5" style="84" hidden="1" customWidth="1" outlineLevel="1"/>
    <col min="16" max="16" width="21.58203125" style="84" hidden="1" customWidth="1" outlineLevel="1"/>
    <col min="17" max="17" width="24.1640625" style="84" hidden="1" customWidth="1" outlineLevel="1"/>
    <col min="18" max="18" width="9" style="84" collapsed="1"/>
    <col min="19" max="16384" width="9" style="84"/>
  </cols>
  <sheetData>
    <row r="1" spans="1:17">
      <c r="A1" s="3" t="s">
        <v>2506</v>
      </c>
      <c r="B1" s="3"/>
      <c r="C1" s="3"/>
      <c r="D1" s="3"/>
      <c r="E1" s="3"/>
      <c r="F1" s="3"/>
      <c r="G1" s="225" t="s">
        <v>1896</v>
      </c>
      <c r="H1" s="225" t="s">
        <v>1896</v>
      </c>
      <c r="I1" s="1942" t="s">
        <v>2057</v>
      </c>
      <c r="J1" s="1943"/>
      <c r="K1" s="1939" t="str">
        <f>IF('0.事業所概要'!D11="","",'0.事業所概要'!D11)</f>
        <v>県庁産業㈱　　本社、浦和支店</v>
      </c>
      <c r="L1" s="1940"/>
      <c r="N1" s="102"/>
      <c r="O1" s="102"/>
      <c r="P1" s="102"/>
      <c r="Q1" s="102"/>
    </row>
    <row r="2" spans="1:17">
      <c r="A2" s="103" t="s">
        <v>2511</v>
      </c>
      <c r="B2" s="3"/>
      <c r="C2" s="3"/>
      <c r="D2" s="3"/>
      <c r="E2" s="3"/>
      <c r="F2" s="3"/>
      <c r="G2" s="226">
        <v>0</v>
      </c>
      <c r="I2" s="52"/>
      <c r="J2" s="52"/>
      <c r="K2" s="1941" t="str">
        <f>CONCATENATE('0.事業所概要'!$B$3,'0.事業所概要'!$C$3,"年度")</f>
        <v>令和７年度</v>
      </c>
      <c r="L2" s="1941"/>
      <c r="N2" s="102"/>
      <c r="O2" s="102"/>
      <c r="P2" s="102"/>
      <c r="Q2" s="102"/>
    </row>
    <row r="3" spans="1:17">
      <c r="A3" s="103"/>
      <c r="B3" s="3"/>
      <c r="C3" s="3" t="s">
        <v>2058</v>
      </c>
      <c r="D3" s="3"/>
      <c r="E3" s="3"/>
      <c r="F3" s="3"/>
      <c r="G3" s="226"/>
      <c r="H3" s="226"/>
      <c r="I3" s="52"/>
      <c r="J3" s="52"/>
      <c r="K3" s="52"/>
      <c r="L3" s="52"/>
      <c r="N3" s="102"/>
      <c r="O3" s="102"/>
      <c r="P3" s="102"/>
      <c r="Q3" s="102"/>
    </row>
    <row r="4" spans="1:17" ht="18" thickBot="1">
      <c r="A4" s="103"/>
      <c r="B4" s="3"/>
      <c r="C4" s="3"/>
      <c r="D4" s="3"/>
      <c r="E4" s="3"/>
      <c r="F4" s="3"/>
      <c r="G4" s="226"/>
      <c r="H4" s="226"/>
      <c r="I4" s="52"/>
      <c r="J4" s="52"/>
      <c r="K4" s="52"/>
      <c r="L4" s="52"/>
      <c r="N4" s="102"/>
      <c r="O4" s="102"/>
      <c r="P4" s="102"/>
      <c r="Q4" s="102"/>
    </row>
    <row r="5" spans="1:17" ht="18.75" customHeight="1">
      <c r="A5" s="1930"/>
      <c r="B5" s="1933" t="s">
        <v>156</v>
      </c>
      <c r="C5" s="1933" t="s">
        <v>73</v>
      </c>
      <c r="D5" s="1933"/>
      <c r="E5" s="1936" t="s">
        <v>74</v>
      </c>
      <c r="F5" s="1907" t="s">
        <v>210</v>
      </c>
      <c r="G5" s="1910" t="s">
        <v>1908</v>
      </c>
      <c r="H5" s="1910"/>
      <c r="I5" s="1907" t="s">
        <v>277</v>
      </c>
      <c r="J5" s="1907"/>
      <c r="K5" s="1907" t="s">
        <v>278</v>
      </c>
      <c r="L5" s="1913"/>
      <c r="N5" s="1906" t="s">
        <v>77</v>
      </c>
      <c r="O5" s="1905" t="s">
        <v>1897</v>
      </c>
      <c r="P5" s="1906" t="s">
        <v>219</v>
      </c>
      <c r="Q5" s="1906" t="s">
        <v>1902</v>
      </c>
    </row>
    <row r="6" spans="1:17" ht="51.75" customHeight="1">
      <c r="A6" s="1931"/>
      <c r="B6" s="1934"/>
      <c r="C6" s="1934"/>
      <c r="D6" s="1934"/>
      <c r="E6" s="1937"/>
      <c r="F6" s="1908"/>
      <c r="G6" s="1911"/>
      <c r="H6" s="1911"/>
      <c r="I6" s="1908"/>
      <c r="J6" s="1908"/>
      <c r="K6" s="1908"/>
      <c r="L6" s="1914"/>
      <c r="N6" s="1906"/>
      <c r="O6" s="1905"/>
      <c r="P6" s="1906"/>
      <c r="Q6" s="1906"/>
    </row>
    <row r="7" spans="1:17" ht="19.5" customHeight="1" thickBot="1">
      <c r="A7" s="1932"/>
      <c r="B7" s="1935"/>
      <c r="C7" s="1935"/>
      <c r="D7" s="1935"/>
      <c r="E7" s="1938"/>
      <c r="F7" s="1909"/>
      <c r="G7" s="1912"/>
      <c r="H7" s="1912"/>
      <c r="I7" s="1909"/>
      <c r="J7" s="1909"/>
      <c r="K7" s="1909"/>
      <c r="L7" s="1915"/>
      <c r="N7" s="1906"/>
      <c r="O7" s="1905"/>
      <c r="P7" s="1906"/>
      <c r="Q7" s="1906"/>
    </row>
    <row r="8" spans="1:17" ht="19.5">
      <c r="A8" s="1916" t="s">
        <v>157</v>
      </c>
      <c r="B8" s="1920" t="s">
        <v>158</v>
      </c>
      <c r="C8" s="1918" t="s">
        <v>87</v>
      </c>
      <c r="D8" s="1919"/>
      <c r="E8" s="420" t="s">
        <v>373</v>
      </c>
      <c r="F8" s="265"/>
      <c r="G8" s="229" t="str">
        <f>IF(F8="","",IF(E8="","",F8/N8))</f>
        <v/>
      </c>
      <c r="H8" s="234" t="s">
        <v>194</v>
      </c>
      <c r="I8" s="257">
        <v>18</v>
      </c>
      <c r="J8" s="241" t="s">
        <v>179</v>
      </c>
      <c r="K8" s="260">
        <v>1.07</v>
      </c>
      <c r="L8" s="242" t="s">
        <v>1898</v>
      </c>
      <c r="N8" s="221">
        <f>IF(E8="","",VLOOKUP(E8,非_単位補正換算!$B$3:$C$16,2,FALSE))</f>
        <v>1000</v>
      </c>
      <c r="O8" s="221" t="str">
        <f>"非_単位!$C$"&amp;MATCH(C8,非_単位!B:B,0)&amp;":$D$"&amp;MATCH(C8,非_単位!B:B,0)</f>
        <v>非_単位!$C$56:$D$56</v>
      </c>
      <c r="P8" s="221" t="str">
        <f>IF(G8="","",IF(I8="","",G8*I8))</f>
        <v/>
      </c>
      <c r="Q8" s="221" t="str">
        <f>IF(G8="","",IF(K8="","",G8*K8))</f>
        <v/>
      </c>
    </row>
    <row r="9" spans="1:17" ht="19.5">
      <c r="A9" s="1916"/>
      <c r="B9" s="1675"/>
      <c r="C9" s="1365" t="s">
        <v>88</v>
      </c>
      <c r="D9" s="1367"/>
      <c r="E9" s="420" t="s">
        <v>373</v>
      </c>
      <c r="F9" s="266"/>
      <c r="G9" s="230" t="str">
        <f t="shared" ref="G9:G31" si="0">IF(F9="","",IF(E9="","",F9/N9))</f>
        <v/>
      </c>
      <c r="H9" s="235" t="s">
        <v>194</v>
      </c>
      <c r="I9" s="258">
        <v>26.9</v>
      </c>
      <c r="J9" s="243" t="s">
        <v>179</v>
      </c>
      <c r="K9" s="260">
        <v>1.64</v>
      </c>
      <c r="L9" s="244" t="s">
        <v>1898</v>
      </c>
      <c r="N9" s="221">
        <f>IF(E9="","",VLOOKUP(E9,非_単位補正換算!$B$3:$C$16,2,FALSE))</f>
        <v>1000</v>
      </c>
      <c r="O9" s="221" t="str">
        <f>"非_単位!$C$"&amp;MATCH(C9,非_単位!B:B,0)&amp;":$D$"&amp;MATCH(C9,非_単位!B:B,0)</f>
        <v>非_単位!$C$57:$D$57</v>
      </c>
      <c r="P9" s="221" t="str">
        <f t="shared" ref="P9:P31" si="1">IF(G9="","",IF(I9="","",G9*I9))</f>
        <v/>
      </c>
      <c r="Q9" s="221" t="str">
        <f t="shared" ref="Q9:Q18" si="2">IF(G9="","",IF(K9="","",G9*K9))</f>
        <v/>
      </c>
    </row>
    <row r="10" spans="1:17" ht="19.5">
      <c r="A10" s="1916"/>
      <c r="B10" s="1675"/>
      <c r="C10" s="1365" t="s">
        <v>89</v>
      </c>
      <c r="D10" s="1367"/>
      <c r="E10" s="420" t="s">
        <v>373</v>
      </c>
      <c r="F10" s="266"/>
      <c r="G10" s="230" t="str">
        <f t="shared" si="0"/>
        <v/>
      </c>
      <c r="H10" s="235" t="s">
        <v>194</v>
      </c>
      <c r="I10" s="258">
        <v>33.200000000000003</v>
      </c>
      <c r="J10" s="243" t="s">
        <v>179</v>
      </c>
      <c r="K10" s="260">
        <v>1.64</v>
      </c>
      <c r="L10" s="244" t="s">
        <v>1898</v>
      </c>
      <c r="N10" s="221">
        <f>IF(E10="","",VLOOKUP(E10,非_単位補正換算!$B$3:$C$16,2,FALSE))</f>
        <v>1000</v>
      </c>
      <c r="O10" s="221" t="str">
        <f>"非_単位!$C$"&amp;MATCH(C10,非_単位!B:B,0)&amp;":$D$"&amp;MATCH(C10,非_単位!B:B,0)</f>
        <v>非_単位!$C$58:$D$58</v>
      </c>
      <c r="P10" s="221" t="str">
        <f t="shared" si="1"/>
        <v/>
      </c>
      <c r="Q10" s="221" t="str">
        <f t="shared" si="2"/>
        <v/>
      </c>
    </row>
    <row r="11" spans="1:17" ht="19.5">
      <c r="A11" s="1916"/>
      <c r="B11" s="1675"/>
      <c r="C11" s="1365" t="s">
        <v>90</v>
      </c>
      <c r="D11" s="1367"/>
      <c r="E11" s="420" t="s">
        <v>373</v>
      </c>
      <c r="F11" s="266"/>
      <c r="G11" s="230" t="str">
        <f t="shared" si="0"/>
        <v/>
      </c>
      <c r="H11" s="235" t="s">
        <v>194</v>
      </c>
      <c r="I11" s="258">
        <v>29.3</v>
      </c>
      <c r="J11" s="243" t="s">
        <v>179</v>
      </c>
      <c r="K11" s="260">
        <v>2.76</v>
      </c>
      <c r="L11" s="244" t="s">
        <v>1898</v>
      </c>
      <c r="N11" s="221">
        <f>IF(E11="","",VLOOKUP(E11,非_単位補正換算!$B$3:$C$16,2,FALSE))</f>
        <v>1000</v>
      </c>
      <c r="O11" s="221" t="str">
        <f>"非_単位!$C$"&amp;MATCH(C11,非_単位!B:B,0)&amp;":$D$"&amp;MATCH(C11,非_単位!B:B,0)</f>
        <v>非_単位!$C$59:$D$59</v>
      </c>
      <c r="P11" s="221" t="str">
        <f t="shared" si="1"/>
        <v/>
      </c>
      <c r="Q11" s="221" t="str">
        <f t="shared" si="2"/>
        <v/>
      </c>
    </row>
    <row r="12" spans="1:17" ht="19.5">
      <c r="A12" s="1916"/>
      <c r="B12" s="1675"/>
      <c r="C12" s="1365" t="s">
        <v>91</v>
      </c>
      <c r="D12" s="1367"/>
      <c r="E12" s="420" t="s">
        <v>373</v>
      </c>
      <c r="F12" s="266"/>
      <c r="G12" s="230" t="str">
        <f t="shared" si="0"/>
        <v/>
      </c>
      <c r="H12" s="235" t="s">
        <v>194</v>
      </c>
      <c r="I12" s="258">
        <v>29.3</v>
      </c>
      <c r="J12" s="243" t="s">
        <v>179</v>
      </c>
      <c r="K12" s="260">
        <v>2.57</v>
      </c>
      <c r="L12" s="244" t="s">
        <v>1898</v>
      </c>
      <c r="N12" s="221">
        <f>IF(E12="","",VLOOKUP(E12,非_単位補正換算!$B$3:$C$16,2,FALSE))</f>
        <v>1000</v>
      </c>
      <c r="O12" s="221" t="str">
        <f>"非_単位!$C$"&amp;MATCH(C12,非_単位!B:B,0)&amp;":$D$"&amp;MATCH(C12,非_単位!B:B,0)</f>
        <v>非_単位!$C$60:$D$60</v>
      </c>
      <c r="P12" s="221" t="str">
        <f t="shared" si="1"/>
        <v/>
      </c>
      <c r="Q12" s="221" t="str">
        <f t="shared" si="2"/>
        <v/>
      </c>
    </row>
    <row r="13" spans="1:17" ht="69.900000000000006" customHeight="1">
      <c r="A13" s="1916"/>
      <c r="B13" s="1675"/>
      <c r="C13" s="1365" t="s">
        <v>92</v>
      </c>
      <c r="D13" s="1367"/>
      <c r="E13" s="420" t="s">
        <v>372</v>
      </c>
      <c r="F13" s="266"/>
      <c r="G13" s="230" t="str">
        <f t="shared" si="0"/>
        <v/>
      </c>
      <c r="H13" s="235" t="s">
        <v>8</v>
      </c>
      <c r="I13" s="258">
        <v>40.200000000000003</v>
      </c>
      <c r="J13" s="243" t="s">
        <v>180</v>
      </c>
      <c r="K13" s="260">
        <v>2.64</v>
      </c>
      <c r="L13" s="244" t="s">
        <v>1899</v>
      </c>
      <c r="N13" s="221">
        <f>IF(E13="","",VLOOKUP(E13,非_単位補正換算!$B$3:$C$16,2,FALSE))</f>
        <v>1000</v>
      </c>
      <c r="O13" s="221" t="str">
        <f>"非_単位!$C$"&amp;MATCH(C13,非_単位!B:B,0)&amp;":$D$"&amp;MATCH(C13,非_単位!B:B,0)</f>
        <v>非_単位!$C$61:$D$61</v>
      </c>
      <c r="P13" s="221" t="str">
        <f t="shared" si="1"/>
        <v/>
      </c>
      <c r="Q13" s="221" t="str">
        <f t="shared" si="2"/>
        <v/>
      </c>
    </row>
    <row r="14" spans="1:17" ht="41.25" customHeight="1">
      <c r="A14" s="1916"/>
      <c r="B14" s="1675"/>
      <c r="C14" s="1365" t="s">
        <v>93</v>
      </c>
      <c r="D14" s="1367"/>
      <c r="E14" s="420" t="s">
        <v>372</v>
      </c>
      <c r="F14" s="266"/>
      <c r="G14" s="230" t="str">
        <f t="shared" si="0"/>
        <v/>
      </c>
      <c r="H14" s="235" t="s">
        <v>8</v>
      </c>
      <c r="I14" s="258">
        <v>38</v>
      </c>
      <c r="J14" s="243" t="s">
        <v>180</v>
      </c>
      <c r="K14" s="260">
        <v>2.62</v>
      </c>
      <c r="L14" s="244" t="s">
        <v>1899</v>
      </c>
      <c r="N14" s="221">
        <f>IF(E14="","",VLOOKUP(E14,非_単位補正換算!$B$3:$C$16,2,FALSE))</f>
        <v>1000</v>
      </c>
      <c r="O14" s="221" t="str">
        <f>"非_単位!$C$"&amp;MATCH(C14,非_単位!B:B,0)&amp;":$D$"&amp;MATCH(C14,非_単位!B:B,0)</f>
        <v>非_単位!$C$62:$D$62</v>
      </c>
      <c r="P14" s="221" t="str">
        <f t="shared" si="1"/>
        <v/>
      </c>
      <c r="Q14" s="221" t="str">
        <f t="shared" si="2"/>
        <v/>
      </c>
    </row>
    <row r="15" spans="1:17" ht="24" customHeight="1">
      <c r="A15" s="1916"/>
      <c r="B15" s="1675"/>
      <c r="C15" s="1365" t="s">
        <v>94</v>
      </c>
      <c r="D15" s="1367"/>
      <c r="E15" s="420" t="s">
        <v>375</v>
      </c>
      <c r="F15" s="266"/>
      <c r="G15" s="230" t="str">
        <f t="shared" si="0"/>
        <v/>
      </c>
      <c r="H15" s="235" t="s">
        <v>195</v>
      </c>
      <c r="I15" s="258">
        <v>21.2</v>
      </c>
      <c r="J15" s="243" t="s">
        <v>196</v>
      </c>
      <c r="K15" s="261"/>
      <c r="L15" s="245"/>
      <c r="N15" s="221">
        <f>IF(E15="","",VLOOKUP(E15,非_単位補正換算!$B$3:$C$16,2,FALSE))</f>
        <v>1000</v>
      </c>
      <c r="O15" s="221" t="str">
        <f>"非_単位!$C$"&amp;MATCH(C15,非_単位!B:B,0)&amp;":$D$"&amp;MATCH(C15,非_単位!B:B,0)</f>
        <v>非_単位!$C$63:$D$63</v>
      </c>
      <c r="P15" s="221" t="str">
        <f t="shared" si="1"/>
        <v/>
      </c>
      <c r="Q15" s="221" t="str">
        <f t="shared" si="2"/>
        <v/>
      </c>
    </row>
    <row r="16" spans="1:17">
      <c r="A16" s="1916"/>
      <c r="B16" s="1675"/>
      <c r="C16" s="1365" t="s">
        <v>159</v>
      </c>
      <c r="D16" s="1367"/>
      <c r="E16" s="420" t="s">
        <v>373</v>
      </c>
      <c r="F16" s="266"/>
      <c r="G16" s="230" t="str">
        <f t="shared" si="0"/>
        <v/>
      </c>
      <c r="H16" s="235" t="s">
        <v>19</v>
      </c>
      <c r="I16" s="258">
        <v>17.100000000000001</v>
      </c>
      <c r="J16" s="243" t="s">
        <v>179</v>
      </c>
      <c r="K16" s="261"/>
      <c r="L16" s="245"/>
      <c r="N16" s="221">
        <f>IF(E16="","",VLOOKUP(E16,非_単位補正換算!$B$3:$C$16,2,FALSE))</f>
        <v>1000</v>
      </c>
      <c r="O16" s="221" t="str">
        <f>"非_単位!$C$"&amp;MATCH(C16,非_単位!B:B,0)&amp;":$D$"&amp;MATCH(C16,非_単位!B:B,0)</f>
        <v>非_単位!$C$64:$D$64</v>
      </c>
      <c r="P16" s="221" t="str">
        <f t="shared" si="1"/>
        <v/>
      </c>
      <c r="Q16" s="221" t="str">
        <f t="shared" si="2"/>
        <v/>
      </c>
    </row>
    <row r="17" spans="1:17">
      <c r="A17" s="1916"/>
      <c r="B17" s="1675"/>
      <c r="C17" s="1944" t="s">
        <v>162</v>
      </c>
      <c r="D17" s="1945"/>
      <c r="E17" s="420" t="s">
        <v>373</v>
      </c>
      <c r="F17" s="266"/>
      <c r="G17" s="230" t="str">
        <f t="shared" si="0"/>
        <v/>
      </c>
      <c r="H17" s="235" t="str">
        <f>IF(E17="","",E17)</f>
        <v>kg</v>
      </c>
      <c r="I17" s="426"/>
      <c r="J17" s="243" t="str">
        <f>IF(E17="","","GJ/"&amp;E17)</f>
        <v>GJ/kg</v>
      </c>
      <c r="K17" s="428"/>
      <c r="L17" s="244" t="str">
        <f>"t-CO2/"&amp;IF(E17="","入力単位",E17)</f>
        <v>t-CO2/kg</v>
      </c>
      <c r="N17" s="221">
        <f>IF(E17="","",VLOOKUP(E17,非_単位補正換算!$B$3:$C$16,2,FALSE))</f>
        <v>1000</v>
      </c>
      <c r="O17" s="221" t="str">
        <f>"非_単位!$C$"&amp;MATCH(IF(C17="","廃棄物原燃料　自由記入1",C17),非_単位!B:B,0)&amp;":$H$"&amp;MATCH(IF(C17="","廃棄物原燃料　自由記入1",C17),非_単位!B:B,0)</f>
        <v>非_単位!$C$68:$H$68</v>
      </c>
      <c r="P17" s="221" t="str">
        <f t="shared" si="1"/>
        <v/>
      </c>
      <c r="Q17" s="221" t="str">
        <f t="shared" si="2"/>
        <v/>
      </c>
    </row>
    <row r="18" spans="1:17" ht="18" customHeight="1" thickBot="1">
      <c r="A18" s="1916"/>
      <c r="B18" s="1921"/>
      <c r="C18" s="1922"/>
      <c r="D18" s="1923"/>
      <c r="E18" s="421" t="s">
        <v>373</v>
      </c>
      <c r="F18" s="267"/>
      <c r="G18" s="231" t="str">
        <f t="shared" si="0"/>
        <v/>
      </c>
      <c r="H18" s="236" t="str">
        <f>IF(E18="","",E18)</f>
        <v>kg</v>
      </c>
      <c r="I18" s="427"/>
      <c r="J18" s="246" t="str">
        <f>IF(E18="","","GJ/"&amp;E18)</f>
        <v>GJ/kg</v>
      </c>
      <c r="K18" s="429"/>
      <c r="L18" s="244" t="str">
        <f>"t-CO2/"&amp;IF(E18="","入力単位",E18)</f>
        <v>t-CO2/kg</v>
      </c>
      <c r="N18" s="221">
        <f>IF(E18="","",VLOOKUP(E18,非_単位補正換算!$B$3:$C$16,2,FALSE))</f>
        <v>1000</v>
      </c>
      <c r="O18" s="221" t="str">
        <f>"非_単位!$C$"&amp;MATCH(IF(C18="","廃棄物原燃料　自由記入2",C18),非_単位!B:B,0)&amp;":$H$"&amp;MATCH(IF(C18="","廃棄物原燃料　自由記入2",C18),非_単位!B:B,0)</f>
        <v>非_単位!$C$66:$H$66</v>
      </c>
      <c r="P18" s="221" t="str">
        <f t="shared" si="1"/>
        <v/>
      </c>
      <c r="Q18" s="221" t="str">
        <f t="shared" si="2"/>
        <v/>
      </c>
    </row>
    <row r="19" spans="1:17" ht="19.5" customHeight="1" thickTop="1">
      <c r="A19" s="1916"/>
      <c r="B19" s="1925" t="s">
        <v>160</v>
      </c>
      <c r="C19" s="1746" t="s">
        <v>161</v>
      </c>
      <c r="D19" s="1929"/>
      <c r="E19" s="420" t="s">
        <v>373</v>
      </c>
      <c r="F19" s="423"/>
      <c r="G19" s="232" t="str">
        <f t="shared" si="0"/>
        <v/>
      </c>
      <c r="H19" s="237" t="s">
        <v>19</v>
      </c>
      <c r="I19" s="259">
        <v>13.6</v>
      </c>
      <c r="J19" s="247" t="s">
        <v>179</v>
      </c>
      <c r="K19" s="262"/>
      <c r="L19" s="248"/>
      <c r="N19" s="221">
        <f>IF(E19="","",VLOOKUP(E19,非_単位補正換算!$B$3:$C$16,2,FALSE))</f>
        <v>1000</v>
      </c>
      <c r="O19" s="221" t="str">
        <f>"非_単位!$C$"&amp;MATCH(C19,非_単位!B:B,0)&amp;":$D$"&amp;MATCH(C19,非_単位!B:B,0)</f>
        <v>非_単位!$C$67:$D$67</v>
      </c>
      <c r="P19" s="221" t="str">
        <f t="shared" si="1"/>
        <v/>
      </c>
      <c r="Q19" s="256"/>
    </row>
    <row r="20" spans="1:17">
      <c r="A20" s="1916"/>
      <c r="B20" s="1926"/>
      <c r="C20" s="1749" t="s">
        <v>162</v>
      </c>
      <c r="D20" s="1928"/>
      <c r="E20" s="420" t="s">
        <v>373</v>
      </c>
      <c r="F20" s="424"/>
      <c r="G20" s="230" t="str">
        <f t="shared" si="0"/>
        <v/>
      </c>
      <c r="H20" s="238" t="s">
        <v>19</v>
      </c>
      <c r="I20" s="258">
        <v>13.2</v>
      </c>
      <c r="J20" s="249" t="s">
        <v>179</v>
      </c>
      <c r="K20" s="261"/>
      <c r="L20" s="250"/>
      <c r="N20" s="221">
        <f>IF(E20="","",VLOOKUP(E20,非_単位補正換算!$B$3:$C$16,2,FALSE))</f>
        <v>1000</v>
      </c>
      <c r="O20" s="221" t="str">
        <f>"非_単位!$C$"&amp;MATCH(C20,非_単位!B:B,0)&amp;":$D$"&amp;MATCH(C20,非_単位!B:B,0)</f>
        <v>非_単位!$C$68:$D$68</v>
      </c>
      <c r="P20" s="221" t="str">
        <f t="shared" si="1"/>
        <v/>
      </c>
      <c r="Q20" s="256"/>
    </row>
    <row r="21" spans="1:17">
      <c r="A21" s="1916"/>
      <c r="B21" s="1926"/>
      <c r="C21" s="1749" t="s">
        <v>163</v>
      </c>
      <c r="D21" s="1928"/>
      <c r="E21" s="420" t="s">
        <v>373</v>
      </c>
      <c r="F21" s="424"/>
      <c r="G21" s="230" t="str">
        <f t="shared" si="0"/>
        <v/>
      </c>
      <c r="H21" s="238" t="s">
        <v>19</v>
      </c>
      <c r="I21" s="258">
        <v>17.100000000000001</v>
      </c>
      <c r="J21" s="249" t="s">
        <v>179</v>
      </c>
      <c r="K21" s="261"/>
      <c r="L21" s="250"/>
      <c r="N21" s="221">
        <f>IF(E21="","",VLOOKUP(E21,非_単位補正換算!$B$3:$C$16,2,FALSE))</f>
        <v>1000</v>
      </c>
      <c r="O21" s="221" t="str">
        <f>"非_単位!$C$"&amp;MATCH(C21,非_単位!B:B,0)&amp;":$D$"&amp;MATCH(C21,非_単位!B:B,0)</f>
        <v>非_単位!$C$69:$D$69</v>
      </c>
      <c r="P21" s="221" t="str">
        <f t="shared" si="1"/>
        <v/>
      </c>
      <c r="Q21" s="256"/>
    </row>
    <row r="22" spans="1:17">
      <c r="A22" s="1916"/>
      <c r="B22" s="1926"/>
      <c r="C22" s="1749" t="s">
        <v>164</v>
      </c>
      <c r="D22" s="1928"/>
      <c r="E22" s="420" t="s">
        <v>372</v>
      </c>
      <c r="F22" s="424"/>
      <c r="G22" s="230" t="str">
        <f t="shared" si="0"/>
        <v/>
      </c>
      <c r="H22" s="238" t="s">
        <v>182</v>
      </c>
      <c r="I22" s="258">
        <v>23.4</v>
      </c>
      <c r="J22" s="249" t="s">
        <v>180</v>
      </c>
      <c r="K22" s="261"/>
      <c r="L22" s="250"/>
      <c r="N22" s="221">
        <f>IF(E22="","",VLOOKUP(E22,非_単位補正換算!$B$3:$C$16,2,FALSE))</f>
        <v>1000</v>
      </c>
      <c r="O22" s="221" t="str">
        <f>"非_単位!$C$"&amp;MATCH(C22,非_単位!B:B,0)&amp;":$D$"&amp;MATCH(C22,非_単位!B:B,0)</f>
        <v>非_単位!$C$70:$D$70</v>
      </c>
      <c r="P22" s="221" t="str">
        <f t="shared" si="1"/>
        <v/>
      </c>
      <c r="Q22" s="256"/>
    </row>
    <row r="23" spans="1:17">
      <c r="A23" s="1916"/>
      <c r="B23" s="1926"/>
      <c r="C23" s="1749" t="s">
        <v>2018</v>
      </c>
      <c r="D23" s="1928"/>
      <c r="E23" s="420" t="s">
        <v>372</v>
      </c>
      <c r="F23" s="424"/>
      <c r="G23" s="230" t="str">
        <f t="shared" si="0"/>
        <v/>
      </c>
      <c r="H23" s="238" t="s">
        <v>182</v>
      </c>
      <c r="I23" s="258">
        <v>35.6</v>
      </c>
      <c r="J23" s="249" t="s">
        <v>180</v>
      </c>
      <c r="K23" s="261"/>
      <c r="L23" s="250"/>
      <c r="N23" s="221">
        <f>IF(E23="","",VLOOKUP(E23,非_単位補正換算!$B$3:$C$16,2,FALSE))</f>
        <v>1000</v>
      </c>
      <c r="O23" s="221" t="str">
        <f>"非_単位!$C$"&amp;MATCH(C23,非_単位!B:B,0)&amp;":$D$"&amp;MATCH(C23,非_単位!B:B,0)</f>
        <v>非_単位!$C$71:$D$71</v>
      </c>
      <c r="P23" s="221" t="str">
        <f t="shared" si="1"/>
        <v/>
      </c>
      <c r="Q23" s="256"/>
    </row>
    <row r="24" spans="1:17" ht="19.5">
      <c r="A24" s="1916"/>
      <c r="B24" s="1926"/>
      <c r="C24" s="1749" t="s">
        <v>166</v>
      </c>
      <c r="D24" s="1928"/>
      <c r="E24" s="420" t="s">
        <v>375</v>
      </c>
      <c r="F24" s="424"/>
      <c r="G24" s="230" t="str">
        <f t="shared" si="0"/>
        <v/>
      </c>
      <c r="H24" s="235" t="s">
        <v>195</v>
      </c>
      <c r="I24" s="258">
        <v>21.2</v>
      </c>
      <c r="J24" s="243" t="s">
        <v>196</v>
      </c>
      <c r="K24" s="261"/>
      <c r="L24" s="251"/>
      <c r="N24" s="221">
        <f>IF(E24="","",VLOOKUP(E24,非_単位補正換算!$B$3:$C$16,2,FALSE))</f>
        <v>1000</v>
      </c>
      <c r="O24" s="221" t="str">
        <f>"非_単位!$C$"&amp;MATCH(C24,非_単位!B:B,0)&amp;":$D$"&amp;MATCH(C24,非_単位!B:B,0)</f>
        <v>非_単位!$C$72:$D$72</v>
      </c>
      <c r="P24" s="221" t="str">
        <f t="shared" si="1"/>
        <v/>
      </c>
      <c r="Q24" s="256"/>
    </row>
    <row r="25" spans="1:17">
      <c r="A25" s="1916"/>
      <c r="B25" s="1926"/>
      <c r="C25" s="1749" t="s">
        <v>167</v>
      </c>
      <c r="D25" s="1928"/>
      <c r="E25" s="420" t="s">
        <v>373</v>
      </c>
      <c r="F25" s="424"/>
      <c r="G25" s="230" t="str">
        <f t="shared" si="0"/>
        <v/>
      </c>
      <c r="H25" s="235" t="s">
        <v>191</v>
      </c>
      <c r="I25" s="258">
        <v>13.2</v>
      </c>
      <c r="J25" s="243" t="s">
        <v>179</v>
      </c>
      <c r="K25" s="261"/>
      <c r="L25" s="251"/>
      <c r="N25" s="221">
        <f>IF(E25="","",VLOOKUP(E25,非_単位補正換算!$B$3:$C$16,2,FALSE))</f>
        <v>1000</v>
      </c>
      <c r="O25" s="221" t="str">
        <f>"非_単位!$C$"&amp;MATCH(C25,非_単位!B:B,0)&amp;":$D$"&amp;MATCH(C25,非_単位!B:B,0)</f>
        <v>非_単位!$C$73:$D$73</v>
      </c>
      <c r="P25" s="221" t="str">
        <f t="shared" si="1"/>
        <v/>
      </c>
      <c r="Q25" s="256"/>
    </row>
    <row r="26" spans="1:17">
      <c r="A26" s="1916"/>
      <c r="B26" s="1926"/>
      <c r="C26" s="1947"/>
      <c r="D26" s="1948"/>
      <c r="E26" s="420" t="s">
        <v>372</v>
      </c>
      <c r="F26" s="424"/>
      <c r="G26" s="230" t="str">
        <f t="shared" si="0"/>
        <v/>
      </c>
      <c r="H26" s="235" t="str">
        <f>IF(E26="","",E26)</f>
        <v>L</v>
      </c>
      <c r="I26" s="426"/>
      <c r="J26" s="243" t="str">
        <f>IF(E26="","","GJ/"&amp;E26)</f>
        <v>GJ/L</v>
      </c>
      <c r="K26" s="261"/>
      <c r="L26" s="251"/>
      <c r="N26" s="221">
        <f>IF(E26="","",VLOOKUP(E26,非_単位補正換算!$B$3:$C$16,2,FALSE))</f>
        <v>1000</v>
      </c>
      <c r="O26" s="221" t="str">
        <f>"非_単位!$C$"&amp;MATCH(IF(C26="","バイオマス燃料　自由記入1",C26),非_単位!B:B,0)&amp;":$H$"&amp;MATCH(IF(C26="","バイオマス燃料　自由記入1",C26),非_単位!B:B,0)</f>
        <v>非_単位!$C$74:$H$74</v>
      </c>
      <c r="P26" s="221" t="str">
        <f t="shared" si="1"/>
        <v/>
      </c>
      <c r="Q26" s="256"/>
    </row>
    <row r="27" spans="1:17" ht="18" thickBot="1">
      <c r="A27" s="1916"/>
      <c r="B27" s="1927"/>
      <c r="C27" s="1949"/>
      <c r="D27" s="1950"/>
      <c r="E27" s="421" t="s">
        <v>373</v>
      </c>
      <c r="F27" s="425"/>
      <c r="G27" s="231" t="str">
        <f t="shared" si="0"/>
        <v/>
      </c>
      <c r="H27" s="236" t="str">
        <f>IF(E27="","",E27)</f>
        <v>kg</v>
      </c>
      <c r="I27" s="427"/>
      <c r="J27" s="246" t="str">
        <f>IF(E27="","","GJ/"&amp;E27)</f>
        <v>GJ/kg</v>
      </c>
      <c r="K27" s="263"/>
      <c r="L27" s="252"/>
      <c r="N27" s="221">
        <f>IF(E27="","",VLOOKUP(E27,非_単位補正換算!$B$3:$C$16,2,FALSE))</f>
        <v>1000</v>
      </c>
      <c r="O27" s="221" t="str">
        <f>"非_単位!$C$"&amp;MATCH(IF(C27="","バイオマス燃料　自由記入2",C27),非_単位!B:B,0)&amp;":$H$"&amp;MATCH(IF(C27="","バイオマス燃料　自由記入2",C27),非_単位!B:B,0)</f>
        <v>非_単位!$C$75:$H$75</v>
      </c>
      <c r="P27" s="221" t="str">
        <f t="shared" si="1"/>
        <v/>
      </c>
      <c r="Q27" s="256"/>
    </row>
    <row r="28" spans="1:17" ht="18" thickTop="1">
      <c r="A28" s="1916"/>
      <c r="B28" s="1674" t="s">
        <v>280</v>
      </c>
      <c r="C28" s="1952" t="s">
        <v>169</v>
      </c>
      <c r="D28" s="1952"/>
      <c r="E28" s="420" t="s">
        <v>373</v>
      </c>
      <c r="F28" s="268"/>
      <c r="G28" s="232" t="str">
        <f t="shared" si="0"/>
        <v/>
      </c>
      <c r="H28" s="239" t="s">
        <v>191</v>
      </c>
      <c r="I28" s="259">
        <v>142</v>
      </c>
      <c r="J28" s="253" t="s">
        <v>179</v>
      </c>
      <c r="K28" s="262"/>
      <c r="L28" s="254"/>
      <c r="N28" s="221">
        <f>IF(E28="","",VLOOKUP(E28,非_単位補正換算!$B$3:$C$16,2,FALSE))</f>
        <v>1000</v>
      </c>
      <c r="O28" s="221" t="str">
        <f>"非_単位!$C$"&amp;MATCH(C28,非_単位!B:B,0)&amp;":$D$"&amp;MATCH(C28,非_単位!B:B,0)</f>
        <v>非_単位!$C$76:$D$76</v>
      </c>
      <c r="P28" s="221" t="str">
        <f t="shared" si="1"/>
        <v/>
      </c>
      <c r="Q28" s="256"/>
    </row>
    <row r="29" spans="1:17">
      <c r="A29" s="1916"/>
      <c r="B29" s="1675"/>
      <c r="C29" s="1679" t="s">
        <v>170</v>
      </c>
      <c r="D29" s="1679"/>
      <c r="E29" s="420" t="s">
        <v>373</v>
      </c>
      <c r="F29" s="266"/>
      <c r="G29" s="230" t="str">
        <f t="shared" si="0"/>
        <v/>
      </c>
      <c r="H29" s="235" t="s">
        <v>191</v>
      </c>
      <c r="I29" s="258">
        <v>22.5</v>
      </c>
      <c r="J29" s="243" t="s">
        <v>179</v>
      </c>
      <c r="K29" s="261"/>
      <c r="L29" s="251"/>
      <c r="N29" s="221">
        <f>IF(E29="","",VLOOKUP(E29,非_単位補正換算!$B$3:$C$16,2,FALSE))</f>
        <v>1000</v>
      </c>
      <c r="O29" s="221" t="str">
        <f>"非_単位!$C$"&amp;MATCH(C29,非_単位!B:B,0)&amp;":$D$"&amp;MATCH(C29,非_単位!B:B,0)</f>
        <v>非_単位!$C$77:$D$77</v>
      </c>
      <c r="P29" s="221" t="str">
        <f t="shared" si="1"/>
        <v/>
      </c>
      <c r="Q29" s="256"/>
    </row>
    <row r="30" spans="1:17">
      <c r="A30" s="1916"/>
      <c r="B30" s="1675"/>
      <c r="C30" s="1944"/>
      <c r="D30" s="1945"/>
      <c r="E30" s="420" t="s">
        <v>373</v>
      </c>
      <c r="F30" s="266"/>
      <c r="G30" s="230" t="str">
        <f t="shared" si="0"/>
        <v/>
      </c>
      <c r="H30" s="235" t="str">
        <f>IF(E30="","",E30)</f>
        <v>kg</v>
      </c>
      <c r="I30" s="426"/>
      <c r="J30" s="243" t="str">
        <f>IF(E30="","","GJ/"&amp;E30)</f>
        <v>GJ/kg</v>
      </c>
      <c r="K30" s="261"/>
      <c r="L30" s="251"/>
      <c r="N30" s="221">
        <f>IF(E30="","",VLOOKUP(E30,非_単位補正換算!$B$3:$C$16,2,FALSE))</f>
        <v>1000</v>
      </c>
      <c r="O30" s="221" t="str">
        <f>"非_単位!$C$"&amp;MATCH(IF(C30="","その他の非化石燃料　自由記入1",C30),非_単位!B:B,0)&amp;":$H$"&amp;MATCH(IF(C30="","その他の非化石燃料　自由記入1",C30),非_単位!B:B,0)</f>
        <v>非_単位!$C$78:$H$78</v>
      </c>
      <c r="P30" s="221" t="str">
        <f t="shared" si="1"/>
        <v/>
      </c>
      <c r="Q30" s="256"/>
    </row>
    <row r="31" spans="1:17" ht="18" thickBot="1">
      <c r="A31" s="1917"/>
      <c r="B31" s="1924"/>
      <c r="C31" s="1951"/>
      <c r="D31" s="1951"/>
      <c r="E31" s="422" t="s">
        <v>373</v>
      </c>
      <c r="F31" s="269"/>
      <c r="G31" s="233" t="str">
        <f t="shared" si="0"/>
        <v/>
      </c>
      <c r="H31" s="240" t="str">
        <f>IF(E31="","",E31)</f>
        <v>kg</v>
      </c>
      <c r="I31" s="430"/>
      <c r="J31" s="442" t="str">
        <f>IF(E31="","","GJ/"&amp;E31)</f>
        <v>GJ/kg</v>
      </c>
      <c r="K31" s="264"/>
      <c r="L31" s="255"/>
      <c r="N31" s="221">
        <f>IF(E31="","",VLOOKUP(E31,非_単位補正換算!$B$3:$C$16,2,FALSE))</f>
        <v>1000</v>
      </c>
      <c r="O31" s="221" t="str">
        <f>"非_単位!$C$"&amp;MATCH(IF(C31="","その他の非化石燃料　自由記入2",C31),非_単位!B:B,0)&amp;":$H$"&amp;MATCH(IF(C31="","その他の非化石燃料　自由記入2",C31),非_単位!B:B,0)</f>
        <v>非_単位!$C$79:$H$79</v>
      </c>
      <c r="P31" s="221" t="str">
        <f t="shared" si="1"/>
        <v/>
      </c>
      <c r="Q31" s="256"/>
    </row>
    <row r="32" spans="1:17" ht="22.5">
      <c r="A32" s="104"/>
      <c r="B32" s="43"/>
      <c r="C32" s="43"/>
      <c r="D32" s="43"/>
      <c r="E32" s="105"/>
      <c r="F32" s="106"/>
      <c r="G32" s="227"/>
      <c r="H32" s="228"/>
      <c r="I32" s="52"/>
      <c r="J32" s="1946" t="s">
        <v>121</v>
      </c>
      <c r="K32" s="1946"/>
      <c r="L32" s="1946"/>
      <c r="N32" s="102"/>
      <c r="O32" s="102"/>
      <c r="P32" s="102"/>
      <c r="Q32" s="102"/>
    </row>
  </sheetData>
  <sheetProtection algorithmName="SHA-512" hashValue="umO4ymB3JdVNOVGKhhfnq2t/88he7UGetRr4KFTPA9XDuvGvykBoblCd6A21rUv2yv48rZd2ZT9zyd+DNUURhA==" saltValue="zJH63NwjgO2GFCUwALjwdg==" spinCount="100000" sheet="1" objects="1" scenarios="1"/>
  <mergeCells count="44">
    <mergeCell ref="I1:J1"/>
    <mergeCell ref="K1:L1"/>
    <mergeCell ref="K2:L2"/>
    <mergeCell ref="A5:A7"/>
    <mergeCell ref="B5:B7"/>
    <mergeCell ref="C5:D7"/>
    <mergeCell ref="E5:E7"/>
    <mergeCell ref="F5:F7"/>
    <mergeCell ref="G5:H7"/>
    <mergeCell ref="I5:J7"/>
    <mergeCell ref="Q5:Q7"/>
    <mergeCell ref="A8:A31"/>
    <mergeCell ref="B8:B18"/>
    <mergeCell ref="C8:D8"/>
    <mergeCell ref="C9:D9"/>
    <mergeCell ref="C10:D10"/>
    <mergeCell ref="C16:D16"/>
    <mergeCell ref="K5:L7"/>
    <mergeCell ref="N5:N7"/>
    <mergeCell ref="O5:O7"/>
    <mergeCell ref="P5:P7"/>
    <mergeCell ref="C11:D11"/>
    <mergeCell ref="C12:D12"/>
    <mergeCell ref="C13:D13"/>
    <mergeCell ref="C14:D14"/>
    <mergeCell ref="C15:D15"/>
    <mergeCell ref="C17:D17"/>
    <mergeCell ref="C18:D18"/>
    <mergeCell ref="B19:B27"/>
    <mergeCell ref="C19:D19"/>
    <mergeCell ref="C20:D20"/>
    <mergeCell ref="C21:D21"/>
    <mergeCell ref="C22:D22"/>
    <mergeCell ref="C23:D23"/>
    <mergeCell ref="C24:D24"/>
    <mergeCell ref="C25:D25"/>
    <mergeCell ref="J32:L32"/>
    <mergeCell ref="C26:D26"/>
    <mergeCell ref="C27:D27"/>
    <mergeCell ref="B28:B31"/>
    <mergeCell ref="C28:D28"/>
    <mergeCell ref="C29:D29"/>
    <mergeCell ref="C30:D30"/>
    <mergeCell ref="C31:D31"/>
  </mergeCells>
  <phoneticPr fontId="5"/>
  <dataValidations count="4">
    <dataValidation imeMode="disabled" allowBlank="1" showInputMessage="1" showErrorMessage="1" sqref="K17:K18 I17:I18 F8:F31 I26:I27 I30:I31" xr:uid="{9A31F855-F847-4E47-8E5E-DA85ACF91FE2}"/>
    <dataValidation type="list" allowBlank="1" showInputMessage="1" showErrorMessage="1" sqref="E8:E31" xr:uid="{D6DF7DB5-4D83-42FD-A64C-B0034C4D8A00}">
      <formula1>INDIRECT(O8)</formula1>
    </dataValidation>
    <dataValidation type="list" allowBlank="1" showInputMessage="1" showErrorMessage="1" sqref="E983054:E983056 E917518:E917520 E851982:E851984 E786446:E786448 E720910:E720912 E655374:E655376 E589838:E589840 E524302:E524304 E458766:E458768 E393230:E393232 E327694:E327696 E262158:E262160 E196622:E196624 E131086:E131088 E65550:E65552" xr:uid="{8D3045B0-8652-4A4F-867A-375583C8A2EE}">
      <formula1>$L$8:$L$14</formula1>
    </dataValidation>
    <dataValidation type="list" allowBlank="1" showInputMessage="1" showErrorMessage="1" sqref="E65516:E65549 E131052:E131085 E196588:E196621 E262124:E262157 E327660:E327693 E393196:E393229 E458732:E458765 E524268:E524301 E589804:E589837 E655340:E655373 E720876:E720909 E786412:E786445 E851948:E851981 E917484:E917517 E983020:E983053" xr:uid="{81B4FF6C-C281-4763-8814-EA64B4FACC21}">
      <formula1>#REF!</formula1>
    </dataValidation>
  </dataValidations>
  <pageMargins left="0.78740157480314965" right="0.59055118110236227" top="0.78740157480314965" bottom="0.59055118110236227" header="0.31496062992125984" footer="0.31496062992125984"/>
  <pageSetup paperSize="9" scale="60" fitToHeight="0" orientation="portrait" r:id="rId1"/>
  <headerFooter>
    <oddHeader>&amp;R&amp;8ver.4.01</oddHeader>
  </headerFooter>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31BE-373B-4452-AC7E-3E40BB6666B4}">
  <sheetPr codeName="Sheet32">
    <tabColor theme="7" tint="0.79998168889431442"/>
    <pageSetUpPr fitToPage="1"/>
  </sheetPr>
  <dimension ref="A1:R32"/>
  <sheetViews>
    <sheetView showGridLines="0" zoomScaleNormal="100" zoomScaleSheetLayoutView="100" workbookViewId="0">
      <pane xSplit="4" ySplit="7" topLeftCell="E8" activePane="bottomRight" state="frozen"/>
      <selection activeCell="L62" sqref="L62"/>
      <selection pane="topRight" activeCell="L62" sqref="L62"/>
      <selection pane="bottomLeft" activeCell="L62" sqref="L62"/>
      <selection pane="bottomRight" activeCell="N1" sqref="N1:Q1048576"/>
    </sheetView>
  </sheetViews>
  <sheetFormatPr defaultColWidth="9" defaultRowHeight="17.5" outlineLevelCol="1"/>
  <cols>
    <col min="1" max="1" width="6.1640625" style="64" customWidth="1"/>
    <col min="2" max="2" width="17.5" style="64" customWidth="1"/>
    <col min="3" max="3" width="23.1640625" style="64" customWidth="1"/>
    <col min="4" max="4" width="17.4140625" style="64" customWidth="1"/>
    <col min="5" max="5" width="9.58203125" style="64" customWidth="1"/>
    <col min="6" max="6" width="13.4140625" style="64" customWidth="1"/>
    <col min="7" max="7" width="11.1640625" style="65" hidden="1" customWidth="1" outlineLevel="1"/>
    <col min="8" max="8" width="7.4140625" style="64" hidden="1" customWidth="1" outlineLevel="1"/>
    <col min="9" max="9" width="10" style="84" customWidth="1" collapsed="1"/>
    <col min="10" max="10" width="14.5" style="84" customWidth="1"/>
    <col min="11" max="11" width="11.5" style="84" customWidth="1"/>
    <col min="12" max="12" width="10.58203125" style="84" bestFit="1" customWidth="1"/>
    <col min="13" max="13" width="9" style="84"/>
    <col min="14" max="14" width="15.1640625" style="84" hidden="1" customWidth="1" outlineLevel="1"/>
    <col min="15" max="15" width="32.5" style="84" hidden="1" customWidth="1" outlineLevel="1"/>
    <col min="16" max="16" width="21.58203125" style="84" hidden="1" customWidth="1" outlineLevel="1"/>
    <col min="17" max="17" width="24.1640625" style="84" hidden="1" customWidth="1" outlineLevel="1"/>
    <col min="18" max="18" width="9" style="84" collapsed="1"/>
    <col min="19" max="16384" width="9" style="84"/>
  </cols>
  <sheetData>
    <row r="1" spans="1:17">
      <c r="A1" s="3" t="s">
        <v>2506</v>
      </c>
      <c r="B1" s="3"/>
      <c r="C1" s="3"/>
      <c r="D1" s="3"/>
      <c r="E1" s="3"/>
      <c r="F1" s="3"/>
      <c r="G1" s="225" t="s">
        <v>1896</v>
      </c>
      <c r="H1" s="225" t="s">
        <v>1896</v>
      </c>
      <c r="I1" s="1942" t="s">
        <v>2057</v>
      </c>
      <c r="J1" s="1943"/>
      <c r="K1" s="1939" t="str">
        <f>IF('0.事業所概要'!D11="","",'0.事業所概要'!D11)</f>
        <v>県庁産業㈱　　本社、浦和支店</v>
      </c>
      <c r="L1" s="1940"/>
      <c r="N1" s="102"/>
      <c r="O1" s="102"/>
      <c r="P1" s="102"/>
      <c r="Q1" s="102"/>
    </row>
    <row r="2" spans="1:17">
      <c r="A2" s="103" t="s">
        <v>2513</v>
      </c>
      <c r="B2" s="3"/>
      <c r="C2" s="3"/>
      <c r="D2" s="3"/>
      <c r="E2" s="3"/>
      <c r="F2" s="3"/>
      <c r="G2" s="226">
        <v>0</v>
      </c>
      <c r="I2" s="52"/>
      <c r="J2" s="52"/>
      <c r="K2" s="1941" t="str">
        <f>CONCATENATE('0.事業所概要'!$B$3,'0.事業所概要'!$C$3,"年度")</f>
        <v>令和７年度</v>
      </c>
      <c r="L2" s="1941"/>
      <c r="N2" s="102"/>
      <c r="O2" s="102"/>
      <c r="P2" s="102"/>
      <c r="Q2" s="102"/>
    </row>
    <row r="3" spans="1:17">
      <c r="A3" s="103"/>
      <c r="B3" s="3"/>
      <c r="C3" s="3"/>
      <c r="D3" s="3"/>
      <c r="E3" s="3"/>
      <c r="F3" s="3"/>
      <c r="G3" s="226"/>
      <c r="H3" s="226"/>
      <c r="I3" s="52"/>
      <c r="J3" s="52"/>
      <c r="K3" s="52"/>
      <c r="L3" s="52"/>
      <c r="N3" s="102"/>
      <c r="O3" s="102"/>
      <c r="P3" s="102"/>
      <c r="Q3" s="102"/>
    </row>
    <row r="4" spans="1:17" ht="18" thickBot="1">
      <c r="A4" s="103"/>
      <c r="B4" s="3"/>
      <c r="C4" s="3"/>
      <c r="D4" s="3"/>
      <c r="E4" s="3"/>
      <c r="F4" s="3"/>
      <c r="G4" s="226"/>
      <c r="H4" s="226"/>
      <c r="I4" s="52"/>
      <c r="J4" s="52"/>
      <c r="K4" s="52"/>
      <c r="L4" s="52"/>
      <c r="N4" s="102"/>
      <c r="O4" s="102"/>
      <c r="P4" s="102"/>
      <c r="Q4" s="102"/>
    </row>
    <row r="5" spans="1:17" ht="18.75" customHeight="1">
      <c r="A5" s="1930"/>
      <c r="B5" s="1933" t="s">
        <v>156</v>
      </c>
      <c r="C5" s="1933" t="s">
        <v>73</v>
      </c>
      <c r="D5" s="1933"/>
      <c r="E5" s="1936" t="s">
        <v>74</v>
      </c>
      <c r="F5" s="1907" t="s">
        <v>210</v>
      </c>
      <c r="G5" s="1910" t="s">
        <v>1908</v>
      </c>
      <c r="H5" s="1910"/>
      <c r="I5" s="1907" t="s">
        <v>277</v>
      </c>
      <c r="J5" s="1907"/>
      <c r="K5" s="1907" t="s">
        <v>278</v>
      </c>
      <c r="L5" s="1913"/>
      <c r="N5" s="1906" t="s">
        <v>77</v>
      </c>
      <c r="O5" s="1905" t="s">
        <v>1897</v>
      </c>
      <c r="P5" s="1906" t="s">
        <v>219</v>
      </c>
      <c r="Q5" s="1906" t="s">
        <v>1902</v>
      </c>
    </row>
    <row r="6" spans="1:17" ht="51.75" customHeight="1">
      <c r="A6" s="1931"/>
      <c r="B6" s="1934"/>
      <c r="C6" s="1934"/>
      <c r="D6" s="1934"/>
      <c r="E6" s="1937"/>
      <c r="F6" s="1908"/>
      <c r="G6" s="1911"/>
      <c r="H6" s="1911"/>
      <c r="I6" s="1908"/>
      <c r="J6" s="1908"/>
      <c r="K6" s="1908"/>
      <c r="L6" s="1914"/>
      <c r="N6" s="1906"/>
      <c r="O6" s="1905"/>
      <c r="P6" s="1906"/>
      <c r="Q6" s="1906"/>
    </row>
    <row r="7" spans="1:17" ht="19.5" customHeight="1" thickBot="1">
      <c r="A7" s="1932"/>
      <c r="B7" s="1935"/>
      <c r="C7" s="1935"/>
      <c r="D7" s="1935"/>
      <c r="E7" s="1938"/>
      <c r="F7" s="1909"/>
      <c r="G7" s="1912"/>
      <c r="H7" s="1912"/>
      <c r="I7" s="1909"/>
      <c r="J7" s="1909"/>
      <c r="K7" s="1909"/>
      <c r="L7" s="1915"/>
      <c r="N7" s="1906"/>
      <c r="O7" s="1905"/>
      <c r="P7" s="1906"/>
      <c r="Q7" s="1906"/>
    </row>
    <row r="8" spans="1:17" ht="19.5">
      <c r="A8" s="1916" t="s">
        <v>157</v>
      </c>
      <c r="B8" s="1920" t="s">
        <v>158</v>
      </c>
      <c r="C8" s="1918" t="s">
        <v>87</v>
      </c>
      <c r="D8" s="1919"/>
      <c r="E8" s="420" t="s">
        <v>373</v>
      </c>
      <c r="F8" s="265"/>
      <c r="G8" s="229" t="str">
        <f>IF(F8="","",IF(E8="","",F8/N8))</f>
        <v/>
      </c>
      <c r="H8" s="234" t="s">
        <v>194</v>
      </c>
      <c r="I8" s="257">
        <v>18</v>
      </c>
      <c r="J8" s="241" t="s">
        <v>179</v>
      </c>
      <c r="K8" s="260">
        <v>1.07</v>
      </c>
      <c r="L8" s="242" t="s">
        <v>1898</v>
      </c>
      <c r="N8" s="221">
        <f>IF(E8="","",VLOOKUP(E8,非_単位補正換算!$B$3:$C$16,2,FALSE))</f>
        <v>1000</v>
      </c>
      <c r="O8" s="221" t="str">
        <f>"非_単位!$C$"&amp;MATCH(C8,非_単位!B:B,0)&amp;":$D$"&amp;MATCH(C8,非_単位!B:B,0)</f>
        <v>非_単位!$C$56:$D$56</v>
      </c>
      <c r="P8" s="221" t="str">
        <f>IF(G8="","",IF(I8="","",G8*I8))</f>
        <v/>
      </c>
      <c r="Q8" s="221" t="str">
        <f>IF(G8="","",IF(K8="","",G8*K8))</f>
        <v/>
      </c>
    </row>
    <row r="9" spans="1:17" ht="19.5">
      <c r="A9" s="1916"/>
      <c r="B9" s="1675"/>
      <c r="C9" s="1365" t="s">
        <v>88</v>
      </c>
      <c r="D9" s="1367"/>
      <c r="E9" s="420" t="s">
        <v>373</v>
      </c>
      <c r="F9" s="266"/>
      <c r="G9" s="230" t="str">
        <f t="shared" ref="G9:G31" si="0">IF(F9="","",IF(E9="","",F9/N9))</f>
        <v/>
      </c>
      <c r="H9" s="235" t="s">
        <v>194</v>
      </c>
      <c r="I9" s="258">
        <v>26.9</v>
      </c>
      <c r="J9" s="243" t="s">
        <v>179</v>
      </c>
      <c r="K9" s="260">
        <v>1.64</v>
      </c>
      <c r="L9" s="244" t="s">
        <v>1898</v>
      </c>
      <c r="N9" s="221">
        <f>IF(E9="","",VLOOKUP(E9,非_単位補正換算!$B$3:$C$16,2,FALSE))</f>
        <v>1000</v>
      </c>
      <c r="O9" s="221" t="str">
        <f>"非_単位!$C$"&amp;MATCH(C9,非_単位!B:B,0)&amp;":$D$"&amp;MATCH(C9,非_単位!B:B,0)</f>
        <v>非_単位!$C$57:$D$57</v>
      </c>
      <c r="P9" s="221" t="str">
        <f t="shared" ref="P9:P31" si="1">IF(G9="","",IF(I9="","",G9*I9))</f>
        <v/>
      </c>
      <c r="Q9" s="221" t="str">
        <f t="shared" ref="Q9:Q18" si="2">IF(G9="","",IF(K9="","",G9*K9))</f>
        <v/>
      </c>
    </row>
    <row r="10" spans="1:17" ht="19.5">
      <c r="A10" s="1916"/>
      <c r="B10" s="1675"/>
      <c r="C10" s="1365" t="s">
        <v>89</v>
      </c>
      <c r="D10" s="1367"/>
      <c r="E10" s="420" t="s">
        <v>373</v>
      </c>
      <c r="F10" s="266"/>
      <c r="G10" s="230" t="str">
        <f t="shared" si="0"/>
        <v/>
      </c>
      <c r="H10" s="235" t="s">
        <v>194</v>
      </c>
      <c r="I10" s="258">
        <v>33.200000000000003</v>
      </c>
      <c r="J10" s="243" t="s">
        <v>179</v>
      </c>
      <c r="K10" s="260">
        <v>1.64</v>
      </c>
      <c r="L10" s="244" t="s">
        <v>1898</v>
      </c>
      <c r="N10" s="221">
        <f>IF(E10="","",VLOOKUP(E10,非_単位補正換算!$B$3:$C$16,2,FALSE))</f>
        <v>1000</v>
      </c>
      <c r="O10" s="221" t="str">
        <f>"非_単位!$C$"&amp;MATCH(C10,非_単位!B:B,0)&amp;":$D$"&amp;MATCH(C10,非_単位!B:B,0)</f>
        <v>非_単位!$C$58:$D$58</v>
      </c>
      <c r="P10" s="221" t="str">
        <f t="shared" si="1"/>
        <v/>
      </c>
      <c r="Q10" s="221" t="str">
        <f t="shared" si="2"/>
        <v/>
      </c>
    </row>
    <row r="11" spans="1:17" ht="19.5">
      <c r="A11" s="1916"/>
      <c r="B11" s="1675"/>
      <c r="C11" s="1365" t="s">
        <v>90</v>
      </c>
      <c r="D11" s="1367"/>
      <c r="E11" s="420" t="s">
        <v>373</v>
      </c>
      <c r="F11" s="266"/>
      <c r="G11" s="230" t="str">
        <f t="shared" si="0"/>
        <v/>
      </c>
      <c r="H11" s="235" t="s">
        <v>194</v>
      </c>
      <c r="I11" s="258">
        <v>29.3</v>
      </c>
      <c r="J11" s="243" t="s">
        <v>179</v>
      </c>
      <c r="K11" s="260">
        <v>2.76</v>
      </c>
      <c r="L11" s="244" t="s">
        <v>1898</v>
      </c>
      <c r="N11" s="221">
        <f>IF(E11="","",VLOOKUP(E11,非_単位補正換算!$B$3:$C$16,2,FALSE))</f>
        <v>1000</v>
      </c>
      <c r="O11" s="221" t="str">
        <f>"非_単位!$C$"&amp;MATCH(C11,非_単位!B:B,0)&amp;":$D$"&amp;MATCH(C11,非_単位!B:B,0)</f>
        <v>非_単位!$C$59:$D$59</v>
      </c>
      <c r="P11" s="221" t="str">
        <f t="shared" si="1"/>
        <v/>
      </c>
      <c r="Q11" s="221" t="str">
        <f t="shared" si="2"/>
        <v/>
      </c>
    </row>
    <row r="12" spans="1:17" ht="19.5">
      <c r="A12" s="1916"/>
      <c r="B12" s="1675"/>
      <c r="C12" s="1365" t="s">
        <v>91</v>
      </c>
      <c r="D12" s="1367"/>
      <c r="E12" s="420" t="s">
        <v>373</v>
      </c>
      <c r="F12" s="266"/>
      <c r="G12" s="230" t="str">
        <f t="shared" si="0"/>
        <v/>
      </c>
      <c r="H12" s="235" t="s">
        <v>194</v>
      </c>
      <c r="I12" s="258">
        <v>29.3</v>
      </c>
      <c r="J12" s="243" t="s">
        <v>179</v>
      </c>
      <c r="K12" s="260">
        <v>2.57</v>
      </c>
      <c r="L12" s="244" t="s">
        <v>1898</v>
      </c>
      <c r="N12" s="221">
        <f>IF(E12="","",VLOOKUP(E12,非_単位補正換算!$B$3:$C$16,2,FALSE))</f>
        <v>1000</v>
      </c>
      <c r="O12" s="221" t="str">
        <f>"非_単位!$C$"&amp;MATCH(C12,非_単位!B:B,0)&amp;":$D$"&amp;MATCH(C12,非_単位!B:B,0)</f>
        <v>非_単位!$C$60:$D$60</v>
      </c>
      <c r="P12" s="221" t="str">
        <f t="shared" si="1"/>
        <v/>
      </c>
      <c r="Q12" s="221" t="str">
        <f t="shared" si="2"/>
        <v/>
      </c>
    </row>
    <row r="13" spans="1:17" ht="69.900000000000006" customHeight="1">
      <c r="A13" s="1916"/>
      <c r="B13" s="1675"/>
      <c r="C13" s="1365" t="s">
        <v>92</v>
      </c>
      <c r="D13" s="1367"/>
      <c r="E13" s="420" t="s">
        <v>372</v>
      </c>
      <c r="F13" s="266"/>
      <c r="G13" s="230" t="str">
        <f t="shared" si="0"/>
        <v/>
      </c>
      <c r="H13" s="235" t="s">
        <v>8</v>
      </c>
      <c r="I13" s="258">
        <v>40.200000000000003</v>
      </c>
      <c r="J13" s="243" t="s">
        <v>180</v>
      </c>
      <c r="K13" s="260">
        <v>2.64</v>
      </c>
      <c r="L13" s="244" t="s">
        <v>1899</v>
      </c>
      <c r="N13" s="221">
        <f>IF(E13="","",VLOOKUP(E13,非_単位補正換算!$B$3:$C$16,2,FALSE))</f>
        <v>1000</v>
      </c>
      <c r="O13" s="221" t="str">
        <f>"非_単位!$C$"&amp;MATCH(C13,非_単位!B:B,0)&amp;":$D$"&amp;MATCH(C13,非_単位!B:B,0)</f>
        <v>非_単位!$C$61:$D$61</v>
      </c>
      <c r="P13" s="221" t="str">
        <f t="shared" si="1"/>
        <v/>
      </c>
      <c r="Q13" s="221" t="str">
        <f t="shared" si="2"/>
        <v/>
      </c>
    </row>
    <row r="14" spans="1:17" ht="41.25" customHeight="1">
      <c r="A14" s="1916"/>
      <c r="B14" s="1675"/>
      <c r="C14" s="1365" t="s">
        <v>93</v>
      </c>
      <c r="D14" s="1367"/>
      <c r="E14" s="420" t="s">
        <v>372</v>
      </c>
      <c r="F14" s="266"/>
      <c r="G14" s="230" t="str">
        <f t="shared" si="0"/>
        <v/>
      </c>
      <c r="H14" s="235" t="s">
        <v>8</v>
      </c>
      <c r="I14" s="258">
        <v>38</v>
      </c>
      <c r="J14" s="243" t="s">
        <v>180</v>
      </c>
      <c r="K14" s="260">
        <v>2.62</v>
      </c>
      <c r="L14" s="244" t="s">
        <v>1899</v>
      </c>
      <c r="N14" s="221">
        <f>IF(E14="","",VLOOKUP(E14,非_単位補正換算!$B$3:$C$16,2,FALSE))</f>
        <v>1000</v>
      </c>
      <c r="O14" s="221" t="str">
        <f>"非_単位!$C$"&amp;MATCH(C14,非_単位!B:B,0)&amp;":$D$"&amp;MATCH(C14,非_単位!B:B,0)</f>
        <v>非_単位!$C$62:$D$62</v>
      </c>
      <c r="P14" s="221" t="str">
        <f t="shared" si="1"/>
        <v/>
      </c>
      <c r="Q14" s="221" t="str">
        <f t="shared" si="2"/>
        <v/>
      </c>
    </row>
    <row r="15" spans="1:17" ht="24" customHeight="1">
      <c r="A15" s="1916"/>
      <c r="B15" s="1675"/>
      <c r="C15" s="1365" t="s">
        <v>94</v>
      </c>
      <c r="D15" s="1367"/>
      <c r="E15" s="420" t="s">
        <v>375</v>
      </c>
      <c r="F15" s="266"/>
      <c r="G15" s="230" t="str">
        <f t="shared" si="0"/>
        <v/>
      </c>
      <c r="H15" s="235" t="s">
        <v>195</v>
      </c>
      <c r="I15" s="258">
        <v>21.2</v>
      </c>
      <c r="J15" s="243" t="s">
        <v>196</v>
      </c>
      <c r="K15" s="261"/>
      <c r="L15" s="245"/>
      <c r="N15" s="221">
        <f>IF(E15="","",VLOOKUP(E15,非_単位補正換算!$B$3:$C$16,2,FALSE))</f>
        <v>1000</v>
      </c>
      <c r="O15" s="221" t="str">
        <f>"非_単位!$C$"&amp;MATCH(C15,非_単位!B:B,0)&amp;":$D$"&amp;MATCH(C15,非_単位!B:B,0)</f>
        <v>非_単位!$C$63:$D$63</v>
      </c>
      <c r="P15" s="221" t="str">
        <f t="shared" si="1"/>
        <v/>
      </c>
      <c r="Q15" s="221" t="str">
        <f t="shared" si="2"/>
        <v/>
      </c>
    </row>
    <row r="16" spans="1:17">
      <c r="A16" s="1916"/>
      <c r="B16" s="1675"/>
      <c r="C16" s="1365" t="s">
        <v>159</v>
      </c>
      <c r="D16" s="1367"/>
      <c r="E16" s="420" t="s">
        <v>373</v>
      </c>
      <c r="F16" s="266"/>
      <c r="G16" s="230" t="str">
        <f t="shared" si="0"/>
        <v/>
      </c>
      <c r="H16" s="235" t="s">
        <v>19</v>
      </c>
      <c r="I16" s="258">
        <v>17.100000000000001</v>
      </c>
      <c r="J16" s="243" t="s">
        <v>179</v>
      </c>
      <c r="K16" s="261"/>
      <c r="L16" s="245"/>
      <c r="N16" s="221">
        <f>IF(E16="","",VLOOKUP(E16,非_単位補正換算!$B$3:$C$16,2,FALSE))</f>
        <v>1000</v>
      </c>
      <c r="O16" s="221" t="str">
        <f>"非_単位!$C$"&amp;MATCH(C16,非_単位!B:B,0)&amp;":$D$"&amp;MATCH(C16,非_単位!B:B,0)</f>
        <v>非_単位!$C$64:$D$64</v>
      </c>
      <c r="P16" s="221" t="str">
        <f t="shared" si="1"/>
        <v/>
      </c>
      <c r="Q16" s="221" t="str">
        <f t="shared" si="2"/>
        <v/>
      </c>
    </row>
    <row r="17" spans="1:17">
      <c r="A17" s="1916"/>
      <c r="B17" s="1675"/>
      <c r="C17" s="1944" t="s">
        <v>2521</v>
      </c>
      <c r="D17" s="1945"/>
      <c r="E17" s="420" t="s">
        <v>373</v>
      </c>
      <c r="F17" s="266"/>
      <c r="G17" s="230" t="str">
        <f t="shared" si="0"/>
        <v/>
      </c>
      <c r="H17" s="235" t="str">
        <f>IF(E17="","",E17)</f>
        <v>kg</v>
      </c>
      <c r="I17" s="426"/>
      <c r="J17" s="243" t="str">
        <f>IF(E17="","","GJ/"&amp;E17)</f>
        <v>GJ/kg</v>
      </c>
      <c r="K17" s="428"/>
      <c r="L17" s="244" t="str">
        <f>"t-CO2/"&amp;IF(E17="","入力単位",E17)</f>
        <v>t-CO2/kg</v>
      </c>
      <c r="N17" s="221">
        <f>IF(E17="","",VLOOKUP(E17,非_単位補正換算!$B$3:$C$16,2,FALSE))</f>
        <v>1000</v>
      </c>
      <c r="O17" s="221" t="e">
        <f>"非_単位!$C$"&amp;MATCH(IF(C17="","廃棄物原燃料　自由記入1",C17),非_単位!B:B,0)&amp;":$H$"&amp;MATCH(IF(C17="","廃棄物原燃料　自由記入1",C17),非_単位!B:B,0)</f>
        <v>#N/A</v>
      </c>
      <c r="P17" s="221" t="str">
        <f t="shared" si="1"/>
        <v/>
      </c>
      <c r="Q17" s="221" t="str">
        <f t="shared" si="2"/>
        <v/>
      </c>
    </row>
    <row r="18" spans="1:17" ht="18" customHeight="1" thickBot="1">
      <c r="A18" s="1916"/>
      <c r="B18" s="1921"/>
      <c r="C18" s="1922"/>
      <c r="D18" s="1923"/>
      <c r="E18" s="421" t="s">
        <v>373</v>
      </c>
      <c r="F18" s="267"/>
      <c r="G18" s="231" t="str">
        <f t="shared" si="0"/>
        <v/>
      </c>
      <c r="H18" s="236" t="str">
        <f>IF(E18="","",E18)</f>
        <v>kg</v>
      </c>
      <c r="I18" s="427"/>
      <c r="J18" s="246" t="str">
        <f>IF(E18="","","GJ/"&amp;E18)</f>
        <v>GJ/kg</v>
      </c>
      <c r="K18" s="429"/>
      <c r="L18" s="244" t="str">
        <f>"t-CO2/"&amp;IF(E18="","入力単位",E18)</f>
        <v>t-CO2/kg</v>
      </c>
      <c r="N18" s="221">
        <f>IF(E18="","",VLOOKUP(E18,非_単位補正換算!$B$3:$C$16,2,FALSE))</f>
        <v>1000</v>
      </c>
      <c r="O18" s="221" t="str">
        <f>"非_単位!$C$"&amp;MATCH(IF(C18="","廃棄物原燃料　自由記入2",C18),非_単位!B:B,0)&amp;":$H$"&amp;MATCH(IF(C18="","廃棄物原燃料　自由記入2",C18),非_単位!B:B,0)</f>
        <v>非_単位!$C$66:$H$66</v>
      </c>
      <c r="P18" s="221" t="str">
        <f t="shared" si="1"/>
        <v/>
      </c>
      <c r="Q18" s="221" t="str">
        <f t="shared" si="2"/>
        <v/>
      </c>
    </row>
    <row r="19" spans="1:17" ht="19.5" customHeight="1" thickTop="1">
      <c r="A19" s="1916"/>
      <c r="B19" s="1953" t="s">
        <v>160</v>
      </c>
      <c r="C19" s="1746" t="s">
        <v>161</v>
      </c>
      <c r="D19" s="1929"/>
      <c r="E19" s="420" t="s">
        <v>373</v>
      </c>
      <c r="F19" s="423"/>
      <c r="G19" s="232" t="str">
        <f t="shared" si="0"/>
        <v/>
      </c>
      <c r="H19" s="237" t="s">
        <v>19</v>
      </c>
      <c r="I19" s="259">
        <v>13.6</v>
      </c>
      <c r="J19" s="247" t="s">
        <v>179</v>
      </c>
      <c r="K19" s="262"/>
      <c r="L19" s="248"/>
      <c r="N19" s="221">
        <f>IF(E19="","",VLOOKUP(E19,非_単位補正換算!$B$3:$C$16,2,FALSE))</f>
        <v>1000</v>
      </c>
      <c r="O19" s="221" t="str">
        <f>"非_単位!$C$"&amp;MATCH(C19,非_単位!B:B,0)&amp;":$D$"&amp;MATCH(C19,非_単位!B:B,0)</f>
        <v>非_単位!$C$67:$D$67</v>
      </c>
      <c r="P19" s="221" t="str">
        <f t="shared" si="1"/>
        <v/>
      </c>
      <c r="Q19" s="256"/>
    </row>
    <row r="20" spans="1:17">
      <c r="A20" s="1916"/>
      <c r="B20" s="1954"/>
      <c r="C20" s="1749" t="s">
        <v>162</v>
      </c>
      <c r="D20" s="1928"/>
      <c r="E20" s="420" t="s">
        <v>373</v>
      </c>
      <c r="F20" s="424"/>
      <c r="G20" s="230" t="str">
        <f t="shared" si="0"/>
        <v/>
      </c>
      <c r="H20" s="238" t="s">
        <v>19</v>
      </c>
      <c r="I20" s="258">
        <v>13.2</v>
      </c>
      <c r="J20" s="249" t="s">
        <v>179</v>
      </c>
      <c r="K20" s="261"/>
      <c r="L20" s="250"/>
      <c r="N20" s="221">
        <f>IF(E20="","",VLOOKUP(E20,非_単位補正換算!$B$3:$C$16,2,FALSE))</f>
        <v>1000</v>
      </c>
      <c r="O20" s="221" t="str">
        <f>"非_単位!$C$"&amp;MATCH(C20,非_単位!B:B,0)&amp;":$D$"&amp;MATCH(C20,非_単位!B:B,0)</f>
        <v>非_単位!$C$68:$D$68</v>
      </c>
      <c r="P20" s="221" t="str">
        <f t="shared" si="1"/>
        <v/>
      </c>
      <c r="Q20" s="256"/>
    </row>
    <row r="21" spans="1:17">
      <c r="A21" s="1916"/>
      <c r="B21" s="1954"/>
      <c r="C21" s="1749" t="s">
        <v>163</v>
      </c>
      <c r="D21" s="1928"/>
      <c r="E21" s="420" t="s">
        <v>373</v>
      </c>
      <c r="F21" s="424"/>
      <c r="G21" s="230" t="str">
        <f t="shared" si="0"/>
        <v/>
      </c>
      <c r="H21" s="238" t="s">
        <v>19</v>
      </c>
      <c r="I21" s="258">
        <v>17.100000000000001</v>
      </c>
      <c r="J21" s="249" t="s">
        <v>179</v>
      </c>
      <c r="K21" s="261"/>
      <c r="L21" s="250"/>
      <c r="N21" s="221">
        <f>IF(E21="","",VLOOKUP(E21,非_単位補正換算!$B$3:$C$16,2,FALSE))</f>
        <v>1000</v>
      </c>
      <c r="O21" s="221" t="str">
        <f>"非_単位!$C$"&amp;MATCH(C21,非_単位!B:B,0)&amp;":$D$"&amp;MATCH(C21,非_単位!B:B,0)</f>
        <v>非_単位!$C$69:$D$69</v>
      </c>
      <c r="P21" s="221" t="str">
        <f t="shared" si="1"/>
        <v/>
      </c>
      <c r="Q21" s="256"/>
    </row>
    <row r="22" spans="1:17">
      <c r="A22" s="1916"/>
      <c r="B22" s="1954"/>
      <c r="C22" s="1749" t="s">
        <v>164</v>
      </c>
      <c r="D22" s="1928"/>
      <c r="E22" s="420" t="s">
        <v>372</v>
      </c>
      <c r="F22" s="424"/>
      <c r="G22" s="230" t="str">
        <f t="shared" si="0"/>
        <v/>
      </c>
      <c r="H22" s="238" t="s">
        <v>182</v>
      </c>
      <c r="I22" s="258">
        <v>23.4</v>
      </c>
      <c r="J22" s="249" t="s">
        <v>180</v>
      </c>
      <c r="K22" s="261"/>
      <c r="L22" s="250"/>
      <c r="N22" s="221">
        <f>IF(E22="","",VLOOKUP(E22,非_単位補正換算!$B$3:$C$16,2,FALSE))</f>
        <v>1000</v>
      </c>
      <c r="O22" s="221" t="str">
        <f>"非_単位!$C$"&amp;MATCH(C22,非_単位!B:B,0)&amp;":$D$"&amp;MATCH(C22,非_単位!B:B,0)</f>
        <v>非_単位!$C$70:$D$70</v>
      </c>
      <c r="P22" s="221" t="str">
        <f t="shared" si="1"/>
        <v/>
      </c>
      <c r="Q22" s="256"/>
    </row>
    <row r="23" spans="1:17">
      <c r="A23" s="1916"/>
      <c r="B23" s="1954"/>
      <c r="C23" s="1749" t="s">
        <v>2018</v>
      </c>
      <c r="D23" s="1928"/>
      <c r="E23" s="420" t="s">
        <v>372</v>
      </c>
      <c r="F23" s="424"/>
      <c r="G23" s="230" t="str">
        <f t="shared" si="0"/>
        <v/>
      </c>
      <c r="H23" s="238" t="s">
        <v>182</v>
      </c>
      <c r="I23" s="258">
        <v>35.6</v>
      </c>
      <c r="J23" s="249" t="s">
        <v>180</v>
      </c>
      <c r="K23" s="261"/>
      <c r="L23" s="250"/>
      <c r="N23" s="221">
        <f>IF(E23="","",VLOOKUP(E23,非_単位補正換算!$B$3:$C$16,2,FALSE))</f>
        <v>1000</v>
      </c>
      <c r="O23" s="221" t="str">
        <f>"非_単位!$C$"&amp;MATCH(C23,非_単位!B:B,0)&amp;":$D$"&amp;MATCH(C23,非_単位!B:B,0)</f>
        <v>非_単位!$C$71:$D$71</v>
      </c>
      <c r="P23" s="221" t="str">
        <f t="shared" si="1"/>
        <v/>
      </c>
      <c r="Q23" s="256"/>
    </row>
    <row r="24" spans="1:17" ht="19.5">
      <c r="A24" s="1916"/>
      <c r="B24" s="1954"/>
      <c r="C24" s="1749" t="s">
        <v>166</v>
      </c>
      <c r="D24" s="1928"/>
      <c r="E24" s="420" t="s">
        <v>375</v>
      </c>
      <c r="F24" s="424"/>
      <c r="G24" s="230" t="str">
        <f t="shared" si="0"/>
        <v/>
      </c>
      <c r="H24" s="235" t="s">
        <v>195</v>
      </c>
      <c r="I24" s="258">
        <v>21.2</v>
      </c>
      <c r="J24" s="243" t="s">
        <v>196</v>
      </c>
      <c r="K24" s="261"/>
      <c r="L24" s="251"/>
      <c r="N24" s="221">
        <f>IF(E24="","",VLOOKUP(E24,非_単位補正換算!$B$3:$C$16,2,FALSE))</f>
        <v>1000</v>
      </c>
      <c r="O24" s="221" t="str">
        <f>"非_単位!$C$"&amp;MATCH(C24,非_単位!B:B,0)&amp;":$D$"&amp;MATCH(C24,非_単位!B:B,0)</f>
        <v>非_単位!$C$72:$D$72</v>
      </c>
      <c r="P24" s="221" t="str">
        <f t="shared" si="1"/>
        <v/>
      </c>
      <c r="Q24" s="256"/>
    </row>
    <row r="25" spans="1:17">
      <c r="A25" s="1916"/>
      <c r="B25" s="1954"/>
      <c r="C25" s="1749" t="s">
        <v>167</v>
      </c>
      <c r="D25" s="1928"/>
      <c r="E25" s="420" t="s">
        <v>373</v>
      </c>
      <c r="F25" s="424"/>
      <c r="G25" s="230" t="str">
        <f t="shared" si="0"/>
        <v/>
      </c>
      <c r="H25" s="235" t="s">
        <v>191</v>
      </c>
      <c r="I25" s="258">
        <v>13.2</v>
      </c>
      <c r="J25" s="243" t="s">
        <v>179</v>
      </c>
      <c r="K25" s="261"/>
      <c r="L25" s="251"/>
      <c r="N25" s="221">
        <f>IF(E25="","",VLOOKUP(E25,非_単位補正換算!$B$3:$C$16,2,FALSE))</f>
        <v>1000</v>
      </c>
      <c r="O25" s="221" t="str">
        <f>"非_単位!$C$"&amp;MATCH(C25,非_単位!B:B,0)&amp;":$D$"&amp;MATCH(C25,非_単位!B:B,0)</f>
        <v>非_単位!$C$73:$D$73</v>
      </c>
      <c r="P25" s="221" t="str">
        <f t="shared" si="1"/>
        <v/>
      </c>
      <c r="Q25" s="256"/>
    </row>
    <row r="26" spans="1:17">
      <c r="A26" s="1916"/>
      <c r="B26" s="1954"/>
      <c r="C26" s="1947"/>
      <c r="D26" s="1948"/>
      <c r="E26" s="420" t="s">
        <v>372</v>
      </c>
      <c r="F26" s="424"/>
      <c r="G26" s="230" t="str">
        <f t="shared" si="0"/>
        <v/>
      </c>
      <c r="H26" s="235" t="str">
        <f>IF(E26="","",E26)</f>
        <v>L</v>
      </c>
      <c r="I26" s="426"/>
      <c r="J26" s="243" t="str">
        <f>IF(E26="","","GJ/"&amp;E26)</f>
        <v>GJ/L</v>
      </c>
      <c r="K26" s="261"/>
      <c r="L26" s="251"/>
      <c r="N26" s="221">
        <f>IF(E26="","",VLOOKUP(E26,非_単位補正換算!$B$3:$C$16,2,FALSE))</f>
        <v>1000</v>
      </c>
      <c r="O26" s="221" t="str">
        <f>"非_単位!$C$"&amp;MATCH(IF(C26="","バイオマス燃料　自由記入1",C26),非_単位!B:B,0)&amp;":$H$"&amp;MATCH(IF(C26="","バイオマス燃料　自由記入1",C26),非_単位!B:B,0)</f>
        <v>非_単位!$C$74:$H$74</v>
      </c>
      <c r="P26" s="221" t="str">
        <f t="shared" si="1"/>
        <v/>
      </c>
      <c r="Q26" s="256"/>
    </row>
    <row r="27" spans="1:17" ht="18" thickBot="1">
      <c r="A27" s="1916"/>
      <c r="B27" s="1955"/>
      <c r="C27" s="1949"/>
      <c r="D27" s="1950"/>
      <c r="E27" s="421" t="s">
        <v>373</v>
      </c>
      <c r="F27" s="425"/>
      <c r="G27" s="231" t="str">
        <f t="shared" si="0"/>
        <v/>
      </c>
      <c r="H27" s="236" t="str">
        <f>IF(E27="","",E27)</f>
        <v>kg</v>
      </c>
      <c r="I27" s="427"/>
      <c r="J27" s="246" t="str">
        <f>IF(E27="","","GJ/"&amp;E27)</f>
        <v>GJ/kg</v>
      </c>
      <c r="K27" s="263"/>
      <c r="L27" s="252"/>
      <c r="N27" s="221">
        <f>IF(E27="","",VLOOKUP(E27,非_単位補正換算!$B$3:$C$16,2,FALSE))</f>
        <v>1000</v>
      </c>
      <c r="O27" s="221" t="str">
        <f>"非_単位!$C$"&amp;MATCH(IF(C27="","バイオマス燃料　自由記入2",C27),非_単位!B:B,0)&amp;":$H$"&amp;MATCH(IF(C27="","バイオマス燃料　自由記入2",C27),非_単位!B:B,0)</f>
        <v>非_単位!$C$75:$H$75</v>
      </c>
      <c r="P27" s="221" t="str">
        <f t="shared" si="1"/>
        <v/>
      </c>
      <c r="Q27" s="256"/>
    </row>
    <row r="28" spans="1:17" ht="18" thickTop="1">
      <c r="A28" s="1916"/>
      <c r="B28" s="1674" t="s">
        <v>280</v>
      </c>
      <c r="C28" s="1952" t="s">
        <v>169</v>
      </c>
      <c r="D28" s="1952"/>
      <c r="E28" s="420" t="s">
        <v>373</v>
      </c>
      <c r="F28" s="268"/>
      <c r="G28" s="232" t="str">
        <f t="shared" si="0"/>
        <v/>
      </c>
      <c r="H28" s="239" t="s">
        <v>191</v>
      </c>
      <c r="I28" s="259">
        <v>142</v>
      </c>
      <c r="J28" s="253" t="s">
        <v>179</v>
      </c>
      <c r="K28" s="262"/>
      <c r="L28" s="254"/>
      <c r="N28" s="221">
        <f>IF(E28="","",VLOOKUP(E28,非_単位補正換算!$B$3:$C$16,2,FALSE))</f>
        <v>1000</v>
      </c>
      <c r="O28" s="221" t="str">
        <f>"非_単位!$C$"&amp;MATCH(C28,非_単位!B:B,0)&amp;":$D$"&amp;MATCH(C28,非_単位!B:B,0)</f>
        <v>非_単位!$C$76:$D$76</v>
      </c>
      <c r="P28" s="221" t="str">
        <f t="shared" si="1"/>
        <v/>
      </c>
      <c r="Q28" s="256"/>
    </row>
    <row r="29" spans="1:17">
      <c r="A29" s="1916"/>
      <c r="B29" s="1675"/>
      <c r="C29" s="1679" t="s">
        <v>170</v>
      </c>
      <c r="D29" s="1679"/>
      <c r="E29" s="420" t="s">
        <v>373</v>
      </c>
      <c r="F29" s="266"/>
      <c r="G29" s="230" t="str">
        <f t="shared" si="0"/>
        <v/>
      </c>
      <c r="H29" s="235" t="s">
        <v>191</v>
      </c>
      <c r="I29" s="258">
        <v>22.5</v>
      </c>
      <c r="J29" s="243" t="s">
        <v>179</v>
      </c>
      <c r="K29" s="261"/>
      <c r="L29" s="251"/>
      <c r="N29" s="221">
        <f>IF(E29="","",VLOOKUP(E29,非_単位補正換算!$B$3:$C$16,2,FALSE))</f>
        <v>1000</v>
      </c>
      <c r="O29" s="221" t="str">
        <f>"非_単位!$C$"&amp;MATCH(C29,非_単位!B:B,0)&amp;":$D$"&amp;MATCH(C29,非_単位!B:B,0)</f>
        <v>非_単位!$C$77:$D$77</v>
      </c>
      <c r="P29" s="221" t="str">
        <f t="shared" si="1"/>
        <v/>
      </c>
      <c r="Q29" s="256"/>
    </row>
    <row r="30" spans="1:17">
      <c r="A30" s="1916"/>
      <c r="B30" s="1675"/>
      <c r="C30" s="1944"/>
      <c r="D30" s="1945"/>
      <c r="E30" s="420" t="s">
        <v>373</v>
      </c>
      <c r="F30" s="266"/>
      <c r="G30" s="230" t="str">
        <f t="shared" si="0"/>
        <v/>
      </c>
      <c r="H30" s="235" t="str">
        <f>IF(E30="","",E30)</f>
        <v>kg</v>
      </c>
      <c r="I30" s="426"/>
      <c r="J30" s="243" t="str">
        <f>IF(E30="","","GJ/"&amp;E30)</f>
        <v>GJ/kg</v>
      </c>
      <c r="K30" s="261"/>
      <c r="L30" s="251"/>
      <c r="N30" s="221">
        <f>IF(E30="","",VLOOKUP(E30,非_単位補正換算!$B$3:$C$16,2,FALSE))</f>
        <v>1000</v>
      </c>
      <c r="O30" s="221" t="str">
        <f>"非_単位!$C$"&amp;MATCH(IF(C30="","その他の非化石燃料　自由記入1",C30),非_単位!B:B,0)&amp;":$H$"&amp;MATCH(IF(C30="","その他の非化石燃料　自由記入1",C30),非_単位!B:B,0)</f>
        <v>非_単位!$C$78:$H$78</v>
      </c>
      <c r="P30" s="221" t="str">
        <f t="shared" si="1"/>
        <v/>
      </c>
      <c r="Q30" s="256"/>
    </row>
    <row r="31" spans="1:17" ht="18" thickBot="1">
      <c r="A31" s="1917"/>
      <c r="B31" s="1924"/>
      <c r="C31" s="1951"/>
      <c r="D31" s="1951"/>
      <c r="E31" s="422" t="s">
        <v>373</v>
      </c>
      <c r="F31" s="269"/>
      <c r="G31" s="233" t="str">
        <f t="shared" si="0"/>
        <v/>
      </c>
      <c r="H31" s="240" t="str">
        <f>IF(E31="","",E31)</f>
        <v>kg</v>
      </c>
      <c r="I31" s="430"/>
      <c r="J31" s="442" t="str">
        <f>IF(E31="","","GJ/"&amp;E31)</f>
        <v>GJ/kg</v>
      </c>
      <c r="K31" s="264"/>
      <c r="L31" s="255"/>
      <c r="N31" s="221">
        <f>IF(E31="","",VLOOKUP(E31,非_単位補正換算!$B$3:$C$16,2,FALSE))</f>
        <v>1000</v>
      </c>
      <c r="O31" s="221" t="str">
        <f>"非_単位!$C$"&amp;MATCH(IF(C31="","その他の非化石燃料　自由記入2",C31),非_単位!B:B,0)&amp;":$H$"&amp;MATCH(IF(C31="","その他の非化石燃料　自由記入2",C31),非_単位!B:B,0)</f>
        <v>非_単位!$C$79:$H$79</v>
      </c>
      <c r="P31" s="221" t="str">
        <f t="shared" si="1"/>
        <v/>
      </c>
      <c r="Q31" s="256"/>
    </row>
    <row r="32" spans="1:17" ht="22.5">
      <c r="A32" s="104"/>
      <c r="B32" s="43"/>
      <c r="C32" s="43"/>
      <c r="D32" s="43"/>
      <c r="E32" s="105"/>
      <c r="F32" s="106"/>
      <c r="G32" s="227"/>
      <c r="H32" s="228"/>
      <c r="I32" s="52"/>
      <c r="J32" s="1946" t="s">
        <v>121</v>
      </c>
      <c r="K32" s="1946"/>
      <c r="L32" s="1946"/>
      <c r="N32" s="102"/>
      <c r="O32" s="102"/>
      <c r="P32" s="102"/>
      <c r="Q32" s="102"/>
    </row>
  </sheetData>
  <sheetProtection algorithmName="SHA-512" hashValue="/mkoY8NH+WLMveeS0n5ca+ZNgVzJjR1nIetOKKyihulxNE/7kTMWHbGRFwXsEoj8pqkrvpoN8CIDVfSk8cafXQ==" saltValue="ZORMrgeaihRWslGku9TxlA==" spinCount="100000" sheet="1" objects="1" scenarios="1"/>
  <mergeCells count="44">
    <mergeCell ref="I1:J1"/>
    <mergeCell ref="K1:L1"/>
    <mergeCell ref="K2:L2"/>
    <mergeCell ref="A5:A7"/>
    <mergeCell ref="B5:B7"/>
    <mergeCell ref="C5:D7"/>
    <mergeCell ref="E5:E7"/>
    <mergeCell ref="F5:F7"/>
    <mergeCell ref="G5:H7"/>
    <mergeCell ref="I5:J7"/>
    <mergeCell ref="Q5:Q7"/>
    <mergeCell ref="A8:A31"/>
    <mergeCell ref="B8:B18"/>
    <mergeCell ref="C8:D8"/>
    <mergeCell ref="C9:D9"/>
    <mergeCell ref="C10:D10"/>
    <mergeCell ref="C16:D16"/>
    <mergeCell ref="K5:L7"/>
    <mergeCell ref="N5:N7"/>
    <mergeCell ref="O5:O7"/>
    <mergeCell ref="P5:P7"/>
    <mergeCell ref="C11:D11"/>
    <mergeCell ref="C12:D12"/>
    <mergeCell ref="C13:D13"/>
    <mergeCell ref="C14:D14"/>
    <mergeCell ref="C15:D15"/>
    <mergeCell ref="C17:D17"/>
    <mergeCell ref="C18:D18"/>
    <mergeCell ref="B19:B27"/>
    <mergeCell ref="C19:D19"/>
    <mergeCell ref="C20:D20"/>
    <mergeCell ref="C21:D21"/>
    <mergeCell ref="C22:D22"/>
    <mergeCell ref="C23:D23"/>
    <mergeCell ref="C24:D24"/>
    <mergeCell ref="C25:D25"/>
    <mergeCell ref="J32:L32"/>
    <mergeCell ref="C26:D26"/>
    <mergeCell ref="C27:D27"/>
    <mergeCell ref="B28:B31"/>
    <mergeCell ref="C28:D28"/>
    <mergeCell ref="C29:D29"/>
    <mergeCell ref="C30:D30"/>
    <mergeCell ref="C31:D31"/>
  </mergeCells>
  <phoneticPr fontId="5"/>
  <dataValidations count="4">
    <dataValidation type="list" allowBlank="1" showInputMessage="1" showErrorMessage="1" sqref="E65516:E65549 E131052:E131085 E196588:E196621 E262124:E262157 E327660:E327693 E393196:E393229 E458732:E458765 E524268:E524301 E589804:E589837 E655340:E655373 E720876:E720909 E786412:E786445 E851948:E851981 E917484:E917517 E983020:E983053" xr:uid="{185EA79A-20B7-4847-8297-4D69CA05464A}">
      <formula1>#REF!</formula1>
    </dataValidation>
    <dataValidation type="list" allowBlank="1" showInputMessage="1" showErrorMessage="1" sqref="E983054:E983056 E917518:E917520 E851982:E851984 E786446:E786448 E720910:E720912 E655374:E655376 E589838:E589840 E524302:E524304 E458766:E458768 E393230:E393232 E327694:E327696 E262158:E262160 E196622:E196624 E131086:E131088 E65550:E65552" xr:uid="{9EA50F37-6EE8-4704-9313-979437AE5F98}">
      <formula1>$L$8:$L$14</formula1>
    </dataValidation>
    <dataValidation type="list" allowBlank="1" showInputMessage="1" showErrorMessage="1" sqref="E8:E31" xr:uid="{C6284F3C-17A1-43BE-A797-F6516226FE9B}">
      <formula1>INDIRECT(O8)</formula1>
    </dataValidation>
    <dataValidation imeMode="disabled" allowBlank="1" showInputMessage="1" showErrorMessage="1" sqref="K17:K18 I17:I18 F8:F31 I26:I27 I30:I31" xr:uid="{640C485C-56EF-4B32-9AEB-97539AE0EC87}"/>
  </dataValidations>
  <pageMargins left="0.78740157480314965" right="0.59055118110236227" top="0.78740157480314965" bottom="0.59055118110236227" header="0.31496062992125984" footer="0.31496062992125984"/>
  <pageSetup paperSize="9" scale="60" fitToHeight="0" orientation="portrait" r:id="rId1"/>
  <headerFooter>
    <oddHeader>&amp;R&amp;8ver.4.01</oddHead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B81A-9374-4CF9-A0E5-FFB561D0D857}">
  <sheetPr codeName="Sheet19">
    <pageSetUpPr fitToPage="1"/>
  </sheetPr>
  <dimension ref="A5:J53"/>
  <sheetViews>
    <sheetView showGridLines="0" view="pageBreakPreview" topLeftCell="A31" zoomScale="130" zoomScaleNormal="100" zoomScaleSheetLayoutView="130" workbookViewId="0">
      <selection activeCell="K11" sqref="K11"/>
    </sheetView>
  </sheetViews>
  <sheetFormatPr defaultRowHeight="18"/>
  <sheetData>
    <row r="5" spans="1:10" ht="19.25" customHeight="1">
      <c r="A5" s="1403" t="s">
        <v>2068</v>
      </c>
      <c r="B5" s="1404"/>
      <c r="C5" s="1404"/>
      <c r="D5" s="769"/>
      <c r="E5" s="1403" t="s">
        <v>2069</v>
      </c>
      <c r="F5" s="1404"/>
      <c r="G5" s="1404"/>
      <c r="H5" s="1404"/>
      <c r="I5" s="1405"/>
    </row>
    <row r="6" spans="1:10" ht="19.25" customHeight="1">
      <c r="A6" s="1269" t="s">
        <v>2516</v>
      </c>
      <c r="B6" s="1270"/>
      <c r="C6" s="1270"/>
      <c r="D6" s="1270"/>
      <c r="E6" s="1269" t="s">
        <v>2519</v>
      </c>
      <c r="F6" s="1270"/>
      <c r="G6" s="1270"/>
      <c r="H6" s="1271"/>
      <c r="I6" s="1272"/>
      <c r="J6" s="1172" t="s">
        <v>2518</v>
      </c>
    </row>
    <row r="7" spans="1:10" ht="19.25" customHeight="1">
      <c r="A7" s="1273" t="s">
        <v>2520</v>
      </c>
      <c r="B7" s="1274"/>
      <c r="C7" s="1274"/>
      <c r="D7" s="1274"/>
      <c r="E7" s="1273" t="s">
        <v>2517</v>
      </c>
      <c r="F7" s="1274"/>
      <c r="G7" s="1274"/>
      <c r="H7" s="1275"/>
      <c r="I7" s="1276"/>
    </row>
    <row r="8" spans="1:10" ht="19.25" customHeight="1">
      <c r="A8" s="1284" t="s">
        <v>2070</v>
      </c>
      <c r="B8" s="1277"/>
      <c r="C8" s="1277"/>
      <c r="D8" s="1277"/>
      <c r="E8" s="1406" t="s">
        <v>2489</v>
      </c>
      <c r="F8" s="1407"/>
      <c r="G8" s="1407"/>
      <c r="H8" s="1407"/>
      <c r="I8" s="1408"/>
      <c r="J8" s="1172" t="s">
        <v>2490</v>
      </c>
    </row>
    <row r="9" spans="1:10" ht="19.25" customHeight="1">
      <c r="A9" s="1285" t="s">
        <v>2071</v>
      </c>
      <c r="B9" s="1255"/>
      <c r="C9" s="1255"/>
      <c r="D9" s="1255"/>
      <c r="E9" s="1409"/>
      <c r="F9" s="1410"/>
      <c r="G9" s="1410"/>
      <c r="H9" s="1410"/>
      <c r="I9" s="1411"/>
    </row>
    <row r="10" spans="1:10" ht="19.25" customHeight="1">
      <c r="A10" s="1285" t="s">
        <v>2072</v>
      </c>
      <c r="B10" s="1255"/>
      <c r="C10" s="1255"/>
      <c r="D10" s="1255"/>
      <c r="E10" s="1409"/>
      <c r="F10" s="1410"/>
      <c r="G10" s="1410"/>
      <c r="H10" s="1410"/>
      <c r="I10" s="1411"/>
    </row>
    <row r="11" spans="1:10" ht="19.25" customHeight="1">
      <c r="A11" s="1285" t="s">
        <v>2073</v>
      </c>
      <c r="B11" s="1255"/>
      <c r="C11" s="1255"/>
      <c r="D11" s="1255"/>
      <c r="E11" s="1409"/>
      <c r="F11" s="1410"/>
      <c r="G11" s="1410"/>
      <c r="H11" s="1410"/>
      <c r="I11" s="1411"/>
    </row>
    <row r="12" spans="1:10" ht="19.25" customHeight="1">
      <c r="A12" s="1285" t="s">
        <v>2074</v>
      </c>
      <c r="B12" s="1255"/>
      <c r="C12" s="1255"/>
      <c r="D12" s="1255"/>
      <c r="E12" s="1409"/>
      <c r="F12" s="1410"/>
      <c r="G12" s="1410"/>
      <c r="H12" s="1410"/>
      <c r="I12" s="1411"/>
    </row>
    <row r="13" spans="1:10" ht="19.25" customHeight="1">
      <c r="A13" s="1278" t="s">
        <v>2075</v>
      </c>
      <c r="B13" s="1279"/>
      <c r="C13" s="1279"/>
      <c r="D13" s="1279"/>
      <c r="E13" s="1412" t="s">
        <v>2461</v>
      </c>
      <c r="F13" s="1413"/>
      <c r="G13" s="1413"/>
      <c r="H13" s="1413"/>
      <c r="I13" s="1414"/>
      <c r="J13" s="1172" t="s">
        <v>2494</v>
      </c>
    </row>
    <row r="14" spans="1:10" ht="19.25" customHeight="1">
      <c r="A14" s="1278" t="s">
        <v>2530</v>
      </c>
      <c r="B14" s="1280"/>
      <c r="C14" s="1280"/>
      <c r="D14" s="1280"/>
      <c r="E14" s="1281" t="s">
        <v>2076</v>
      </c>
      <c r="F14" s="1282"/>
      <c r="G14" s="1282"/>
      <c r="H14" s="1282"/>
      <c r="I14" s="1283"/>
      <c r="J14" s="1172" t="s">
        <v>2493</v>
      </c>
    </row>
    <row r="15" spans="1:10" ht="19.25" customHeight="1">
      <c r="A15" s="1256" t="s">
        <v>2077</v>
      </c>
      <c r="B15" s="1257"/>
      <c r="C15" s="1257"/>
      <c r="D15" s="1257"/>
      <c r="E15" s="1258" t="s">
        <v>2462</v>
      </c>
      <c r="F15" s="1257"/>
      <c r="G15" s="1257"/>
      <c r="H15" s="1257"/>
      <c r="I15" s="1189"/>
    </row>
    <row r="16" spans="1:10" ht="19.25" customHeight="1">
      <c r="A16" s="1293" t="s">
        <v>2078</v>
      </c>
      <c r="B16" s="1294"/>
      <c r="C16" s="1294"/>
      <c r="D16" s="1295"/>
      <c r="E16" s="1293" t="s">
        <v>2079</v>
      </c>
      <c r="F16" s="1296"/>
      <c r="G16" s="1296"/>
      <c r="H16" s="1296"/>
      <c r="I16" s="1297"/>
      <c r="J16" s="1172"/>
    </row>
    <row r="17" spans="1:10" ht="19.25" customHeight="1">
      <c r="A17" s="1260" t="s">
        <v>2080</v>
      </c>
      <c r="B17" s="1259"/>
      <c r="C17" s="1259"/>
      <c r="D17" s="1298"/>
      <c r="E17" s="1260" t="s">
        <v>2081</v>
      </c>
      <c r="F17" s="1261"/>
      <c r="G17" s="1261"/>
      <c r="H17" s="1261"/>
      <c r="I17" s="1299"/>
      <c r="J17" s="1172" t="s">
        <v>2474</v>
      </c>
    </row>
    <row r="18" spans="1:10" ht="19.25" customHeight="1">
      <c r="A18" s="1300" t="s">
        <v>2082</v>
      </c>
      <c r="B18" s="1301"/>
      <c r="C18" s="1301"/>
      <c r="D18" s="1302"/>
      <c r="E18" s="1300" t="s">
        <v>2083</v>
      </c>
      <c r="F18" s="1303"/>
      <c r="G18" s="1303"/>
      <c r="H18" s="1303"/>
      <c r="I18" s="1304"/>
    </row>
    <row r="19" spans="1:10" ht="19.25" customHeight="1">
      <c r="A19" s="1286" t="s">
        <v>2084</v>
      </c>
      <c r="B19" s="1287"/>
      <c r="C19" s="1287"/>
      <c r="D19" s="1287"/>
      <c r="E19" s="1305" t="s">
        <v>2085</v>
      </c>
      <c r="F19" s="1287"/>
      <c r="G19" s="1287"/>
      <c r="H19" s="1287"/>
      <c r="I19" s="1288"/>
      <c r="J19" s="1172" t="s">
        <v>2486</v>
      </c>
    </row>
    <row r="20" spans="1:10" ht="19.25" customHeight="1">
      <c r="A20" s="1289" t="s">
        <v>2086</v>
      </c>
      <c r="B20" s="1173"/>
      <c r="C20" s="1173"/>
      <c r="D20" s="1173"/>
      <c r="E20" s="1306" t="s">
        <v>2087</v>
      </c>
      <c r="F20" s="1173"/>
      <c r="G20" s="1173"/>
      <c r="H20" s="1173"/>
      <c r="I20" s="1174"/>
      <c r="J20" s="1172" t="s">
        <v>2488</v>
      </c>
    </row>
    <row r="21" spans="1:10" ht="19.25" customHeight="1">
      <c r="A21" s="1290" t="s">
        <v>2088</v>
      </c>
      <c r="B21" s="1291"/>
      <c r="C21" s="1291"/>
      <c r="D21" s="1291"/>
      <c r="E21" s="1307" t="s">
        <v>2089</v>
      </c>
      <c r="F21" s="1291"/>
      <c r="G21" s="1291"/>
      <c r="H21" s="1291"/>
      <c r="I21" s="1292"/>
      <c r="J21" s="1172" t="s">
        <v>2487</v>
      </c>
    </row>
    <row r="22" spans="1:10" ht="19.25" customHeight="1">
      <c r="A22" s="1262" t="s">
        <v>2090</v>
      </c>
      <c r="B22" s="1308"/>
      <c r="C22" s="1308"/>
      <c r="D22" s="1308"/>
      <c r="E22" s="1415" t="s">
        <v>2091</v>
      </c>
      <c r="F22" s="1416"/>
      <c r="G22" s="1416"/>
      <c r="H22" s="1416"/>
      <c r="I22" s="1417"/>
      <c r="J22" s="1172"/>
    </row>
    <row r="23" spans="1:10" ht="19.25" customHeight="1">
      <c r="A23" s="1264" t="s">
        <v>2092</v>
      </c>
      <c r="B23" s="1263"/>
      <c r="C23" s="1263"/>
      <c r="D23" s="1263"/>
      <c r="E23" s="1415"/>
      <c r="F23" s="1416"/>
      <c r="G23" s="1416"/>
      <c r="H23" s="1416"/>
      <c r="I23" s="1417"/>
      <c r="J23" s="1172" t="s">
        <v>2495</v>
      </c>
    </row>
    <row r="24" spans="1:10" ht="19.25" customHeight="1">
      <c r="A24" s="1264" t="s">
        <v>2485</v>
      </c>
      <c r="B24" s="1263"/>
      <c r="C24" s="1263"/>
      <c r="D24" s="1263"/>
      <c r="E24" s="1418"/>
      <c r="F24" s="1419"/>
      <c r="G24" s="1419"/>
      <c r="H24" s="1419"/>
      <c r="I24" s="1420"/>
    </row>
    <row r="25" spans="1:10" ht="19.25" customHeight="1">
      <c r="A25" s="1265" t="s">
        <v>2483</v>
      </c>
      <c r="B25" s="1266"/>
      <c r="C25" s="1266"/>
      <c r="D25" s="1266"/>
      <c r="E25" s="1265" t="s">
        <v>2093</v>
      </c>
      <c r="F25" s="1266"/>
      <c r="G25" s="1266"/>
      <c r="H25" s="1266"/>
      <c r="I25" s="1267"/>
    </row>
    <row r="26" spans="1:10">
      <c r="A26" s="1258" t="s">
        <v>2484</v>
      </c>
      <c r="B26" s="1257"/>
      <c r="C26" s="1257"/>
      <c r="D26" s="1257"/>
      <c r="E26" s="1258" t="s">
        <v>2094</v>
      </c>
      <c r="F26" s="1257"/>
      <c r="G26" s="1257"/>
      <c r="H26" s="1257"/>
      <c r="I26" s="1268"/>
    </row>
    <row r="52" spans="1:1" hidden="1">
      <c r="A52" t="s">
        <v>2095</v>
      </c>
    </row>
    <row r="53" spans="1:1" hidden="1">
      <c r="A53" t="s">
        <v>2096</v>
      </c>
    </row>
  </sheetData>
  <sheetProtection algorithmName="SHA-512" hashValue="r1j9XD85DArv7smKrfacgD2WGTCmepQ1YfDDq1o/ES3mce48XTYFegnBCa3oqdBiW9mue5LIdlEwbyQZOKCacg==" saltValue="6swkPgNWT/+o1by5CMB1bA==" spinCount="100000" sheet="1" objects="1" scenarios="1"/>
  <mergeCells count="5">
    <mergeCell ref="A5:C5"/>
    <mergeCell ref="E5:I5"/>
    <mergeCell ref="E8:I12"/>
    <mergeCell ref="E13:I13"/>
    <mergeCell ref="E22:I24"/>
  </mergeCells>
  <phoneticPr fontId="5"/>
  <pageMargins left="0.78740157480314965" right="0.59055118110236227" top="0.78740157480314965" bottom="0.59055118110236227" header="0.31496062992125984" footer="0.31496062992125984"/>
  <pageSetup paperSize="9" fitToHeight="0" orientation="portrait" r:id="rId1"/>
  <headerFooter>
    <oddHeader>&amp;R&amp;8ver.4.01</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FF00"/>
    <pageSetUpPr fitToPage="1"/>
  </sheetPr>
  <dimension ref="A1:S59"/>
  <sheetViews>
    <sheetView showGridLines="0" zoomScaleNormal="100" zoomScaleSheetLayoutView="100" workbookViewId="0">
      <pane ySplit="5" topLeftCell="A14" activePane="bottomLeft" state="frozen"/>
      <selection activeCell="L62" sqref="L62"/>
      <selection pane="bottomLeft" activeCell="B6" sqref="B6"/>
    </sheetView>
  </sheetViews>
  <sheetFormatPr defaultColWidth="9" defaultRowHeight="17.5" outlineLevelCol="1"/>
  <cols>
    <col min="1" max="1" width="12.83203125" style="84" customWidth="1"/>
    <col min="2" max="2" width="40.4140625" style="84" customWidth="1"/>
    <col min="3" max="3" width="17.6640625" style="84" customWidth="1"/>
    <col min="4" max="4" width="15.58203125" style="84" customWidth="1"/>
    <col min="5" max="6" width="21" style="84" customWidth="1"/>
    <col min="7" max="7" width="0" style="84" hidden="1" customWidth="1"/>
    <col min="8" max="8" width="42.6640625" style="84" hidden="1" customWidth="1" outlineLevel="1"/>
    <col min="9" max="9" width="9.6640625" style="84" hidden="1" customWidth="1" outlineLevel="1"/>
    <col min="10" max="10" width="15.9140625" style="84" hidden="1" customWidth="1" outlineLevel="1"/>
    <col min="11" max="11" width="11.5" style="84" hidden="1" customWidth="1" outlineLevel="1"/>
    <col min="12" max="12" width="16.9140625" style="84" hidden="1" customWidth="1" outlineLevel="1"/>
    <col min="13" max="13" width="15.6640625" style="84" hidden="1" customWidth="1" outlineLevel="1"/>
    <col min="14" max="15" width="16" style="84" hidden="1" customWidth="1" outlineLevel="1"/>
    <col min="16" max="17" width="9" style="84" hidden="1" customWidth="1" outlineLevel="1"/>
    <col min="18" max="18" width="11.58203125" style="84" hidden="1" customWidth="1" outlineLevel="1"/>
    <col min="19" max="19" width="9" style="84" hidden="1" customWidth="1" collapsed="1"/>
    <col min="20" max="16384" width="9" style="84"/>
  </cols>
  <sheetData>
    <row r="1" spans="1:19">
      <c r="A1" s="3" t="s">
        <v>2508</v>
      </c>
      <c r="B1" s="3"/>
      <c r="C1" s="52"/>
      <c r="D1" s="52"/>
      <c r="E1" s="108" t="s">
        <v>2056</v>
      </c>
      <c r="F1" s="36" t="str">
        <f>IF('0.事業所概要'!D11="","",'0.事業所概要'!D11)</f>
        <v>県庁産業㈱　　本社、浦和支店</v>
      </c>
    </row>
    <row r="2" spans="1:19">
      <c r="A2" s="52" t="s">
        <v>2514</v>
      </c>
      <c r="B2" s="52"/>
      <c r="C2" s="52"/>
      <c r="D2" s="52"/>
      <c r="E2" s="4"/>
      <c r="F2" s="164" t="str">
        <f>CONCATENATE('0.事業所概要'!$B$3,'0.事業所概要'!$C$3,"年度")</f>
        <v>令和７年度</v>
      </c>
      <c r="H2" s="84" t="s">
        <v>2014</v>
      </c>
    </row>
    <row r="3" spans="1:19">
      <c r="A3" s="52"/>
      <c r="B3" s="52"/>
      <c r="C3" s="52"/>
      <c r="D3" s="52"/>
      <c r="E3" s="52"/>
      <c r="F3" s="52"/>
      <c r="H3" s="490" t="str">
        <f>IF(AND(COUNT('11自動車_エネルギー・CO₂量'!$H$46)&gt;0,COUNT('11自動車_エネルギー・CO₂量'!$H$54)&gt;0),"証書等_種類",IF(COUNT('11自動車_エネルギー・CO₂量'!$H$46)&gt;0,"証書等_種類_電気なし",IF(COUNT('11自動車_エネルギー・CO₂量'!$H$54)&gt;0,"証書等_種類_熱なし","証書等_種類_森林吸収量のみ")))</f>
        <v>証書等_種類_熱なし</v>
      </c>
    </row>
    <row r="4" spans="1:19" ht="18" thickBot="1">
      <c r="A4" s="52"/>
      <c r="B4" s="52"/>
      <c r="C4" s="52"/>
      <c r="D4" s="52"/>
      <c r="E4" s="52"/>
      <c r="F4" s="52"/>
    </row>
    <row r="5" spans="1:19" ht="37.5" thickBot="1">
      <c r="A5" s="580" t="s">
        <v>2055</v>
      </c>
      <c r="B5" s="59" t="s">
        <v>261</v>
      </c>
      <c r="C5" s="60" t="s">
        <v>257</v>
      </c>
      <c r="D5" s="60" t="s">
        <v>259</v>
      </c>
      <c r="E5" s="62" t="s">
        <v>258</v>
      </c>
      <c r="F5" s="61" t="s">
        <v>2013</v>
      </c>
      <c r="H5" s="490" t="s">
        <v>1984</v>
      </c>
      <c r="I5" s="490" t="s">
        <v>1985</v>
      </c>
      <c r="J5" s="490" t="s">
        <v>1987</v>
      </c>
      <c r="K5" s="490" t="s">
        <v>1988</v>
      </c>
      <c r="L5" s="494" t="s">
        <v>1989</v>
      </c>
      <c r="M5" s="494" t="s">
        <v>1990</v>
      </c>
      <c r="N5" s="494" t="s">
        <v>1992</v>
      </c>
      <c r="O5" s="494" t="s">
        <v>1993</v>
      </c>
      <c r="P5" s="494" t="s">
        <v>2033</v>
      </c>
      <c r="Q5" s="490" t="s">
        <v>2044</v>
      </c>
      <c r="R5" s="494" t="s">
        <v>2049</v>
      </c>
      <c r="S5" s="606" t="s">
        <v>2055</v>
      </c>
    </row>
    <row r="6" spans="1:19">
      <c r="A6" s="581" t="s">
        <v>2052</v>
      </c>
      <c r="B6" s="431"/>
      <c r="C6" s="432"/>
      <c r="D6" s="484"/>
      <c r="E6" s="341" t="str">
        <f>J6</f>
        <v/>
      </c>
      <c r="F6" s="485"/>
      <c r="H6" s="490" t="str">
        <f>IF(B6="","",IF(LEFT(B6,5)="森林吸収量","森林吸収量_単位",B6&amp;"_単位"))</f>
        <v/>
      </c>
      <c r="I6" s="490" t="str">
        <f>IF(B6="","",IF(LEFT(B6,5)="森林吸収量","森林吸収量",IF(B6="グリーン熱証書","熱","電気")))</f>
        <v/>
      </c>
      <c r="J6" s="490" t="str">
        <f>IF(I6="","",IF(I6="電気",非_電気事業者!$S$5*1000,IF(I6="熱",非_熱供給事業者!$T$4,"")))</f>
        <v/>
      </c>
      <c r="K6" s="490" t="str">
        <f>IF(C6="","",VLOOKUP(C6,非_単位補正換算!$B$3:$C$16,2,FALSE))</f>
        <v/>
      </c>
      <c r="L6" s="490" t="str">
        <f>IF(D6="","",IF(K6="","",D6/K6))</f>
        <v/>
      </c>
      <c r="M6" s="490" t="str">
        <f>IF(I6="","",IF(I6="森林吸収量","削減量を入力",IF(L6="","",L6*J6)))</f>
        <v/>
      </c>
      <c r="N6" s="490" t="str">
        <f>IF(B6="","",VLOOKUP($B6,非_まとめ表行番号!$Q$3:$S$8,2,FALSE))</f>
        <v/>
      </c>
      <c r="O6" s="490" t="str">
        <f>IF(B6="","",VLOOKUP($B6,非_まとめ表行番号!$Q$3:$S$8,3,FALSE))</f>
        <v/>
      </c>
      <c r="P6" s="490" t="str">
        <f>IF(B6="","",VLOOKUP(N6,非_まとめ表行番号!$U$3:$V$56,2,FALSE))</f>
        <v/>
      </c>
      <c r="Q6" s="490" t="str">
        <f>IF(M6="","",IF(M6&gt;0,-1,0))</f>
        <v/>
      </c>
      <c r="R6" s="490" t="b">
        <f t="shared" ref="R6:R37" si="0">_xlfn.ISFORMULA(F6)</f>
        <v>0</v>
      </c>
      <c r="S6" s="606">
        <v>1</v>
      </c>
    </row>
    <row r="7" spans="1:19">
      <c r="A7" s="582"/>
      <c r="B7" s="433"/>
      <c r="C7" s="406"/>
      <c r="D7" s="482"/>
      <c r="E7" s="328" t="str">
        <f t="shared" ref="E7:E58" si="1">J7</f>
        <v/>
      </c>
      <c r="F7" s="486" t="str">
        <f t="shared" ref="F7:F58" si="2">M7</f>
        <v/>
      </c>
      <c r="H7" s="490" t="str">
        <f t="shared" ref="H7:H10" si="3">IF(B7="","",IF(LEFT(B7,5)="森林吸収量","森林吸収量_単位",B7&amp;"_単位"))</f>
        <v/>
      </c>
      <c r="I7" s="490" t="str">
        <f>IF(B7="","",IF(LEFT(B7,5)="森林吸収量","森林吸収量",IF(B7="グリーン熱証書","熱","電気")))</f>
        <v/>
      </c>
      <c r="J7" s="490" t="str">
        <f>IF(I7="","",IF(I7="電気",非_電気事業者!$S$5*1000,IF(I7="熱",非_熱供給事業者!$T$4,"")))</f>
        <v/>
      </c>
      <c r="K7" s="490" t="str">
        <f>IF(C7="","",VLOOKUP(C7,非_単位補正換算!$B$3:$C$16,2,FALSE))</f>
        <v/>
      </c>
      <c r="L7" s="490" t="str">
        <f t="shared" ref="L7:L10" si="4">IF(D7="","",IF(K7="","",D7/K7))</f>
        <v/>
      </c>
      <c r="M7" s="490" t="str">
        <f t="shared" ref="M7:M10" si="5">IF(I7="","",IF(I7="森林吸収量","削減量を入力",IF(L7="","",L7*J7)))</f>
        <v/>
      </c>
      <c r="N7" s="490" t="str">
        <f>IF(B7="","",VLOOKUP($B7,非_まとめ表行番号!$Q$3:$S$8,2,FALSE))</f>
        <v/>
      </c>
      <c r="O7" s="490" t="str">
        <f>IF(B7="","",VLOOKUP($B7,非_まとめ表行番号!$Q$3:$S$8,3,FALSE))</f>
        <v/>
      </c>
      <c r="P7" s="490" t="str">
        <f>IF(B7="","",VLOOKUP(N7,非_まとめ表行番号!$U$3:$V$56,2,FALSE))</f>
        <v/>
      </c>
      <c r="Q7" s="490" t="str">
        <f t="shared" ref="Q7:Q58" si="6">IF(M7="","",IF(M7&gt;0,-1,0))</f>
        <v/>
      </c>
      <c r="R7" s="490" t="b">
        <f t="shared" si="0"/>
        <v>1</v>
      </c>
      <c r="S7" s="84">
        <v>1</v>
      </c>
    </row>
    <row r="8" spans="1:19">
      <c r="A8" s="582"/>
      <c r="B8" s="433"/>
      <c r="C8" s="406"/>
      <c r="D8" s="482"/>
      <c r="E8" s="328" t="str">
        <f t="shared" si="1"/>
        <v/>
      </c>
      <c r="F8" s="486" t="str">
        <f t="shared" si="2"/>
        <v/>
      </c>
      <c r="H8" s="490" t="str">
        <f t="shared" si="3"/>
        <v/>
      </c>
      <c r="I8" s="490" t="str">
        <f>IF(B8="","",IF(LEFT(B8,5)="森林吸収量","森林吸収量",IF(B8="グリーン熱証書","熱","電気")))</f>
        <v/>
      </c>
      <c r="J8" s="490" t="str">
        <f>IF(I8="","",IF(I8="電気",非_電気事業者!$S$5*1000,IF(I8="熱",非_熱供給事業者!$T$4,"")))</f>
        <v/>
      </c>
      <c r="K8" s="490" t="str">
        <f>IF(C8="","",VLOOKUP(C8,非_単位補正換算!$B$3:$C$16,2,FALSE))</f>
        <v/>
      </c>
      <c r="L8" s="490" t="str">
        <f t="shared" si="4"/>
        <v/>
      </c>
      <c r="M8" s="490" t="str">
        <f t="shared" si="5"/>
        <v/>
      </c>
      <c r="N8" s="490" t="str">
        <f>IF(B8="","",VLOOKUP($B8,非_まとめ表行番号!$Q$3:$S$8,2,FALSE))</f>
        <v/>
      </c>
      <c r="O8" s="490" t="str">
        <f>IF(B8="","",VLOOKUP($B8,非_まとめ表行番号!$Q$3:$S$8,3,FALSE))</f>
        <v/>
      </c>
      <c r="P8" s="490" t="str">
        <f>IF(B8="","",VLOOKUP(N8,非_まとめ表行番号!$U$3:$V$56,2,FALSE))</f>
        <v/>
      </c>
      <c r="Q8" s="490" t="str">
        <f t="shared" si="6"/>
        <v/>
      </c>
      <c r="R8" s="490" t="b">
        <f t="shared" si="0"/>
        <v>1</v>
      </c>
      <c r="S8" s="84">
        <v>1</v>
      </c>
    </row>
    <row r="9" spans="1:19">
      <c r="A9" s="582"/>
      <c r="B9" s="433"/>
      <c r="C9" s="406"/>
      <c r="D9" s="482"/>
      <c r="E9" s="328" t="str">
        <f t="shared" si="1"/>
        <v/>
      </c>
      <c r="F9" s="486" t="str">
        <f t="shared" si="2"/>
        <v/>
      </c>
      <c r="H9" s="490" t="str">
        <f t="shared" si="3"/>
        <v/>
      </c>
      <c r="I9" s="490" t="str">
        <f>IF(B9="","",IF(LEFT(B9,5)="森林吸収量","森林吸収量",IF(B9="グリーン熱証書","熱","電気")))</f>
        <v/>
      </c>
      <c r="J9" s="490" t="str">
        <f>IF(I9="","",IF(I9="電気",非_電気事業者!$S$5*1000,IF(I9="熱",非_熱供給事業者!$T$4,"")))</f>
        <v/>
      </c>
      <c r="K9" s="490" t="str">
        <f>IF(C9="","",VLOOKUP(C9,非_単位補正換算!$B$3:$C$16,2,FALSE))</f>
        <v/>
      </c>
      <c r="L9" s="490" t="str">
        <f t="shared" si="4"/>
        <v/>
      </c>
      <c r="M9" s="490" t="str">
        <f t="shared" si="5"/>
        <v/>
      </c>
      <c r="N9" s="490" t="str">
        <f>IF(B9="","",VLOOKUP($B9,非_まとめ表行番号!$Q$3:$S$8,2,FALSE))</f>
        <v/>
      </c>
      <c r="O9" s="490" t="str">
        <f>IF(B9="","",VLOOKUP($B9,非_まとめ表行番号!$Q$3:$S$8,3,FALSE))</f>
        <v/>
      </c>
      <c r="P9" s="490" t="str">
        <f>IF(B9="","",VLOOKUP(N9,非_まとめ表行番号!$U$3:$V$56,2,FALSE))</f>
        <v/>
      </c>
      <c r="Q9" s="490" t="str">
        <f t="shared" si="6"/>
        <v/>
      </c>
      <c r="R9" s="490" t="b">
        <f t="shared" si="0"/>
        <v>1</v>
      </c>
      <c r="S9" s="84">
        <v>1</v>
      </c>
    </row>
    <row r="10" spans="1:19">
      <c r="A10" s="582"/>
      <c r="B10" s="433"/>
      <c r="C10" s="406"/>
      <c r="D10" s="482"/>
      <c r="E10" s="328" t="str">
        <f t="shared" si="1"/>
        <v/>
      </c>
      <c r="F10" s="486" t="str">
        <f t="shared" si="2"/>
        <v/>
      </c>
      <c r="H10" s="490" t="str">
        <f t="shared" si="3"/>
        <v/>
      </c>
      <c r="I10" s="490" t="str">
        <f>IF(B10="","",IF(LEFT(B10,5)="森林吸収量","森林吸収量",IF(B10="グリーン熱証書","熱","電気")))</f>
        <v/>
      </c>
      <c r="J10" s="490" t="str">
        <f>IF(I10="","",IF(I10="電気",非_電気事業者!$S$5*1000,IF(I10="熱",非_熱供給事業者!$T$4,"")))</f>
        <v/>
      </c>
      <c r="K10" s="490" t="str">
        <f>IF(C10="","",VLOOKUP(C10,非_単位補正換算!$B$3:$C$16,2,FALSE))</f>
        <v/>
      </c>
      <c r="L10" s="490" t="str">
        <f t="shared" si="4"/>
        <v/>
      </c>
      <c r="M10" s="490" t="str">
        <f t="shared" si="5"/>
        <v/>
      </c>
      <c r="N10" s="490" t="str">
        <f>IF(B10="","",VLOOKUP($B10,非_まとめ表行番号!$Q$3:$S$8,2,FALSE))</f>
        <v/>
      </c>
      <c r="O10" s="490" t="str">
        <f>IF(B10="","",VLOOKUP($B10,非_まとめ表行番号!$Q$3:$S$8,3,FALSE))</f>
        <v/>
      </c>
      <c r="P10" s="490" t="str">
        <f>IF(B10="","",VLOOKUP(N10,非_まとめ表行番号!$U$3:$V$56,2,FALSE))</f>
        <v/>
      </c>
      <c r="Q10" s="490" t="str">
        <f t="shared" si="6"/>
        <v/>
      </c>
      <c r="R10" s="490" t="b">
        <f t="shared" si="0"/>
        <v>1</v>
      </c>
      <c r="S10" s="84">
        <v>1</v>
      </c>
    </row>
    <row r="11" spans="1:19">
      <c r="A11" s="582"/>
      <c r="B11" s="433"/>
      <c r="C11" s="406"/>
      <c r="D11" s="482"/>
      <c r="E11" s="328" t="str">
        <f t="shared" si="1"/>
        <v/>
      </c>
      <c r="F11" s="486" t="str">
        <f t="shared" si="2"/>
        <v/>
      </c>
      <c r="H11" s="490" t="str">
        <f t="shared" ref="H11:H58" si="7">IF(B11="","",IF(LEFT(B11,5)="森林吸収量","森林吸収量_単位",B11&amp;"_単位"))</f>
        <v/>
      </c>
      <c r="I11" s="490" t="str">
        <f t="shared" ref="I11:I58" si="8">IF(B11="","",IF(LEFT(B11,5)="森林吸収量","森林吸収量",IF(B11="グリーン熱証書","熱","電気")))</f>
        <v/>
      </c>
      <c r="J11" s="490" t="str">
        <f>IF(I11="","",IF(I11="電気",非_電気事業者!$S$5*1000,IF(I11="熱",非_熱供給事業者!$T$4,"")))</f>
        <v/>
      </c>
      <c r="K11" s="490" t="str">
        <f>IF(C11="","",VLOOKUP(C11,非_単位補正換算!$B$3:$C$16,2,FALSE))</f>
        <v/>
      </c>
      <c r="L11" s="490" t="str">
        <f t="shared" ref="L11:L58" si="9">IF(D11="","",IF(K11="","",D11/K11))</f>
        <v/>
      </c>
      <c r="M11" s="490" t="str">
        <f t="shared" ref="M11:M58" si="10">IF(I11="","",IF(I11="森林吸収量","削減量を入力",IF(L11="","",L11*J11)))</f>
        <v/>
      </c>
      <c r="N11" s="490" t="str">
        <f>IF(B11="","",VLOOKUP($B11,非_まとめ表行番号!$Q$3:$S$8,2,FALSE))</f>
        <v/>
      </c>
      <c r="O11" s="490" t="str">
        <f>IF(B11="","",VLOOKUP($B11,非_まとめ表行番号!$Q$3:$S$8,3,FALSE))</f>
        <v/>
      </c>
      <c r="P11" s="490" t="str">
        <f>IF(B11="","",VLOOKUP(N11,非_まとめ表行番号!$U$3:$V$56,2,FALSE))</f>
        <v/>
      </c>
      <c r="Q11" s="490" t="str">
        <f t="shared" si="6"/>
        <v/>
      </c>
      <c r="R11" s="490" t="b">
        <f t="shared" si="0"/>
        <v>1</v>
      </c>
      <c r="S11" s="84">
        <v>1</v>
      </c>
    </row>
    <row r="12" spans="1:19">
      <c r="A12" s="582"/>
      <c r="B12" s="433"/>
      <c r="C12" s="406"/>
      <c r="D12" s="482"/>
      <c r="E12" s="328" t="str">
        <f t="shared" si="1"/>
        <v/>
      </c>
      <c r="F12" s="486" t="str">
        <f t="shared" si="2"/>
        <v/>
      </c>
      <c r="H12" s="490" t="str">
        <f t="shared" si="7"/>
        <v/>
      </c>
      <c r="I12" s="490" t="str">
        <f t="shared" si="8"/>
        <v/>
      </c>
      <c r="J12" s="490" t="str">
        <f>IF(I12="","",IF(I12="電気",非_電気事業者!$S$5*1000,IF(I12="熱",非_熱供給事業者!$T$4,"")))</f>
        <v/>
      </c>
      <c r="K12" s="490" t="str">
        <f>IF(C12="","",VLOOKUP(C12,非_単位補正換算!$B$3:$C$16,2,FALSE))</f>
        <v/>
      </c>
      <c r="L12" s="490" t="str">
        <f t="shared" si="9"/>
        <v/>
      </c>
      <c r="M12" s="490" t="str">
        <f t="shared" si="10"/>
        <v/>
      </c>
      <c r="N12" s="490" t="str">
        <f>IF(B12="","",VLOOKUP($B12,非_まとめ表行番号!$Q$3:$S$8,2,FALSE))</f>
        <v/>
      </c>
      <c r="O12" s="490" t="str">
        <f>IF(B12="","",VLOOKUP($B12,非_まとめ表行番号!$Q$3:$S$8,3,FALSE))</f>
        <v/>
      </c>
      <c r="P12" s="490" t="str">
        <f>IF(B12="","",VLOOKUP(N12,非_まとめ表行番号!$U$3:$V$56,2,FALSE))</f>
        <v/>
      </c>
      <c r="Q12" s="490" t="str">
        <f t="shared" si="6"/>
        <v/>
      </c>
      <c r="R12" s="490" t="b">
        <f t="shared" si="0"/>
        <v>1</v>
      </c>
      <c r="S12" s="606">
        <v>1</v>
      </c>
    </row>
    <row r="13" spans="1:19">
      <c r="A13" s="582"/>
      <c r="B13" s="433"/>
      <c r="C13" s="406"/>
      <c r="D13" s="482"/>
      <c r="E13" s="328" t="str">
        <f t="shared" si="1"/>
        <v/>
      </c>
      <c r="F13" s="486" t="str">
        <f t="shared" si="2"/>
        <v/>
      </c>
      <c r="H13" s="490" t="str">
        <f t="shared" si="7"/>
        <v/>
      </c>
      <c r="I13" s="490" t="str">
        <f t="shared" si="8"/>
        <v/>
      </c>
      <c r="J13" s="490" t="str">
        <f>IF(I13="","",IF(I13="電気",非_電気事業者!$S$5*1000,IF(I13="熱",非_熱供給事業者!$T$4,"")))</f>
        <v/>
      </c>
      <c r="K13" s="490" t="str">
        <f>IF(C13="","",VLOOKUP(C13,非_単位補正換算!$B$3:$C$16,2,FALSE))</f>
        <v/>
      </c>
      <c r="L13" s="490" t="str">
        <f t="shared" si="9"/>
        <v/>
      </c>
      <c r="M13" s="490" t="str">
        <f t="shared" si="10"/>
        <v/>
      </c>
      <c r="N13" s="490" t="str">
        <f>IF(B13="","",VLOOKUP($B13,非_まとめ表行番号!$Q$3:$S$8,2,FALSE))</f>
        <v/>
      </c>
      <c r="O13" s="490" t="str">
        <f>IF(B13="","",VLOOKUP($B13,非_まとめ表行番号!$Q$3:$S$8,3,FALSE))</f>
        <v/>
      </c>
      <c r="P13" s="490" t="str">
        <f>IF(B13="","",VLOOKUP(N13,非_まとめ表行番号!$U$3:$V$56,2,FALSE))</f>
        <v/>
      </c>
      <c r="Q13" s="490" t="str">
        <f t="shared" si="6"/>
        <v/>
      </c>
      <c r="R13" s="490" t="b">
        <f t="shared" si="0"/>
        <v>1</v>
      </c>
      <c r="S13" s="84">
        <v>1</v>
      </c>
    </row>
    <row r="14" spans="1:19">
      <c r="A14" s="582"/>
      <c r="B14" s="433"/>
      <c r="C14" s="406"/>
      <c r="D14" s="482"/>
      <c r="E14" s="328" t="str">
        <f t="shared" si="1"/>
        <v/>
      </c>
      <c r="F14" s="486" t="str">
        <f t="shared" si="2"/>
        <v/>
      </c>
      <c r="H14" s="490" t="str">
        <f t="shared" si="7"/>
        <v/>
      </c>
      <c r="I14" s="490" t="str">
        <f t="shared" si="8"/>
        <v/>
      </c>
      <c r="J14" s="490" t="str">
        <f>IF(I14="","",IF(I14="電気",非_電気事業者!$S$5*1000,IF(I14="熱",非_熱供給事業者!$T$4,"")))</f>
        <v/>
      </c>
      <c r="K14" s="490" t="str">
        <f>IF(C14="","",VLOOKUP(C14,非_単位補正換算!$B$3:$C$16,2,FALSE))</f>
        <v/>
      </c>
      <c r="L14" s="490" t="str">
        <f t="shared" si="9"/>
        <v/>
      </c>
      <c r="M14" s="490" t="str">
        <f t="shared" si="10"/>
        <v/>
      </c>
      <c r="N14" s="490" t="str">
        <f>IF(B14="","",VLOOKUP($B14,非_まとめ表行番号!$Q$3:$S$8,2,FALSE))</f>
        <v/>
      </c>
      <c r="O14" s="490" t="str">
        <f>IF(B14="","",VLOOKUP($B14,非_まとめ表行番号!$Q$3:$S$8,3,FALSE))</f>
        <v/>
      </c>
      <c r="P14" s="490" t="str">
        <f>IF(B14="","",VLOOKUP(N14,非_まとめ表行番号!$U$3:$V$56,2,FALSE))</f>
        <v/>
      </c>
      <c r="Q14" s="490" t="str">
        <f t="shared" si="6"/>
        <v/>
      </c>
      <c r="R14" s="490" t="b">
        <f t="shared" si="0"/>
        <v>1</v>
      </c>
      <c r="S14" s="84">
        <v>1</v>
      </c>
    </row>
    <row r="15" spans="1:19">
      <c r="A15" s="582"/>
      <c r="B15" s="433"/>
      <c r="C15" s="406"/>
      <c r="D15" s="482"/>
      <c r="E15" s="328" t="str">
        <f t="shared" si="1"/>
        <v/>
      </c>
      <c r="F15" s="486" t="str">
        <f t="shared" si="2"/>
        <v/>
      </c>
      <c r="H15" s="490" t="str">
        <f t="shared" si="7"/>
        <v/>
      </c>
      <c r="I15" s="490" t="str">
        <f t="shared" si="8"/>
        <v/>
      </c>
      <c r="J15" s="490" t="str">
        <f>IF(I15="","",IF(I15="電気",非_電気事業者!$S$5*1000,IF(I15="熱",非_熱供給事業者!$T$4,"")))</f>
        <v/>
      </c>
      <c r="K15" s="490" t="str">
        <f>IF(C15="","",VLOOKUP(C15,非_単位補正換算!$B$3:$C$16,2,FALSE))</f>
        <v/>
      </c>
      <c r="L15" s="490" t="str">
        <f t="shared" si="9"/>
        <v/>
      </c>
      <c r="M15" s="490" t="str">
        <f t="shared" si="10"/>
        <v/>
      </c>
      <c r="N15" s="490" t="str">
        <f>IF(B15="","",VLOOKUP($B15,非_まとめ表行番号!$Q$3:$S$8,2,FALSE))</f>
        <v/>
      </c>
      <c r="O15" s="490" t="str">
        <f>IF(B15="","",VLOOKUP($B15,非_まとめ表行番号!$Q$3:$S$8,3,FALSE))</f>
        <v/>
      </c>
      <c r="P15" s="490" t="str">
        <f>IF(B15="","",VLOOKUP(N15,非_まとめ表行番号!$U$3:$V$56,2,FALSE))</f>
        <v/>
      </c>
      <c r="Q15" s="490" t="str">
        <f t="shared" si="6"/>
        <v/>
      </c>
      <c r="R15" s="490" t="b">
        <f t="shared" si="0"/>
        <v>1</v>
      </c>
      <c r="S15" s="84">
        <v>1</v>
      </c>
    </row>
    <row r="16" spans="1:19">
      <c r="A16" s="582"/>
      <c r="B16" s="433"/>
      <c r="C16" s="406"/>
      <c r="D16" s="482"/>
      <c r="E16" s="328" t="str">
        <f t="shared" si="1"/>
        <v/>
      </c>
      <c r="F16" s="486" t="str">
        <f t="shared" si="2"/>
        <v/>
      </c>
      <c r="H16" s="490" t="str">
        <f t="shared" si="7"/>
        <v/>
      </c>
      <c r="I16" s="490" t="str">
        <f t="shared" si="8"/>
        <v/>
      </c>
      <c r="J16" s="490" t="str">
        <f>IF(I16="","",IF(I16="電気",非_電気事業者!$S$5*1000,IF(I16="熱",非_熱供給事業者!$T$4,"")))</f>
        <v/>
      </c>
      <c r="K16" s="490" t="str">
        <f>IF(C16="","",VLOOKUP(C16,非_単位補正換算!$B$3:$C$16,2,FALSE))</f>
        <v/>
      </c>
      <c r="L16" s="490" t="str">
        <f t="shared" si="9"/>
        <v/>
      </c>
      <c r="M16" s="490" t="str">
        <f t="shared" si="10"/>
        <v/>
      </c>
      <c r="N16" s="490" t="str">
        <f>IF(B16="","",VLOOKUP($B16,非_まとめ表行番号!$Q$3:$S$8,2,FALSE))</f>
        <v/>
      </c>
      <c r="O16" s="490" t="str">
        <f>IF(B16="","",VLOOKUP($B16,非_まとめ表行番号!$Q$3:$S$8,3,FALSE))</f>
        <v/>
      </c>
      <c r="P16" s="490" t="str">
        <f>IF(B16="","",VLOOKUP(N16,非_まとめ表行番号!$U$3:$V$56,2,FALSE))</f>
        <v/>
      </c>
      <c r="Q16" s="490" t="str">
        <f t="shared" si="6"/>
        <v/>
      </c>
      <c r="R16" s="490" t="b">
        <f t="shared" si="0"/>
        <v>1</v>
      </c>
      <c r="S16" s="84">
        <v>1</v>
      </c>
    </row>
    <row r="17" spans="1:19">
      <c r="A17" s="582"/>
      <c r="B17" s="433"/>
      <c r="C17" s="406"/>
      <c r="D17" s="482"/>
      <c r="E17" s="328" t="str">
        <f t="shared" si="1"/>
        <v/>
      </c>
      <c r="F17" s="486" t="str">
        <f t="shared" si="2"/>
        <v/>
      </c>
      <c r="H17" s="490" t="str">
        <f t="shared" si="7"/>
        <v/>
      </c>
      <c r="I17" s="490" t="str">
        <f t="shared" si="8"/>
        <v/>
      </c>
      <c r="J17" s="490" t="str">
        <f>IF(I17="","",IF(I17="電気",非_電気事業者!$S$5*1000,IF(I17="熱",非_熱供給事業者!$T$4,"")))</f>
        <v/>
      </c>
      <c r="K17" s="490" t="str">
        <f>IF(C17="","",VLOOKUP(C17,非_単位補正換算!$B$3:$C$16,2,FALSE))</f>
        <v/>
      </c>
      <c r="L17" s="490" t="str">
        <f t="shared" si="9"/>
        <v/>
      </c>
      <c r="M17" s="490" t="str">
        <f t="shared" si="10"/>
        <v/>
      </c>
      <c r="N17" s="490" t="str">
        <f>IF(B17="","",VLOOKUP($B17,非_まとめ表行番号!$Q$3:$S$8,2,FALSE))</f>
        <v/>
      </c>
      <c r="O17" s="490" t="str">
        <f>IF(B17="","",VLOOKUP($B17,非_まとめ表行番号!$Q$3:$S$8,3,FALSE))</f>
        <v/>
      </c>
      <c r="P17" s="490" t="str">
        <f>IF(B17="","",VLOOKUP(N17,非_まとめ表行番号!$U$3:$V$56,2,FALSE))</f>
        <v/>
      </c>
      <c r="Q17" s="490" t="str">
        <f t="shared" si="6"/>
        <v/>
      </c>
      <c r="R17" s="490" t="b">
        <f t="shared" si="0"/>
        <v>1</v>
      </c>
      <c r="S17" s="84">
        <v>1</v>
      </c>
    </row>
    <row r="18" spans="1:19">
      <c r="A18" s="582"/>
      <c r="B18" s="433"/>
      <c r="C18" s="406"/>
      <c r="D18" s="482"/>
      <c r="E18" s="328" t="str">
        <f t="shared" si="1"/>
        <v/>
      </c>
      <c r="F18" s="486" t="str">
        <f t="shared" si="2"/>
        <v/>
      </c>
      <c r="H18" s="490" t="str">
        <f t="shared" si="7"/>
        <v/>
      </c>
      <c r="I18" s="490" t="str">
        <f t="shared" si="8"/>
        <v/>
      </c>
      <c r="J18" s="490" t="str">
        <f>IF(I18="","",IF(I18="電気",非_電気事業者!$S$5*1000,IF(I18="熱",非_熱供給事業者!$T$4,"")))</f>
        <v/>
      </c>
      <c r="K18" s="490" t="str">
        <f>IF(C18="","",VLOOKUP(C18,非_単位補正換算!$B$3:$C$16,2,FALSE))</f>
        <v/>
      </c>
      <c r="L18" s="490" t="str">
        <f t="shared" si="9"/>
        <v/>
      </c>
      <c r="M18" s="490" t="str">
        <f t="shared" si="10"/>
        <v/>
      </c>
      <c r="N18" s="490" t="str">
        <f>IF(B18="","",VLOOKUP($B18,非_まとめ表行番号!$Q$3:$S$8,2,FALSE))</f>
        <v/>
      </c>
      <c r="O18" s="490" t="str">
        <f>IF(B18="","",VLOOKUP($B18,非_まとめ表行番号!$Q$3:$S$8,3,FALSE))</f>
        <v/>
      </c>
      <c r="P18" s="490" t="str">
        <f>IF(B18="","",VLOOKUP(N18,非_まとめ表行番号!$U$3:$V$56,2,FALSE))</f>
        <v/>
      </c>
      <c r="Q18" s="490" t="str">
        <f t="shared" si="6"/>
        <v/>
      </c>
      <c r="R18" s="490" t="b">
        <f t="shared" si="0"/>
        <v>1</v>
      </c>
      <c r="S18" s="606">
        <v>1</v>
      </c>
    </row>
    <row r="19" spans="1:19">
      <c r="A19" s="582"/>
      <c r="B19" s="433"/>
      <c r="C19" s="406"/>
      <c r="D19" s="482"/>
      <c r="E19" s="328" t="str">
        <f t="shared" si="1"/>
        <v/>
      </c>
      <c r="F19" s="486" t="str">
        <f t="shared" si="2"/>
        <v/>
      </c>
      <c r="H19" s="490" t="str">
        <f t="shared" si="7"/>
        <v/>
      </c>
      <c r="I19" s="490" t="str">
        <f t="shared" si="8"/>
        <v/>
      </c>
      <c r="J19" s="490" t="str">
        <f>IF(I19="","",IF(I19="電気",非_電気事業者!$S$5*1000,IF(I19="熱",非_熱供給事業者!$T$4,"")))</f>
        <v/>
      </c>
      <c r="K19" s="490" t="str">
        <f>IF(C19="","",VLOOKUP(C19,非_単位補正換算!$B$3:$C$16,2,FALSE))</f>
        <v/>
      </c>
      <c r="L19" s="490" t="str">
        <f t="shared" si="9"/>
        <v/>
      </c>
      <c r="M19" s="490" t="str">
        <f t="shared" si="10"/>
        <v/>
      </c>
      <c r="N19" s="490" t="str">
        <f>IF(B19="","",VLOOKUP($B19,非_まとめ表行番号!$Q$3:$S$8,2,FALSE))</f>
        <v/>
      </c>
      <c r="O19" s="490" t="str">
        <f>IF(B19="","",VLOOKUP($B19,非_まとめ表行番号!$Q$3:$S$8,3,FALSE))</f>
        <v/>
      </c>
      <c r="P19" s="490" t="str">
        <f>IF(B19="","",VLOOKUP(N19,非_まとめ表行番号!$U$3:$V$56,2,FALSE))</f>
        <v/>
      </c>
      <c r="Q19" s="490" t="str">
        <f t="shared" si="6"/>
        <v/>
      </c>
      <c r="R19" s="490" t="b">
        <f t="shared" si="0"/>
        <v>1</v>
      </c>
      <c r="S19" s="84">
        <v>1</v>
      </c>
    </row>
    <row r="20" spans="1:19">
      <c r="A20" s="582"/>
      <c r="B20" s="433"/>
      <c r="C20" s="406"/>
      <c r="D20" s="482"/>
      <c r="E20" s="328" t="str">
        <f t="shared" si="1"/>
        <v/>
      </c>
      <c r="F20" s="486" t="str">
        <f t="shared" si="2"/>
        <v/>
      </c>
      <c r="H20" s="490" t="str">
        <f t="shared" si="7"/>
        <v/>
      </c>
      <c r="I20" s="490" t="str">
        <f t="shared" si="8"/>
        <v/>
      </c>
      <c r="J20" s="490" t="str">
        <f>IF(I20="","",IF(I20="電気",非_電気事業者!$S$5*1000,IF(I20="熱",非_熱供給事業者!$T$4,"")))</f>
        <v/>
      </c>
      <c r="K20" s="490" t="str">
        <f>IF(C20="","",VLOOKUP(C20,非_単位補正換算!$B$3:$C$16,2,FALSE))</f>
        <v/>
      </c>
      <c r="L20" s="490" t="str">
        <f t="shared" si="9"/>
        <v/>
      </c>
      <c r="M20" s="490" t="str">
        <f t="shared" si="10"/>
        <v/>
      </c>
      <c r="N20" s="490" t="str">
        <f>IF(B20="","",VLOOKUP($B20,非_まとめ表行番号!$Q$3:$S$8,2,FALSE))</f>
        <v/>
      </c>
      <c r="O20" s="490" t="str">
        <f>IF(B20="","",VLOOKUP($B20,非_まとめ表行番号!$Q$3:$S$8,3,FALSE))</f>
        <v/>
      </c>
      <c r="P20" s="490" t="str">
        <f>IF(B20="","",VLOOKUP(N20,非_まとめ表行番号!$U$3:$V$56,2,FALSE))</f>
        <v/>
      </c>
      <c r="Q20" s="490" t="str">
        <f t="shared" si="6"/>
        <v/>
      </c>
      <c r="R20" s="490" t="b">
        <f t="shared" si="0"/>
        <v>1</v>
      </c>
      <c r="S20" s="84">
        <v>1</v>
      </c>
    </row>
    <row r="21" spans="1:19">
      <c r="A21" s="582"/>
      <c r="B21" s="433"/>
      <c r="C21" s="406"/>
      <c r="D21" s="482"/>
      <c r="E21" s="328" t="str">
        <f t="shared" si="1"/>
        <v/>
      </c>
      <c r="F21" s="486" t="str">
        <f t="shared" si="2"/>
        <v/>
      </c>
      <c r="H21" s="490" t="str">
        <f t="shared" si="7"/>
        <v/>
      </c>
      <c r="I21" s="490" t="str">
        <f t="shared" si="8"/>
        <v/>
      </c>
      <c r="J21" s="490" t="str">
        <f>IF(I21="","",IF(I21="電気",非_電気事業者!$S$5*1000,IF(I21="熱",非_熱供給事業者!$T$4,"")))</f>
        <v/>
      </c>
      <c r="K21" s="490" t="str">
        <f>IF(C21="","",VLOOKUP(C21,非_単位補正換算!$B$3:$C$16,2,FALSE))</f>
        <v/>
      </c>
      <c r="L21" s="490" t="str">
        <f t="shared" si="9"/>
        <v/>
      </c>
      <c r="M21" s="490" t="str">
        <f t="shared" si="10"/>
        <v/>
      </c>
      <c r="N21" s="490" t="str">
        <f>IF(B21="","",VLOOKUP($B21,非_まとめ表行番号!$Q$3:$S$8,2,FALSE))</f>
        <v/>
      </c>
      <c r="O21" s="490" t="str">
        <f>IF(B21="","",VLOOKUP($B21,非_まとめ表行番号!$Q$3:$S$8,3,FALSE))</f>
        <v/>
      </c>
      <c r="P21" s="490" t="str">
        <f>IF(B21="","",VLOOKUP(N21,非_まとめ表行番号!$U$3:$V$56,2,FALSE))</f>
        <v/>
      </c>
      <c r="Q21" s="490" t="str">
        <f t="shared" si="6"/>
        <v/>
      </c>
      <c r="R21" s="490" t="b">
        <f t="shared" si="0"/>
        <v>1</v>
      </c>
      <c r="S21" s="84">
        <v>1</v>
      </c>
    </row>
    <row r="22" spans="1:19">
      <c r="A22" s="582"/>
      <c r="B22" s="433"/>
      <c r="C22" s="406"/>
      <c r="D22" s="482"/>
      <c r="E22" s="328" t="str">
        <f t="shared" si="1"/>
        <v/>
      </c>
      <c r="F22" s="486" t="str">
        <f t="shared" si="2"/>
        <v/>
      </c>
      <c r="H22" s="490" t="str">
        <f t="shared" si="7"/>
        <v/>
      </c>
      <c r="I22" s="490" t="str">
        <f t="shared" si="8"/>
        <v/>
      </c>
      <c r="J22" s="490" t="str">
        <f>IF(I22="","",IF(I22="電気",非_電気事業者!$S$5*1000,IF(I22="熱",非_熱供給事業者!$T$4,"")))</f>
        <v/>
      </c>
      <c r="K22" s="490" t="str">
        <f>IF(C22="","",VLOOKUP(C22,非_単位補正換算!$B$3:$C$16,2,FALSE))</f>
        <v/>
      </c>
      <c r="L22" s="490" t="str">
        <f t="shared" si="9"/>
        <v/>
      </c>
      <c r="M22" s="490" t="str">
        <f t="shared" si="10"/>
        <v/>
      </c>
      <c r="N22" s="490" t="str">
        <f>IF(B22="","",VLOOKUP($B22,非_まとめ表行番号!$Q$3:$S$8,2,FALSE))</f>
        <v/>
      </c>
      <c r="O22" s="490" t="str">
        <f>IF(B22="","",VLOOKUP($B22,非_まとめ表行番号!$Q$3:$S$8,3,FALSE))</f>
        <v/>
      </c>
      <c r="P22" s="490" t="str">
        <f>IF(B22="","",VLOOKUP(N22,非_まとめ表行番号!$U$3:$V$56,2,FALSE))</f>
        <v/>
      </c>
      <c r="Q22" s="490" t="str">
        <f t="shared" si="6"/>
        <v/>
      </c>
      <c r="R22" s="490" t="b">
        <f t="shared" si="0"/>
        <v>1</v>
      </c>
      <c r="S22" s="84">
        <v>1</v>
      </c>
    </row>
    <row r="23" spans="1:19">
      <c r="A23" s="582"/>
      <c r="B23" s="433"/>
      <c r="C23" s="406"/>
      <c r="D23" s="482"/>
      <c r="E23" s="328" t="str">
        <f t="shared" si="1"/>
        <v/>
      </c>
      <c r="F23" s="486" t="str">
        <f t="shared" si="2"/>
        <v/>
      </c>
      <c r="H23" s="490" t="str">
        <f t="shared" si="7"/>
        <v/>
      </c>
      <c r="I23" s="490" t="str">
        <f t="shared" si="8"/>
        <v/>
      </c>
      <c r="J23" s="490" t="str">
        <f>IF(I23="","",IF(I23="電気",非_電気事業者!$S$5*1000,IF(I23="熱",非_熱供給事業者!$T$4,"")))</f>
        <v/>
      </c>
      <c r="K23" s="490" t="str">
        <f>IF(C23="","",VLOOKUP(C23,非_単位補正換算!$B$3:$C$16,2,FALSE))</f>
        <v/>
      </c>
      <c r="L23" s="490" t="str">
        <f t="shared" si="9"/>
        <v/>
      </c>
      <c r="M23" s="490" t="str">
        <f t="shared" si="10"/>
        <v/>
      </c>
      <c r="N23" s="490" t="str">
        <f>IF(B23="","",VLOOKUP($B23,非_まとめ表行番号!$Q$3:$S$8,2,FALSE))</f>
        <v/>
      </c>
      <c r="O23" s="490" t="str">
        <f>IF(B23="","",VLOOKUP($B23,非_まとめ表行番号!$Q$3:$S$8,3,FALSE))</f>
        <v/>
      </c>
      <c r="P23" s="490" t="str">
        <f>IF(B23="","",VLOOKUP(N23,非_まとめ表行番号!$U$3:$V$56,2,FALSE))</f>
        <v/>
      </c>
      <c r="Q23" s="490" t="str">
        <f t="shared" si="6"/>
        <v/>
      </c>
      <c r="R23" s="490" t="b">
        <f t="shared" si="0"/>
        <v>1</v>
      </c>
      <c r="S23" s="84">
        <v>1</v>
      </c>
    </row>
    <row r="24" spans="1:19">
      <c r="A24" s="582"/>
      <c r="B24" s="433"/>
      <c r="C24" s="406"/>
      <c r="D24" s="482"/>
      <c r="E24" s="328" t="str">
        <f t="shared" si="1"/>
        <v/>
      </c>
      <c r="F24" s="486" t="str">
        <f t="shared" si="2"/>
        <v/>
      </c>
      <c r="H24" s="490" t="str">
        <f t="shared" si="7"/>
        <v/>
      </c>
      <c r="I24" s="490" t="str">
        <f t="shared" si="8"/>
        <v/>
      </c>
      <c r="J24" s="490" t="str">
        <f>IF(I24="","",IF(I24="電気",非_電気事業者!$S$5*1000,IF(I24="熱",非_熱供給事業者!$T$4,"")))</f>
        <v/>
      </c>
      <c r="K24" s="490" t="str">
        <f>IF(C24="","",VLOOKUP(C24,非_単位補正換算!$B$3:$C$16,2,FALSE))</f>
        <v/>
      </c>
      <c r="L24" s="490" t="str">
        <f t="shared" si="9"/>
        <v/>
      </c>
      <c r="M24" s="490" t="str">
        <f t="shared" si="10"/>
        <v/>
      </c>
      <c r="N24" s="490" t="str">
        <f>IF(B24="","",VLOOKUP($B24,非_まとめ表行番号!$Q$3:$S$8,2,FALSE))</f>
        <v/>
      </c>
      <c r="O24" s="490" t="str">
        <f>IF(B24="","",VLOOKUP($B24,非_まとめ表行番号!$Q$3:$S$8,3,FALSE))</f>
        <v/>
      </c>
      <c r="P24" s="490" t="str">
        <f>IF(B24="","",VLOOKUP(N24,非_まとめ表行番号!$U$3:$V$56,2,FALSE))</f>
        <v/>
      </c>
      <c r="Q24" s="490" t="str">
        <f t="shared" si="6"/>
        <v/>
      </c>
      <c r="R24" s="490" t="b">
        <f t="shared" si="0"/>
        <v>1</v>
      </c>
      <c r="S24" s="606">
        <v>1</v>
      </c>
    </row>
    <row r="25" spans="1:19" ht="18" thickBot="1">
      <c r="A25" s="582"/>
      <c r="B25" s="605"/>
      <c r="C25" s="549"/>
      <c r="D25" s="600"/>
      <c r="E25" s="601" t="str">
        <f t="shared" si="1"/>
        <v/>
      </c>
      <c r="F25" s="602" t="str">
        <f t="shared" si="2"/>
        <v/>
      </c>
      <c r="H25" s="490" t="str">
        <f t="shared" si="7"/>
        <v/>
      </c>
      <c r="I25" s="490" t="str">
        <f t="shared" si="8"/>
        <v/>
      </c>
      <c r="J25" s="490" t="str">
        <f>IF(I25="","",IF(I25="電気",非_電気事業者!$S$5*1000,IF(I25="熱",非_熱供給事業者!$T$4,"")))</f>
        <v/>
      </c>
      <c r="K25" s="490" t="str">
        <f>IF(C25="","",VLOOKUP(C25,非_単位補正換算!$B$3:$C$16,2,FALSE))</f>
        <v/>
      </c>
      <c r="L25" s="490" t="str">
        <f t="shared" si="9"/>
        <v/>
      </c>
      <c r="M25" s="490" t="str">
        <f t="shared" si="10"/>
        <v/>
      </c>
      <c r="N25" s="490" t="str">
        <f>IF(B25="","",VLOOKUP($B25,非_まとめ表行番号!$Q$3:$S$8,2,FALSE))</f>
        <v/>
      </c>
      <c r="O25" s="490" t="str">
        <f>IF(B25="","",VLOOKUP($B25,非_まとめ表行番号!$Q$3:$S$8,3,FALSE))</f>
        <v/>
      </c>
      <c r="P25" s="490" t="str">
        <f>IF(B25="","",VLOOKUP(N25,非_まとめ表行番号!$U$3:$V$56,2,FALSE))</f>
        <v/>
      </c>
      <c r="Q25" s="490" t="str">
        <f t="shared" si="6"/>
        <v/>
      </c>
      <c r="R25" s="490" t="b">
        <f t="shared" si="0"/>
        <v>1</v>
      </c>
      <c r="S25" s="84">
        <v>1</v>
      </c>
    </row>
    <row r="26" spans="1:19" ht="18" thickTop="1">
      <c r="A26" s="583" t="s">
        <v>2053</v>
      </c>
      <c r="B26" s="603"/>
      <c r="C26" s="604"/>
      <c r="D26" s="481"/>
      <c r="E26" s="327" t="str">
        <f t="shared" si="1"/>
        <v/>
      </c>
      <c r="F26" s="597" t="str">
        <f t="shared" si="2"/>
        <v/>
      </c>
      <c r="H26" s="490" t="str">
        <f t="shared" si="7"/>
        <v/>
      </c>
      <c r="I26" s="490" t="str">
        <f t="shared" si="8"/>
        <v/>
      </c>
      <c r="J26" s="490" t="str">
        <f>IF(I26="","",IF(I26="電気",非_電気事業者!$S$5*1000,IF(I26="熱",非_熱供給事業者!$T$4,"")))</f>
        <v/>
      </c>
      <c r="K26" s="490" t="str">
        <f>IF(C26="","",VLOOKUP(C26,非_単位補正換算!$B$3:$C$16,2,FALSE))</f>
        <v/>
      </c>
      <c r="L26" s="490" t="str">
        <f t="shared" si="9"/>
        <v/>
      </c>
      <c r="M26" s="490" t="str">
        <f t="shared" si="10"/>
        <v/>
      </c>
      <c r="N26" s="490" t="str">
        <f>IF(B26="","",VLOOKUP($B26,非_まとめ表行番号!$Q$3:$S$8,2,FALSE))</f>
        <v/>
      </c>
      <c r="O26" s="490" t="str">
        <f>IF(B26="","",VLOOKUP($B26,非_まとめ表行番号!$Q$3:$S$8,3,FALSE))</f>
        <v/>
      </c>
      <c r="P26" s="490" t="str">
        <f>IF(B26="","",VLOOKUP(N26,非_まとめ表行番号!$U$3:$V$56,2,FALSE))</f>
        <v/>
      </c>
      <c r="Q26" s="490" t="str">
        <f t="shared" si="6"/>
        <v/>
      </c>
      <c r="R26" s="490" t="b">
        <f t="shared" si="0"/>
        <v>1</v>
      </c>
      <c r="S26" s="84">
        <v>2</v>
      </c>
    </row>
    <row r="27" spans="1:19">
      <c r="A27" s="584"/>
      <c r="B27" s="589"/>
      <c r="C27" s="590"/>
      <c r="D27" s="482"/>
      <c r="E27" s="328" t="str">
        <f t="shared" si="1"/>
        <v/>
      </c>
      <c r="F27" s="486" t="str">
        <f t="shared" si="2"/>
        <v/>
      </c>
      <c r="H27" s="490" t="str">
        <f t="shared" si="7"/>
        <v/>
      </c>
      <c r="I27" s="490" t="str">
        <f t="shared" si="8"/>
        <v/>
      </c>
      <c r="J27" s="490" t="str">
        <f>IF(I27="","",IF(I27="電気",非_電気事業者!$S$5*1000,IF(I27="熱",非_熱供給事業者!$T$4,"")))</f>
        <v/>
      </c>
      <c r="K27" s="490" t="str">
        <f>IF(C27="","",VLOOKUP(C27,非_単位補正換算!$B$3:$C$16,2,FALSE))</f>
        <v/>
      </c>
      <c r="L27" s="490" t="str">
        <f t="shared" si="9"/>
        <v/>
      </c>
      <c r="M27" s="490" t="str">
        <f t="shared" si="10"/>
        <v/>
      </c>
      <c r="N27" s="490" t="str">
        <f>IF(B27="","",VLOOKUP($B27,非_まとめ表行番号!$Q$3:$S$8,2,FALSE))</f>
        <v/>
      </c>
      <c r="O27" s="490" t="str">
        <f>IF(B27="","",VLOOKUP($B27,非_まとめ表行番号!$Q$3:$S$8,3,FALSE))</f>
        <v/>
      </c>
      <c r="P27" s="490" t="str">
        <f>IF(B27="","",VLOOKUP(N27,非_まとめ表行番号!$U$3:$V$56,2,FALSE))</f>
        <v/>
      </c>
      <c r="Q27" s="490" t="str">
        <f t="shared" si="6"/>
        <v/>
      </c>
      <c r="R27" s="490" t="b">
        <f t="shared" si="0"/>
        <v>1</v>
      </c>
      <c r="S27" s="84">
        <v>2</v>
      </c>
    </row>
    <row r="28" spans="1:19">
      <c r="A28" s="584"/>
      <c r="B28" s="589"/>
      <c r="C28" s="590"/>
      <c r="D28" s="482"/>
      <c r="E28" s="328" t="str">
        <f t="shared" si="1"/>
        <v/>
      </c>
      <c r="F28" s="486" t="str">
        <f t="shared" si="2"/>
        <v/>
      </c>
      <c r="H28" s="490" t="str">
        <f t="shared" si="7"/>
        <v/>
      </c>
      <c r="I28" s="490" t="str">
        <f t="shared" si="8"/>
        <v/>
      </c>
      <c r="J28" s="490" t="str">
        <f>IF(I28="","",IF(I28="電気",非_電気事業者!$S$5*1000,IF(I28="熱",非_熱供給事業者!$T$4,"")))</f>
        <v/>
      </c>
      <c r="K28" s="490" t="str">
        <f>IF(C28="","",VLOOKUP(C28,非_単位補正換算!$B$3:$C$16,2,FALSE))</f>
        <v/>
      </c>
      <c r="L28" s="490" t="str">
        <f t="shared" si="9"/>
        <v/>
      </c>
      <c r="M28" s="490" t="str">
        <f t="shared" si="10"/>
        <v/>
      </c>
      <c r="N28" s="490" t="str">
        <f>IF(B28="","",VLOOKUP($B28,非_まとめ表行番号!$Q$3:$S$8,2,FALSE))</f>
        <v/>
      </c>
      <c r="O28" s="490" t="str">
        <f>IF(B28="","",VLOOKUP($B28,非_まとめ表行番号!$Q$3:$S$8,3,FALSE))</f>
        <v/>
      </c>
      <c r="P28" s="490" t="str">
        <f>IF(B28="","",VLOOKUP(N28,非_まとめ表行番号!$U$3:$V$56,2,FALSE))</f>
        <v/>
      </c>
      <c r="Q28" s="490" t="str">
        <f t="shared" si="6"/>
        <v/>
      </c>
      <c r="R28" s="490" t="b">
        <f t="shared" si="0"/>
        <v>1</v>
      </c>
      <c r="S28" s="84">
        <v>2</v>
      </c>
    </row>
    <row r="29" spans="1:19">
      <c r="A29" s="584"/>
      <c r="B29" s="589"/>
      <c r="C29" s="590"/>
      <c r="D29" s="482"/>
      <c r="E29" s="328" t="str">
        <f t="shared" si="1"/>
        <v/>
      </c>
      <c r="F29" s="486" t="str">
        <f t="shared" si="2"/>
        <v/>
      </c>
      <c r="H29" s="490" t="str">
        <f t="shared" si="7"/>
        <v/>
      </c>
      <c r="I29" s="490" t="str">
        <f t="shared" si="8"/>
        <v/>
      </c>
      <c r="J29" s="490" t="str">
        <f>IF(I29="","",IF(I29="電気",非_電気事業者!$S$5*1000,IF(I29="熱",非_熱供給事業者!$T$4,"")))</f>
        <v/>
      </c>
      <c r="K29" s="490" t="str">
        <f>IF(C29="","",VLOOKUP(C29,非_単位補正換算!$B$3:$C$16,2,FALSE))</f>
        <v/>
      </c>
      <c r="L29" s="490" t="str">
        <f t="shared" si="9"/>
        <v/>
      </c>
      <c r="M29" s="490" t="str">
        <f t="shared" si="10"/>
        <v/>
      </c>
      <c r="N29" s="490" t="str">
        <f>IF(B29="","",VLOOKUP($B29,非_まとめ表行番号!$Q$3:$S$8,2,FALSE))</f>
        <v/>
      </c>
      <c r="O29" s="490" t="str">
        <f>IF(B29="","",VLOOKUP($B29,非_まとめ表行番号!$Q$3:$S$8,3,FALSE))</f>
        <v/>
      </c>
      <c r="P29" s="490" t="str">
        <f>IF(B29="","",VLOOKUP(N29,非_まとめ表行番号!$U$3:$V$56,2,FALSE))</f>
        <v/>
      </c>
      <c r="Q29" s="490" t="str">
        <f t="shared" si="6"/>
        <v/>
      </c>
      <c r="R29" s="490" t="b">
        <f t="shared" si="0"/>
        <v>1</v>
      </c>
      <c r="S29" s="84">
        <v>2</v>
      </c>
    </row>
    <row r="30" spans="1:19">
      <c r="A30" s="584"/>
      <c r="B30" s="589"/>
      <c r="C30" s="590"/>
      <c r="D30" s="482"/>
      <c r="E30" s="328" t="str">
        <f t="shared" si="1"/>
        <v/>
      </c>
      <c r="F30" s="486" t="str">
        <f t="shared" si="2"/>
        <v/>
      </c>
      <c r="H30" s="490" t="str">
        <f t="shared" si="7"/>
        <v/>
      </c>
      <c r="I30" s="490" t="str">
        <f t="shared" si="8"/>
        <v/>
      </c>
      <c r="J30" s="490" t="str">
        <f>IF(I30="","",IF(I30="電気",非_電気事業者!$S$5*1000,IF(I30="熱",非_熱供給事業者!$T$4,"")))</f>
        <v/>
      </c>
      <c r="K30" s="490" t="str">
        <f>IF(C30="","",VLOOKUP(C30,非_単位補正換算!$B$3:$C$16,2,FALSE))</f>
        <v/>
      </c>
      <c r="L30" s="490" t="str">
        <f t="shared" si="9"/>
        <v/>
      </c>
      <c r="M30" s="490" t="str">
        <f t="shared" si="10"/>
        <v/>
      </c>
      <c r="N30" s="490" t="str">
        <f>IF(B30="","",VLOOKUP($B30,非_まとめ表行番号!$Q$3:$S$8,2,FALSE))</f>
        <v/>
      </c>
      <c r="O30" s="490" t="str">
        <f>IF(B30="","",VLOOKUP($B30,非_まとめ表行番号!$Q$3:$S$8,3,FALSE))</f>
        <v/>
      </c>
      <c r="P30" s="490" t="str">
        <f>IF(B30="","",VLOOKUP(N30,非_まとめ表行番号!$U$3:$V$56,2,FALSE))</f>
        <v/>
      </c>
      <c r="Q30" s="490" t="str">
        <f t="shared" si="6"/>
        <v/>
      </c>
      <c r="R30" s="490" t="b">
        <f t="shared" si="0"/>
        <v>1</v>
      </c>
      <c r="S30" s="84">
        <v>2</v>
      </c>
    </row>
    <row r="31" spans="1:19">
      <c r="A31" s="584"/>
      <c r="B31" s="589"/>
      <c r="C31" s="590"/>
      <c r="D31" s="482"/>
      <c r="E31" s="328" t="str">
        <f t="shared" si="1"/>
        <v/>
      </c>
      <c r="F31" s="486" t="str">
        <f t="shared" si="2"/>
        <v/>
      </c>
      <c r="H31" s="490" t="str">
        <f t="shared" si="7"/>
        <v/>
      </c>
      <c r="I31" s="490" t="str">
        <f t="shared" si="8"/>
        <v/>
      </c>
      <c r="J31" s="490" t="str">
        <f>IF(I31="","",IF(I31="電気",非_電気事業者!$S$5*1000,IF(I31="熱",非_熱供給事業者!$T$4,"")))</f>
        <v/>
      </c>
      <c r="K31" s="490" t="str">
        <f>IF(C31="","",VLOOKUP(C31,非_単位補正換算!$B$3:$C$16,2,FALSE))</f>
        <v/>
      </c>
      <c r="L31" s="490" t="str">
        <f t="shared" si="9"/>
        <v/>
      </c>
      <c r="M31" s="490" t="str">
        <f t="shared" si="10"/>
        <v/>
      </c>
      <c r="N31" s="490" t="str">
        <f>IF(B31="","",VLOOKUP($B31,非_まとめ表行番号!$Q$3:$S$8,2,FALSE))</f>
        <v/>
      </c>
      <c r="O31" s="490" t="str">
        <f>IF(B31="","",VLOOKUP($B31,非_まとめ表行番号!$Q$3:$S$8,3,FALSE))</f>
        <v/>
      </c>
      <c r="P31" s="490" t="str">
        <f>IF(B31="","",VLOOKUP(N31,非_まとめ表行番号!$U$3:$V$56,2,FALSE))</f>
        <v/>
      </c>
      <c r="Q31" s="490" t="str">
        <f t="shared" si="6"/>
        <v/>
      </c>
      <c r="R31" s="490" t="b">
        <f t="shared" si="0"/>
        <v>1</v>
      </c>
      <c r="S31" s="84">
        <v>2</v>
      </c>
    </row>
    <row r="32" spans="1:19">
      <c r="A32" s="584"/>
      <c r="B32" s="589"/>
      <c r="C32" s="590"/>
      <c r="D32" s="482"/>
      <c r="E32" s="328" t="str">
        <f t="shared" si="1"/>
        <v/>
      </c>
      <c r="F32" s="486" t="str">
        <f t="shared" si="2"/>
        <v/>
      </c>
      <c r="H32" s="490" t="str">
        <f t="shared" si="7"/>
        <v/>
      </c>
      <c r="I32" s="490" t="str">
        <f t="shared" si="8"/>
        <v/>
      </c>
      <c r="J32" s="490" t="str">
        <f>IF(I32="","",IF(I32="電気",非_電気事業者!$S$5*1000,IF(I32="熱",非_熱供給事業者!$T$4,"")))</f>
        <v/>
      </c>
      <c r="K32" s="490" t="str">
        <f>IF(C32="","",VLOOKUP(C32,非_単位補正換算!$B$3:$C$16,2,FALSE))</f>
        <v/>
      </c>
      <c r="L32" s="490" t="str">
        <f t="shared" si="9"/>
        <v/>
      </c>
      <c r="M32" s="490" t="str">
        <f t="shared" si="10"/>
        <v/>
      </c>
      <c r="N32" s="490" t="str">
        <f>IF(B32="","",VLOOKUP($B32,非_まとめ表行番号!$Q$3:$S$8,2,FALSE))</f>
        <v/>
      </c>
      <c r="O32" s="490" t="str">
        <f>IF(B32="","",VLOOKUP($B32,非_まとめ表行番号!$Q$3:$S$8,3,FALSE))</f>
        <v/>
      </c>
      <c r="P32" s="490" t="str">
        <f>IF(B32="","",VLOOKUP(N32,非_まとめ表行番号!$U$3:$V$56,2,FALSE))</f>
        <v/>
      </c>
      <c r="Q32" s="490" t="str">
        <f t="shared" si="6"/>
        <v/>
      </c>
      <c r="R32" s="490" t="b">
        <f t="shared" si="0"/>
        <v>1</v>
      </c>
      <c r="S32" s="84">
        <v>2</v>
      </c>
    </row>
    <row r="33" spans="1:19">
      <c r="A33" s="584"/>
      <c r="B33" s="589"/>
      <c r="C33" s="590"/>
      <c r="D33" s="482"/>
      <c r="E33" s="328" t="str">
        <f t="shared" si="1"/>
        <v/>
      </c>
      <c r="F33" s="486" t="str">
        <f t="shared" si="2"/>
        <v/>
      </c>
      <c r="H33" s="490" t="str">
        <f t="shared" si="7"/>
        <v/>
      </c>
      <c r="I33" s="490" t="str">
        <f t="shared" si="8"/>
        <v/>
      </c>
      <c r="J33" s="490" t="str">
        <f>IF(I33="","",IF(I33="電気",非_電気事業者!$S$5*1000,IF(I33="熱",非_熱供給事業者!$T$4,"")))</f>
        <v/>
      </c>
      <c r="K33" s="490" t="str">
        <f>IF(C33="","",VLOOKUP(C33,非_単位補正換算!$B$3:$C$16,2,FALSE))</f>
        <v/>
      </c>
      <c r="L33" s="490" t="str">
        <f t="shared" si="9"/>
        <v/>
      </c>
      <c r="M33" s="490" t="str">
        <f t="shared" si="10"/>
        <v/>
      </c>
      <c r="N33" s="490" t="str">
        <f>IF(B33="","",VLOOKUP($B33,非_まとめ表行番号!$Q$3:$S$8,2,FALSE))</f>
        <v/>
      </c>
      <c r="O33" s="490" t="str">
        <f>IF(B33="","",VLOOKUP($B33,非_まとめ表行番号!$Q$3:$S$8,3,FALSE))</f>
        <v/>
      </c>
      <c r="P33" s="490" t="str">
        <f>IF(B33="","",VLOOKUP(N33,非_まとめ表行番号!$U$3:$V$56,2,FALSE))</f>
        <v/>
      </c>
      <c r="Q33" s="490" t="str">
        <f t="shared" si="6"/>
        <v/>
      </c>
      <c r="R33" s="490" t="b">
        <f t="shared" si="0"/>
        <v>1</v>
      </c>
      <c r="S33" s="84">
        <v>2</v>
      </c>
    </row>
    <row r="34" spans="1:19">
      <c r="A34" s="584"/>
      <c r="B34" s="589"/>
      <c r="C34" s="590"/>
      <c r="D34" s="482"/>
      <c r="E34" s="328" t="str">
        <f t="shared" si="1"/>
        <v/>
      </c>
      <c r="F34" s="486" t="str">
        <f t="shared" si="2"/>
        <v/>
      </c>
      <c r="H34" s="490" t="str">
        <f t="shared" si="7"/>
        <v/>
      </c>
      <c r="I34" s="490" t="str">
        <f t="shared" si="8"/>
        <v/>
      </c>
      <c r="J34" s="490" t="str">
        <f>IF(I34="","",IF(I34="電気",非_電気事業者!$S$5*1000,IF(I34="熱",非_熱供給事業者!$T$4,"")))</f>
        <v/>
      </c>
      <c r="K34" s="490" t="str">
        <f>IF(C34="","",VLOOKUP(C34,非_単位補正換算!$B$3:$C$16,2,FALSE))</f>
        <v/>
      </c>
      <c r="L34" s="490" t="str">
        <f t="shared" si="9"/>
        <v/>
      </c>
      <c r="M34" s="490" t="str">
        <f t="shared" si="10"/>
        <v/>
      </c>
      <c r="N34" s="490" t="str">
        <f>IF(B34="","",VLOOKUP($B34,非_まとめ表行番号!$Q$3:$S$8,2,FALSE))</f>
        <v/>
      </c>
      <c r="O34" s="490" t="str">
        <f>IF(B34="","",VLOOKUP($B34,非_まとめ表行番号!$Q$3:$S$8,3,FALSE))</f>
        <v/>
      </c>
      <c r="P34" s="490" t="str">
        <f>IF(B34="","",VLOOKUP(N34,非_まとめ表行番号!$U$3:$V$56,2,FALSE))</f>
        <v/>
      </c>
      <c r="Q34" s="490" t="str">
        <f t="shared" si="6"/>
        <v/>
      </c>
      <c r="R34" s="490" t="b">
        <f t="shared" si="0"/>
        <v>1</v>
      </c>
      <c r="S34" s="84">
        <v>2</v>
      </c>
    </row>
    <row r="35" spans="1:19">
      <c r="A35" s="584"/>
      <c r="B35" s="589"/>
      <c r="C35" s="590"/>
      <c r="D35" s="482"/>
      <c r="E35" s="328" t="str">
        <f t="shared" si="1"/>
        <v/>
      </c>
      <c r="F35" s="486" t="str">
        <f t="shared" si="2"/>
        <v/>
      </c>
      <c r="H35" s="490" t="str">
        <f t="shared" si="7"/>
        <v/>
      </c>
      <c r="I35" s="490" t="str">
        <f t="shared" si="8"/>
        <v/>
      </c>
      <c r="J35" s="490" t="str">
        <f>IF(I35="","",IF(I35="電気",非_電気事業者!$S$5*1000,IF(I35="熱",非_熱供給事業者!$T$4,"")))</f>
        <v/>
      </c>
      <c r="K35" s="490" t="str">
        <f>IF(C35="","",VLOOKUP(C35,非_単位補正換算!$B$3:$C$16,2,FALSE))</f>
        <v/>
      </c>
      <c r="L35" s="490" t="str">
        <f t="shared" si="9"/>
        <v/>
      </c>
      <c r="M35" s="490" t="str">
        <f t="shared" si="10"/>
        <v/>
      </c>
      <c r="N35" s="490" t="str">
        <f>IF(B35="","",VLOOKUP($B35,非_まとめ表行番号!$Q$3:$S$8,2,FALSE))</f>
        <v/>
      </c>
      <c r="O35" s="490" t="str">
        <f>IF(B35="","",VLOOKUP($B35,非_まとめ表行番号!$Q$3:$S$8,3,FALSE))</f>
        <v/>
      </c>
      <c r="P35" s="490" t="str">
        <f>IF(B35="","",VLOOKUP(N35,非_まとめ表行番号!$U$3:$V$56,2,FALSE))</f>
        <v/>
      </c>
      <c r="Q35" s="490" t="str">
        <f t="shared" si="6"/>
        <v/>
      </c>
      <c r="R35" s="490" t="b">
        <f t="shared" si="0"/>
        <v>1</v>
      </c>
      <c r="S35" s="84">
        <v>2</v>
      </c>
    </row>
    <row r="36" spans="1:19">
      <c r="A36" s="584"/>
      <c r="B36" s="589"/>
      <c r="C36" s="590"/>
      <c r="D36" s="482"/>
      <c r="E36" s="328" t="str">
        <f t="shared" si="1"/>
        <v/>
      </c>
      <c r="F36" s="486" t="str">
        <f t="shared" si="2"/>
        <v/>
      </c>
      <c r="H36" s="490" t="str">
        <f t="shared" si="7"/>
        <v/>
      </c>
      <c r="I36" s="490" t="str">
        <f t="shared" si="8"/>
        <v/>
      </c>
      <c r="J36" s="490" t="str">
        <f>IF(I36="","",IF(I36="電気",非_電気事業者!$S$5*1000,IF(I36="熱",非_熱供給事業者!$T$4,"")))</f>
        <v/>
      </c>
      <c r="K36" s="490" t="str">
        <f>IF(C36="","",VLOOKUP(C36,非_単位補正換算!$B$3:$C$16,2,FALSE))</f>
        <v/>
      </c>
      <c r="L36" s="490" t="str">
        <f t="shared" si="9"/>
        <v/>
      </c>
      <c r="M36" s="490" t="str">
        <f t="shared" si="10"/>
        <v/>
      </c>
      <c r="N36" s="490" t="str">
        <f>IF(B36="","",VLOOKUP($B36,非_まとめ表行番号!$Q$3:$S$8,2,FALSE))</f>
        <v/>
      </c>
      <c r="O36" s="490" t="str">
        <f>IF(B36="","",VLOOKUP($B36,非_まとめ表行番号!$Q$3:$S$8,3,FALSE))</f>
        <v/>
      </c>
      <c r="P36" s="490" t="str">
        <f>IF(B36="","",VLOOKUP(N36,非_まとめ表行番号!$U$3:$V$56,2,FALSE))</f>
        <v/>
      </c>
      <c r="Q36" s="490" t="str">
        <f t="shared" si="6"/>
        <v/>
      </c>
      <c r="R36" s="490" t="b">
        <f t="shared" si="0"/>
        <v>1</v>
      </c>
      <c r="S36" s="84">
        <v>2</v>
      </c>
    </row>
    <row r="37" spans="1:19">
      <c r="A37" s="584"/>
      <c r="B37" s="589"/>
      <c r="C37" s="590"/>
      <c r="D37" s="482"/>
      <c r="E37" s="328" t="str">
        <f t="shared" si="1"/>
        <v/>
      </c>
      <c r="F37" s="486" t="str">
        <f t="shared" si="2"/>
        <v/>
      </c>
      <c r="H37" s="490" t="str">
        <f t="shared" si="7"/>
        <v/>
      </c>
      <c r="I37" s="490" t="str">
        <f t="shared" si="8"/>
        <v/>
      </c>
      <c r="J37" s="490" t="str">
        <f>IF(I37="","",IF(I37="電気",非_電気事業者!$S$5*1000,IF(I37="熱",非_熱供給事業者!$T$4,"")))</f>
        <v/>
      </c>
      <c r="K37" s="490" t="str">
        <f>IF(C37="","",VLOOKUP(C37,非_単位補正換算!$B$3:$C$16,2,FALSE))</f>
        <v/>
      </c>
      <c r="L37" s="490" t="str">
        <f t="shared" si="9"/>
        <v/>
      </c>
      <c r="M37" s="490" t="str">
        <f t="shared" si="10"/>
        <v/>
      </c>
      <c r="N37" s="490" t="str">
        <f>IF(B37="","",VLOOKUP($B37,非_まとめ表行番号!$Q$3:$S$8,2,FALSE))</f>
        <v/>
      </c>
      <c r="O37" s="490" t="str">
        <f>IF(B37="","",VLOOKUP($B37,非_まとめ表行番号!$Q$3:$S$8,3,FALSE))</f>
        <v/>
      </c>
      <c r="P37" s="490" t="str">
        <f>IF(B37="","",VLOOKUP(N37,非_まとめ表行番号!$U$3:$V$56,2,FALSE))</f>
        <v/>
      </c>
      <c r="Q37" s="490" t="str">
        <f t="shared" si="6"/>
        <v/>
      </c>
      <c r="R37" s="490" t="b">
        <f t="shared" si="0"/>
        <v>1</v>
      </c>
      <c r="S37" s="84">
        <v>2</v>
      </c>
    </row>
    <row r="38" spans="1:19">
      <c r="A38" s="584"/>
      <c r="B38" s="589"/>
      <c r="C38" s="590"/>
      <c r="D38" s="482"/>
      <c r="E38" s="328" t="str">
        <f t="shared" si="1"/>
        <v/>
      </c>
      <c r="F38" s="486" t="str">
        <f t="shared" si="2"/>
        <v/>
      </c>
      <c r="H38" s="490" t="str">
        <f t="shared" si="7"/>
        <v/>
      </c>
      <c r="I38" s="490" t="str">
        <f t="shared" si="8"/>
        <v/>
      </c>
      <c r="J38" s="490" t="str">
        <f>IF(I38="","",IF(I38="電気",非_電気事業者!$S$5*1000,IF(I38="熱",非_熱供給事業者!$T$4,"")))</f>
        <v/>
      </c>
      <c r="K38" s="490" t="str">
        <f>IF(C38="","",VLOOKUP(C38,非_単位補正換算!$B$3:$C$16,2,FALSE))</f>
        <v/>
      </c>
      <c r="L38" s="490" t="str">
        <f t="shared" si="9"/>
        <v/>
      </c>
      <c r="M38" s="490" t="str">
        <f t="shared" si="10"/>
        <v/>
      </c>
      <c r="N38" s="490" t="str">
        <f>IF(B38="","",VLOOKUP($B38,非_まとめ表行番号!$Q$3:$S$8,2,FALSE))</f>
        <v/>
      </c>
      <c r="O38" s="490" t="str">
        <f>IF(B38="","",VLOOKUP($B38,非_まとめ表行番号!$Q$3:$S$8,3,FALSE))</f>
        <v/>
      </c>
      <c r="P38" s="490" t="str">
        <f>IF(B38="","",VLOOKUP(N38,非_まとめ表行番号!$U$3:$V$56,2,FALSE))</f>
        <v/>
      </c>
      <c r="Q38" s="490" t="str">
        <f t="shared" si="6"/>
        <v/>
      </c>
      <c r="R38" s="490" t="b">
        <f t="shared" ref="R38:R58" si="11">_xlfn.ISFORMULA(F38)</f>
        <v>1</v>
      </c>
      <c r="S38" s="84">
        <v>2</v>
      </c>
    </row>
    <row r="39" spans="1:19">
      <c r="A39" s="584"/>
      <c r="B39" s="589"/>
      <c r="C39" s="590"/>
      <c r="D39" s="482"/>
      <c r="E39" s="328" t="str">
        <f t="shared" si="1"/>
        <v/>
      </c>
      <c r="F39" s="486" t="str">
        <f t="shared" si="2"/>
        <v/>
      </c>
      <c r="H39" s="490" t="str">
        <f t="shared" si="7"/>
        <v/>
      </c>
      <c r="I39" s="490" t="str">
        <f t="shared" si="8"/>
        <v/>
      </c>
      <c r="J39" s="490" t="str">
        <f>IF(I39="","",IF(I39="電気",非_電気事業者!$S$5*1000,IF(I39="熱",非_熱供給事業者!$T$4,"")))</f>
        <v/>
      </c>
      <c r="K39" s="490" t="str">
        <f>IF(C39="","",VLOOKUP(C39,非_単位補正換算!$B$3:$C$16,2,FALSE))</f>
        <v/>
      </c>
      <c r="L39" s="490" t="str">
        <f t="shared" si="9"/>
        <v/>
      </c>
      <c r="M39" s="490" t="str">
        <f t="shared" si="10"/>
        <v/>
      </c>
      <c r="N39" s="490" t="str">
        <f>IF(B39="","",VLOOKUP($B39,非_まとめ表行番号!$Q$3:$S$8,2,FALSE))</f>
        <v/>
      </c>
      <c r="O39" s="490" t="str">
        <f>IF(B39="","",VLOOKUP($B39,非_まとめ表行番号!$Q$3:$S$8,3,FALSE))</f>
        <v/>
      </c>
      <c r="P39" s="490" t="str">
        <f>IF(B39="","",VLOOKUP(N39,非_まとめ表行番号!$U$3:$V$56,2,FALSE))</f>
        <v/>
      </c>
      <c r="Q39" s="490" t="str">
        <f t="shared" si="6"/>
        <v/>
      </c>
      <c r="R39" s="490" t="b">
        <f t="shared" si="11"/>
        <v>1</v>
      </c>
      <c r="S39" s="84">
        <v>2</v>
      </c>
    </row>
    <row r="40" spans="1:19">
      <c r="A40" s="584"/>
      <c r="B40" s="589"/>
      <c r="C40" s="590"/>
      <c r="D40" s="482"/>
      <c r="E40" s="328" t="str">
        <f t="shared" si="1"/>
        <v/>
      </c>
      <c r="F40" s="486" t="str">
        <f t="shared" si="2"/>
        <v/>
      </c>
      <c r="H40" s="490" t="str">
        <f t="shared" si="7"/>
        <v/>
      </c>
      <c r="I40" s="490" t="str">
        <f t="shared" si="8"/>
        <v/>
      </c>
      <c r="J40" s="490" t="str">
        <f>IF(I40="","",IF(I40="電気",非_電気事業者!$S$5*1000,IF(I40="熱",非_熱供給事業者!$T$4,"")))</f>
        <v/>
      </c>
      <c r="K40" s="490" t="str">
        <f>IF(C40="","",VLOOKUP(C40,非_単位補正換算!$B$3:$C$16,2,FALSE))</f>
        <v/>
      </c>
      <c r="L40" s="490" t="str">
        <f t="shared" si="9"/>
        <v/>
      </c>
      <c r="M40" s="490" t="str">
        <f t="shared" si="10"/>
        <v/>
      </c>
      <c r="N40" s="490" t="str">
        <f>IF(B40="","",VLOOKUP($B40,非_まとめ表行番号!$Q$3:$S$8,2,FALSE))</f>
        <v/>
      </c>
      <c r="O40" s="490" t="str">
        <f>IF(B40="","",VLOOKUP($B40,非_まとめ表行番号!$Q$3:$S$8,3,FALSE))</f>
        <v/>
      </c>
      <c r="P40" s="490" t="str">
        <f>IF(B40="","",VLOOKUP(N40,非_まとめ表行番号!$U$3:$V$56,2,FALSE))</f>
        <v/>
      </c>
      <c r="Q40" s="490" t="str">
        <f t="shared" si="6"/>
        <v/>
      </c>
      <c r="R40" s="490" t="b">
        <f t="shared" si="11"/>
        <v>1</v>
      </c>
      <c r="S40" s="84">
        <v>2</v>
      </c>
    </row>
    <row r="41" spans="1:19">
      <c r="A41" s="584"/>
      <c r="B41" s="589"/>
      <c r="C41" s="590"/>
      <c r="D41" s="482"/>
      <c r="E41" s="328" t="str">
        <f t="shared" si="1"/>
        <v/>
      </c>
      <c r="F41" s="486" t="str">
        <f t="shared" si="2"/>
        <v/>
      </c>
      <c r="H41" s="490" t="str">
        <f t="shared" si="7"/>
        <v/>
      </c>
      <c r="I41" s="490" t="str">
        <f t="shared" si="8"/>
        <v/>
      </c>
      <c r="J41" s="490" t="str">
        <f>IF(I41="","",IF(I41="電気",非_電気事業者!$S$5*1000,IF(I41="熱",非_熱供給事業者!$T$4,"")))</f>
        <v/>
      </c>
      <c r="K41" s="490" t="str">
        <f>IF(C41="","",VLOOKUP(C41,非_単位補正換算!$B$3:$C$16,2,FALSE))</f>
        <v/>
      </c>
      <c r="L41" s="490" t="str">
        <f t="shared" si="9"/>
        <v/>
      </c>
      <c r="M41" s="490" t="str">
        <f t="shared" si="10"/>
        <v/>
      </c>
      <c r="N41" s="490" t="str">
        <f>IF(B41="","",VLOOKUP($B41,非_まとめ表行番号!$Q$3:$S$8,2,FALSE))</f>
        <v/>
      </c>
      <c r="O41" s="490" t="str">
        <f>IF(B41="","",VLOOKUP($B41,非_まとめ表行番号!$Q$3:$S$8,3,FALSE))</f>
        <v/>
      </c>
      <c r="P41" s="490" t="str">
        <f>IF(B41="","",VLOOKUP(N41,非_まとめ表行番号!$U$3:$V$56,2,FALSE))</f>
        <v/>
      </c>
      <c r="Q41" s="490" t="str">
        <f t="shared" si="6"/>
        <v/>
      </c>
      <c r="R41" s="490" t="b">
        <f t="shared" si="11"/>
        <v>1</v>
      </c>
      <c r="S41" s="84">
        <v>2</v>
      </c>
    </row>
    <row r="42" spans="1:19">
      <c r="A42" s="584"/>
      <c r="B42" s="589"/>
      <c r="C42" s="590"/>
      <c r="D42" s="482"/>
      <c r="E42" s="328" t="str">
        <f t="shared" si="1"/>
        <v/>
      </c>
      <c r="F42" s="486" t="str">
        <f t="shared" si="2"/>
        <v/>
      </c>
      <c r="H42" s="490" t="str">
        <f t="shared" si="7"/>
        <v/>
      </c>
      <c r="I42" s="490" t="str">
        <f t="shared" si="8"/>
        <v/>
      </c>
      <c r="J42" s="490" t="str">
        <f>IF(I42="","",IF(I42="電気",非_電気事業者!$S$5*1000,IF(I42="熱",非_熱供給事業者!$T$4,"")))</f>
        <v/>
      </c>
      <c r="K42" s="490" t="str">
        <f>IF(C42="","",VLOOKUP(C42,非_単位補正換算!$B$3:$C$16,2,FALSE))</f>
        <v/>
      </c>
      <c r="L42" s="490" t="str">
        <f t="shared" si="9"/>
        <v/>
      </c>
      <c r="M42" s="490" t="str">
        <f t="shared" si="10"/>
        <v/>
      </c>
      <c r="N42" s="490" t="str">
        <f>IF(B42="","",VLOOKUP($B42,非_まとめ表行番号!$Q$3:$S$8,2,FALSE))</f>
        <v/>
      </c>
      <c r="O42" s="490" t="str">
        <f>IF(B42="","",VLOOKUP($B42,非_まとめ表行番号!$Q$3:$S$8,3,FALSE))</f>
        <v/>
      </c>
      <c r="P42" s="490" t="str">
        <f>IF(B42="","",VLOOKUP(N42,非_まとめ表行番号!$U$3:$V$56,2,FALSE))</f>
        <v/>
      </c>
      <c r="Q42" s="490" t="str">
        <f t="shared" si="6"/>
        <v/>
      </c>
      <c r="R42" s="490" t="b">
        <f t="shared" si="11"/>
        <v>1</v>
      </c>
      <c r="S42" s="84">
        <v>2</v>
      </c>
    </row>
    <row r="43" spans="1:19">
      <c r="A43" s="584"/>
      <c r="B43" s="589"/>
      <c r="C43" s="590"/>
      <c r="D43" s="482"/>
      <c r="E43" s="328" t="str">
        <f t="shared" si="1"/>
        <v/>
      </c>
      <c r="F43" s="486" t="str">
        <f t="shared" si="2"/>
        <v/>
      </c>
      <c r="H43" s="490" t="str">
        <f t="shared" si="7"/>
        <v/>
      </c>
      <c r="I43" s="490" t="str">
        <f t="shared" si="8"/>
        <v/>
      </c>
      <c r="J43" s="490" t="str">
        <f>IF(I43="","",IF(I43="電気",非_電気事業者!$S$5*1000,IF(I43="熱",非_熱供給事業者!$T$4,"")))</f>
        <v/>
      </c>
      <c r="K43" s="490" t="str">
        <f>IF(C43="","",VLOOKUP(C43,非_単位補正換算!$B$3:$C$16,2,FALSE))</f>
        <v/>
      </c>
      <c r="L43" s="490" t="str">
        <f t="shared" si="9"/>
        <v/>
      </c>
      <c r="M43" s="490" t="str">
        <f t="shared" si="10"/>
        <v/>
      </c>
      <c r="N43" s="490" t="str">
        <f>IF(B43="","",VLOOKUP($B43,非_まとめ表行番号!$Q$3:$S$8,2,FALSE))</f>
        <v/>
      </c>
      <c r="O43" s="490" t="str">
        <f>IF(B43="","",VLOOKUP($B43,非_まとめ表行番号!$Q$3:$S$8,3,FALSE))</f>
        <v/>
      </c>
      <c r="P43" s="490" t="str">
        <f>IF(B43="","",VLOOKUP(N43,非_まとめ表行番号!$U$3:$V$56,2,FALSE))</f>
        <v/>
      </c>
      <c r="Q43" s="490" t="str">
        <f t="shared" si="6"/>
        <v/>
      </c>
      <c r="R43" s="490" t="b">
        <f t="shared" si="11"/>
        <v>1</v>
      </c>
      <c r="S43" s="84">
        <v>2</v>
      </c>
    </row>
    <row r="44" spans="1:19">
      <c r="A44" s="584"/>
      <c r="B44" s="589"/>
      <c r="C44" s="590"/>
      <c r="D44" s="482"/>
      <c r="E44" s="328" t="str">
        <f t="shared" si="1"/>
        <v/>
      </c>
      <c r="F44" s="486" t="str">
        <f t="shared" si="2"/>
        <v/>
      </c>
      <c r="H44" s="490" t="str">
        <f t="shared" si="7"/>
        <v/>
      </c>
      <c r="I44" s="490" t="str">
        <f t="shared" si="8"/>
        <v/>
      </c>
      <c r="J44" s="490" t="str">
        <f>IF(I44="","",IF(I44="電気",非_電気事業者!$S$5*1000,IF(I44="熱",非_熱供給事業者!$T$4,"")))</f>
        <v/>
      </c>
      <c r="K44" s="490" t="str">
        <f>IF(C44="","",VLOOKUP(C44,非_単位補正換算!$B$3:$C$16,2,FALSE))</f>
        <v/>
      </c>
      <c r="L44" s="490" t="str">
        <f t="shared" si="9"/>
        <v/>
      </c>
      <c r="M44" s="490" t="str">
        <f t="shared" si="10"/>
        <v/>
      </c>
      <c r="N44" s="490" t="str">
        <f>IF(B44="","",VLOOKUP($B44,非_まとめ表行番号!$Q$3:$S$8,2,FALSE))</f>
        <v/>
      </c>
      <c r="O44" s="490" t="str">
        <f>IF(B44="","",VLOOKUP($B44,非_まとめ表行番号!$Q$3:$S$8,3,FALSE))</f>
        <v/>
      </c>
      <c r="P44" s="490" t="str">
        <f>IF(B44="","",VLOOKUP(N44,非_まとめ表行番号!$U$3:$V$56,2,FALSE))</f>
        <v/>
      </c>
      <c r="Q44" s="490" t="str">
        <f t="shared" si="6"/>
        <v/>
      </c>
      <c r="R44" s="490" t="b">
        <f t="shared" si="11"/>
        <v>1</v>
      </c>
      <c r="S44" s="84">
        <v>2</v>
      </c>
    </row>
    <row r="45" spans="1:19" ht="18" thickBot="1">
      <c r="A45" s="585"/>
      <c r="B45" s="598"/>
      <c r="C45" s="599"/>
      <c r="D45" s="600"/>
      <c r="E45" s="601" t="str">
        <f t="shared" si="1"/>
        <v/>
      </c>
      <c r="F45" s="602" t="str">
        <f t="shared" si="2"/>
        <v/>
      </c>
      <c r="H45" s="490" t="str">
        <f t="shared" si="7"/>
        <v/>
      </c>
      <c r="I45" s="490" t="str">
        <f t="shared" si="8"/>
        <v/>
      </c>
      <c r="J45" s="490" t="str">
        <f>IF(I45="","",IF(I45="電気",非_電気事業者!$S$5*1000,IF(I45="熱",非_熱供給事業者!$T$4,"")))</f>
        <v/>
      </c>
      <c r="K45" s="490" t="str">
        <f>IF(C45="","",VLOOKUP(C45,非_単位補正換算!$B$3:$C$16,2,FALSE))</f>
        <v/>
      </c>
      <c r="L45" s="490" t="str">
        <f t="shared" si="9"/>
        <v/>
      </c>
      <c r="M45" s="490" t="str">
        <f t="shared" si="10"/>
        <v/>
      </c>
      <c r="N45" s="490" t="str">
        <f>IF(B45="","",VLOOKUP($B45,非_まとめ表行番号!$Q$3:$S$8,2,FALSE))</f>
        <v/>
      </c>
      <c r="O45" s="490" t="str">
        <f>IF(B45="","",VLOOKUP($B45,非_まとめ表行番号!$Q$3:$S$8,3,FALSE))</f>
        <v/>
      </c>
      <c r="P45" s="490" t="str">
        <f>IF(B45="","",VLOOKUP(N45,非_まとめ表行番号!$U$3:$V$56,2,FALSE))</f>
        <v/>
      </c>
      <c r="Q45" s="490" t="str">
        <f t="shared" si="6"/>
        <v/>
      </c>
      <c r="R45" s="490" t="b">
        <f t="shared" si="11"/>
        <v>1</v>
      </c>
      <c r="S45" s="84">
        <v>2</v>
      </c>
    </row>
    <row r="46" spans="1:19" ht="18" thickTop="1">
      <c r="A46" s="586" t="s">
        <v>2054</v>
      </c>
      <c r="B46" s="595"/>
      <c r="C46" s="596"/>
      <c r="D46" s="481"/>
      <c r="E46" s="327" t="str">
        <f t="shared" si="1"/>
        <v/>
      </c>
      <c r="F46" s="597" t="str">
        <f t="shared" si="2"/>
        <v/>
      </c>
      <c r="H46" s="490" t="str">
        <f t="shared" si="7"/>
        <v/>
      </c>
      <c r="I46" s="490" t="str">
        <f t="shared" si="8"/>
        <v/>
      </c>
      <c r="J46" s="490" t="str">
        <f>IF(I46="","",IF(I46="電気",非_電気事業者!$S$5*1000,IF(I46="熱",非_熱供給事業者!$T$4,"")))</f>
        <v/>
      </c>
      <c r="K46" s="490" t="str">
        <f>IF(C46="","",VLOOKUP(C46,非_単位補正換算!$B$3:$C$16,2,FALSE))</f>
        <v/>
      </c>
      <c r="L46" s="490" t="str">
        <f t="shared" si="9"/>
        <v/>
      </c>
      <c r="M46" s="490" t="str">
        <f t="shared" si="10"/>
        <v/>
      </c>
      <c r="N46" s="490" t="str">
        <f>IF(B46="","",VLOOKUP($B46,非_まとめ表行番号!$Q$3:$S$8,2,FALSE))</f>
        <v/>
      </c>
      <c r="O46" s="490" t="str">
        <f>IF(B46="","",VLOOKUP($B46,非_まとめ表行番号!$Q$3:$S$8,3,FALSE))</f>
        <v/>
      </c>
      <c r="P46" s="490" t="str">
        <f>IF(B46="","",VLOOKUP(N46,非_まとめ表行番号!$U$3:$V$56,2,FALSE))</f>
        <v/>
      </c>
      <c r="Q46" s="490" t="str">
        <f t="shared" si="6"/>
        <v/>
      </c>
      <c r="R46" s="490" t="b">
        <f t="shared" si="11"/>
        <v>1</v>
      </c>
      <c r="S46" s="84">
        <v>3</v>
      </c>
    </row>
    <row r="47" spans="1:19">
      <c r="A47" s="587"/>
      <c r="B47" s="591"/>
      <c r="C47" s="592"/>
      <c r="D47" s="482"/>
      <c r="E47" s="328" t="str">
        <f t="shared" si="1"/>
        <v/>
      </c>
      <c r="F47" s="486" t="str">
        <f t="shared" si="2"/>
        <v/>
      </c>
      <c r="H47" s="490" t="str">
        <f t="shared" si="7"/>
        <v/>
      </c>
      <c r="I47" s="490" t="str">
        <f t="shared" si="8"/>
        <v/>
      </c>
      <c r="J47" s="490" t="str">
        <f>IF(I47="","",IF(I47="電気",非_電気事業者!$S$5*1000,IF(I47="熱",非_熱供給事業者!$T$4,"")))</f>
        <v/>
      </c>
      <c r="K47" s="490" t="str">
        <f>IF(C47="","",VLOOKUP(C47,非_単位補正換算!$B$3:$C$16,2,FALSE))</f>
        <v/>
      </c>
      <c r="L47" s="490" t="str">
        <f t="shared" si="9"/>
        <v/>
      </c>
      <c r="M47" s="490" t="str">
        <f t="shared" si="10"/>
        <v/>
      </c>
      <c r="N47" s="490" t="str">
        <f>IF(B47="","",VLOOKUP($B47,非_まとめ表行番号!$Q$3:$S$8,2,FALSE))</f>
        <v/>
      </c>
      <c r="O47" s="490" t="str">
        <f>IF(B47="","",VLOOKUP($B47,非_まとめ表行番号!$Q$3:$S$8,3,FALSE))</f>
        <v/>
      </c>
      <c r="P47" s="490" t="str">
        <f>IF(B47="","",VLOOKUP(N47,非_まとめ表行番号!$U$3:$V$56,2,FALSE))</f>
        <v/>
      </c>
      <c r="Q47" s="490" t="str">
        <f t="shared" si="6"/>
        <v/>
      </c>
      <c r="R47" s="490" t="b">
        <f t="shared" si="11"/>
        <v>1</v>
      </c>
      <c r="S47" s="84">
        <v>3</v>
      </c>
    </row>
    <row r="48" spans="1:19">
      <c r="A48" s="587"/>
      <c r="B48" s="591"/>
      <c r="C48" s="592"/>
      <c r="D48" s="482"/>
      <c r="E48" s="328" t="str">
        <f t="shared" si="1"/>
        <v/>
      </c>
      <c r="F48" s="486" t="str">
        <f t="shared" si="2"/>
        <v/>
      </c>
      <c r="H48" s="490" t="str">
        <f t="shared" si="7"/>
        <v/>
      </c>
      <c r="I48" s="490" t="str">
        <f t="shared" si="8"/>
        <v/>
      </c>
      <c r="J48" s="490" t="str">
        <f>IF(I48="","",IF(I48="電気",非_電気事業者!$S$5*1000,IF(I48="熱",非_熱供給事業者!$T$4,"")))</f>
        <v/>
      </c>
      <c r="K48" s="490" t="str">
        <f>IF(C48="","",VLOOKUP(C48,非_単位補正換算!$B$3:$C$16,2,FALSE))</f>
        <v/>
      </c>
      <c r="L48" s="490" t="str">
        <f t="shared" si="9"/>
        <v/>
      </c>
      <c r="M48" s="490" t="str">
        <f t="shared" si="10"/>
        <v/>
      </c>
      <c r="N48" s="490" t="str">
        <f>IF(B48="","",VLOOKUP($B48,非_まとめ表行番号!$Q$3:$S$8,2,FALSE))</f>
        <v/>
      </c>
      <c r="O48" s="490" t="str">
        <f>IF(B48="","",VLOOKUP($B48,非_まとめ表行番号!$Q$3:$S$8,3,FALSE))</f>
        <v/>
      </c>
      <c r="P48" s="490" t="str">
        <f>IF(B48="","",VLOOKUP(N48,非_まとめ表行番号!$U$3:$V$56,2,FALSE))</f>
        <v/>
      </c>
      <c r="Q48" s="490" t="str">
        <f t="shared" si="6"/>
        <v/>
      </c>
      <c r="R48" s="490" t="b">
        <f t="shared" si="11"/>
        <v>1</v>
      </c>
      <c r="S48" s="84">
        <v>3</v>
      </c>
    </row>
    <row r="49" spans="1:19">
      <c r="A49" s="587"/>
      <c r="B49" s="591"/>
      <c r="C49" s="592"/>
      <c r="D49" s="482"/>
      <c r="E49" s="328" t="str">
        <f t="shared" si="1"/>
        <v/>
      </c>
      <c r="F49" s="486" t="str">
        <f t="shared" si="2"/>
        <v/>
      </c>
      <c r="H49" s="490" t="str">
        <f t="shared" si="7"/>
        <v/>
      </c>
      <c r="I49" s="490" t="str">
        <f t="shared" si="8"/>
        <v/>
      </c>
      <c r="J49" s="490" t="str">
        <f>IF(I49="","",IF(I49="電気",非_電気事業者!$S$5*1000,IF(I49="熱",非_熱供給事業者!$T$4,"")))</f>
        <v/>
      </c>
      <c r="K49" s="490" t="str">
        <f>IF(C49="","",VLOOKUP(C49,非_単位補正換算!$B$3:$C$16,2,FALSE))</f>
        <v/>
      </c>
      <c r="L49" s="490" t="str">
        <f t="shared" si="9"/>
        <v/>
      </c>
      <c r="M49" s="490" t="str">
        <f t="shared" si="10"/>
        <v/>
      </c>
      <c r="N49" s="490" t="str">
        <f>IF(B49="","",VLOOKUP($B49,非_まとめ表行番号!$Q$3:$S$8,2,FALSE))</f>
        <v/>
      </c>
      <c r="O49" s="490" t="str">
        <f>IF(B49="","",VLOOKUP($B49,非_まとめ表行番号!$Q$3:$S$8,3,FALSE))</f>
        <v/>
      </c>
      <c r="P49" s="490" t="str">
        <f>IF(B49="","",VLOOKUP(N49,非_まとめ表行番号!$U$3:$V$56,2,FALSE))</f>
        <v/>
      </c>
      <c r="Q49" s="490" t="str">
        <f t="shared" si="6"/>
        <v/>
      </c>
      <c r="R49" s="490" t="b">
        <f t="shared" si="11"/>
        <v>1</v>
      </c>
      <c r="S49" s="84">
        <v>3</v>
      </c>
    </row>
    <row r="50" spans="1:19">
      <c r="A50" s="587"/>
      <c r="B50" s="591"/>
      <c r="C50" s="592"/>
      <c r="D50" s="482"/>
      <c r="E50" s="328" t="str">
        <f t="shared" si="1"/>
        <v/>
      </c>
      <c r="F50" s="486" t="str">
        <f t="shared" si="2"/>
        <v/>
      </c>
      <c r="H50" s="490" t="str">
        <f t="shared" ref="H50:H53" si="12">IF(B50="","",IF(LEFT(B50,5)="森林吸収量","森林吸収量_単位",B50&amp;"_単位"))</f>
        <v/>
      </c>
      <c r="I50" s="490" t="str">
        <f t="shared" ref="I50:I53" si="13">IF(B50="","",IF(LEFT(B50,5)="森林吸収量","森林吸収量",IF(B50="グリーン熱証書","熱","電気")))</f>
        <v/>
      </c>
      <c r="J50" s="490" t="str">
        <f>IF(I50="","",IF(I50="電気",非_電気事業者!$S$5*1000,IF(I50="熱",非_熱供給事業者!$T$4,"")))</f>
        <v/>
      </c>
      <c r="K50" s="490" t="str">
        <f>IF(C50="","",VLOOKUP(C50,非_単位補正換算!$B$3:$C$16,2,FALSE))</f>
        <v/>
      </c>
      <c r="L50" s="490" t="str">
        <f t="shared" ref="L50:L53" si="14">IF(D50="","",IF(K50="","",D50/K50))</f>
        <v/>
      </c>
      <c r="M50" s="490" t="str">
        <f t="shared" ref="M50:M53" si="15">IF(I50="","",IF(I50="森林吸収量","削減量を入力",IF(L50="","",L50*J50)))</f>
        <v/>
      </c>
      <c r="N50" s="490" t="str">
        <f>IF(B50="","",VLOOKUP($B50,非_まとめ表行番号!$Q$3:$S$8,2,FALSE))</f>
        <v/>
      </c>
      <c r="O50" s="490" t="str">
        <f>IF(B50="","",VLOOKUP($B50,非_まとめ表行番号!$Q$3:$S$8,3,FALSE))</f>
        <v/>
      </c>
      <c r="P50" s="490" t="str">
        <f>IF(B50="","",VLOOKUP(N50,非_まとめ表行番号!$U$3:$V$56,2,FALSE))</f>
        <v/>
      </c>
      <c r="Q50" s="490" t="str">
        <f t="shared" si="6"/>
        <v/>
      </c>
      <c r="R50" s="490" t="b">
        <f t="shared" si="11"/>
        <v>1</v>
      </c>
      <c r="S50" s="84">
        <v>3</v>
      </c>
    </row>
    <row r="51" spans="1:19">
      <c r="A51" s="587"/>
      <c r="B51" s="591"/>
      <c r="C51" s="592"/>
      <c r="D51" s="482"/>
      <c r="E51" s="328" t="str">
        <f t="shared" si="1"/>
        <v/>
      </c>
      <c r="F51" s="486" t="str">
        <f t="shared" si="2"/>
        <v/>
      </c>
      <c r="H51" s="490" t="str">
        <f t="shared" si="12"/>
        <v/>
      </c>
      <c r="I51" s="490" t="str">
        <f t="shared" si="13"/>
        <v/>
      </c>
      <c r="J51" s="490" t="str">
        <f>IF(I51="","",IF(I51="電気",非_電気事業者!$S$5*1000,IF(I51="熱",非_熱供給事業者!$T$4,"")))</f>
        <v/>
      </c>
      <c r="K51" s="490" t="str">
        <f>IF(C51="","",VLOOKUP(C51,非_単位補正換算!$B$3:$C$16,2,FALSE))</f>
        <v/>
      </c>
      <c r="L51" s="490" t="str">
        <f t="shared" si="14"/>
        <v/>
      </c>
      <c r="M51" s="490" t="str">
        <f t="shared" si="15"/>
        <v/>
      </c>
      <c r="N51" s="490" t="str">
        <f>IF(B51="","",VLOOKUP($B51,非_まとめ表行番号!$Q$3:$S$8,2,FALSE))</f>
        <v/>
      </c>
      <c r="O51" s="490" t="str">
        <f>IF(B51="","",VLOOKUP($B51,非_まとめ表行番号!$Q$3:$S$8,3,FALSE))</f>
        <v/>
      </c>
      <c r="P51" s="490" t="str">
        <f>IF(B51="","",VLOOKUP(N51,非_まとめ表行番号!$U$3:$V$56,2,FALSE))</f>
        <v/>
      </c>
      <c r="Q51" s="490" t="str">
        <f t="shared" si="6"/>
        <v/>
      </c>
      <c r="R51" s="490" t="b">
        <f t="shared" si="11"/>
        <v>1</v>
      </c>
      <c r="S51" s="84">
        <v>3</v>
      </c>
    </row>
    <row r="52" spans="1:19">
      <c r="A52" s="587"/>
      <c r="B52" s="591"/>
      <c r="C52" s="592"/>
      <c r="D52" s="482"/>
      <c r="E52" s="328" t="str">
        <f t="shared" si="1"/>
        <v/>
      </c>
      <c r="F52" s="486" t="str">
        <f t="shared" si="2"/>
        <v/>
      </c>
      <c r="H52" s="490" t="str">
        <f t="shared" si="12"/>
        <v/>
      </c>
      <c r="I52" s="490" t="str">
        <f t="shared" si="13"/>
        <v/>
      </c>
      <c r="J52" s="490" t="str">
        <f>IF(I52="","",IF(I52="電気",非_電気事業者!$S$5*1000,IF(I52="熱",非_熱供給事業者!$T$4,"")))</f>
        <v/>
      </c>
      <c r="K52" s="490" t="str">
        <f>IF(C52="","",VLOOKUP(C52,非_単位補正換算!$B$3:$C$16,2,FALSE))</f>
        <v/>
      </c>
      <c r="L52" s="490" t="str">
        <f t="shared" si="14"/>
        <v/>
      </c>
      <c r="M52" s="490" t="str">
        <f t="shared" si="15"/>
        <v/>
      </c>
      <c r="N52" s="490" t="str">
        <f>IF(B52="","",VLOOKUP($B52,非_まとめ表行番号!$Q$3:$S$8,2,FALSE))</f>
        <v/>
      </c>
      <c r="O52" s="490" t="str">
        <f>IF(B52="","",VLOOKUP($B52,非_まとめ表行番号!$Q$3:$S$8,3,FALSE))</f>
        <v/>
      </c>
      <c r="P52" s="490" t="str">
        <f>IF(B52="","",VLOOKUP(N52,非_まとめ表行番号!$U$3:$V$56,2,FALSE))</f>
        <v/>
      </c>
      <c r="Q52" s="490" t="str">
        <f t="shared" si="6"/>
        <v/>
      </c>
      <c r="R52" s="490" t="b">
        <f t="shared" si="11"/>
        <v>1</v>
      </c>
      <c r="S52" s="84">
        <v>3</v>
      </c>
    </row>
    <row r="53" spans="1:19">
      <c r="A53" s="587"/>
      <c r="B53" s="591"/>
      <c r="C53" s="592"/>
      <c r="D53" s="482"/>
      <c r="E53" s="328" t="str">
        <f t="shared" si="1"/>
        <v/>
      </c>
      <c r="F53" s="486" t="str">
        <f t="shared" si="2"/>
        <v/>
      </c>
      <c r="H53" s="490" t="str">
        <f t="shared" si="12"/>
        <v/>
      </c>
      <c r="I53" s="490" t="str">
        <f t="shared" si="13"/>
        <v/>
      </c>
      <c r="J53" s="490" t="str">
        <f>IF(I53="","",IF(I53="電気",非_電気事業者!$S$5*1000,IF(I53="熱",非_熱供給事業者!$T$4,"")))</f>
        <v/>
      </c>
      <c r="K53" s="490" t="str">
        <f>IF(C53="","",VLOOKUP(C53,非_単位補正換算!$B$3:$C$16,2,FALSE))</f>
        <v/>
      </c>
      <c r="L53" s="490" t="str">
        <f t="shared" si="14"/>
        <v/>
      </c>
      <c r="M53" s="490" t="str">
        <f t="shared" si="15"/>
        <v/>
      </c>
      <c r="N53" s="490" t="str">
        <f>IF(B53="","",VLOOKUP($B53,非_まとめ表行番号!$Q$3:$S$8,2,FALSE))</f>
        <v/>
      </c>
      <c r="O53" s="490" t="str">
        <f>IF(B53="","",VLOOKUP($B53,非_まとめ表行番号!$Q$3:$S$8,3,FALSE))</f>
        <v/>
      </c>
      <c r="P53" s="490" t="str">
        <f>IF(B53="","",VLOOKUP(N53,非_まとめ表行番号!$U$3:$V$56,2,FALSE))</f>
        <v/>
      </c>
      <c r="Q53" s="490" t="str">
        <f t="shared" si="6"/>
        <v/>
      </c>
      <c r="R53" s="490" t="b">
        <f t="shared" si="11"/>
        <v>1</v>
      </c>
      <c r="S53" s="84">
        <v>3</v>
      </c>
    </row>
    <row r="54" spans="1:19">
      <c r="A54" s="587"/>
      <c r="B54" s="591"/>
      <c r="C54" s="592"/>
      <c r="D54" s="482"/>
      <c r="E54" s="328" t="str">
        <f t="shared" si="1"/>
        <v/>
      </c>
      <c r="F54" s="486" t="str">
        <f t="shared" si="2"/>
        <v/>
      </c>
      <c r="H54" s="490" t="str">
        <f t="shared" ref="H54:H55" si="16">IF(B54="","",IF(LEFT(B54,5)="森林吸収量","森林吸収量_単位",B54&amp;"_単位"))</f>
        <v/>
      </c>
      <c r="I54" s="490" t="str">
        <f t="shared" ref="I54:I55" si="17">IF(B54="","",IF(LEFT(B54,5)="森林吸収量","森林吸収量",IF(B54="グリーン熱証書","熱","電気")))</f>
        <v/>
      </c>
      <c r="J54" s="490" t="str">
        <f>IF(I54="","",IF(I54="電気",非_電気事業者!$S$5*1000,IF(I54="熱",非_熱供給事業者!$T$4,"")))</f>
        <v/>
      </c>
      <c r="K54" s="490" t="str">
        <f>IF(C54="","",VLOOKUP(C54,非_単位補正換算!$B$3:$C$16,2,FALSE))</f>
        <v/>
      </c>
      <c r="L54" s="490" t="str">
        <f t="shared" ref="L54:L55" si="18">IF(D54="","",IF(K54="","",D54/K54))</f>
        <v/>
      </c>
      <c r="M54" s="490" t="str">
        <f t="shared" ref="M54:M55" si="19">IF(I54="","",IF(I54="森林吸収量","削減量を入力",IF(L54="","",L54*J54)))</f>
        <v/>
      </c>
      <c r="N54" s="490" t="str">
        <f>IF(B54="","",VLOOKUP($B54,非_まとめ表行番号!$Q$3:$S$8,2,FALSE))</f>
        <v/>
      </c>
      <c r="O54" s="490" t="str">
        <f>IF(B54="","",VLOOKUP($B54,非_まとめ表行番号!$Q$3:$S$8,3,FALSE))</f>
        <v/>
      </c>
      <c r="P54" s="490" t="str">
        <f>IF(B54="","",VLOOKUP(N54,非_まとめ表行番号!$U$3:$V$56,2,FALSE))</f>
        <v/>
      </c>
      <c r="Q54" s="490" t="str">
        <f t="shared" si="6"/>
        <v/>
      </c>
      <c r="R54" s="490" t="b">
        <f t="shared" si="11"/>
        <v>1</v>
      </c>
      <c r="S54" s="84">
        <v>3</v>
      </c>
    </row>
    <row r="55" spans="1:19">
      <c r="A55" s="587"/>
      <c r="B55" s="591"/>
      <c r="C55" s="592"/>
      <c r="D55" s="482"/>
      <c r="E55" s="328" t="str">
        <f t="shared" si="1"/>
        <v/>
      </c>
      <c r="F55" s="486" t="str">
        <f t="shared" si="2"/>
        <v/>
      </c>
      <c r="H55" s="490" t="str">
        <f t="shared" si="16"/>
        <v/>
      </c>
      <c r="I55" s="490" t="str">
        <f t="shared" si="17"/>
        <v/>
      </c>
      <c r="J55" s="490" t="str">
        <f>IF(I55="","",IF(I55="電気",非_電気事業者!$S$5*1000,IF(I55="熱",非_熱供給事業者!$T$4,"")))</f>
        <v/>
      </c>
      <c r="K55" s="490" t="str">
        <f>IF(C55="","",VLOOKUP(C55,非_単位補正換算!$B$3:$C$16,2,FALSE))</f>
        <v/>
      </c>
      <c r="L55" s="490" t="str">
        <f t="shared" si="18"/>
        <v/>
      </c>
      <c r="M55" s="490" t="str">
        <f t="shared" si="19"/>
        <v/>
      </c>
      <c r="N55" s="490" t="str">
        <f>IF(B55="","",VLOOKUP($B55,非_まとめ表行番号!$Q$3:$S$8,2,FALSE))</f>
        <v/>
      </c>
      <c r="O55" s="490" t="str">
        <f>IF(B55="","",VLOOKUP($B55,非_まとめ表行番号!$Q$3:$S$8,3,FALSE))</f>
        <v/>
      </c>
      <c r="P55" s="490" t="str">
        <f>IF(B55="","",VLOOKUP(N55,非_まとめ表行番号!$U$3:$V$56,2,FALSE))</f>
        <v/>
      </c>
      <c r="Q55" s="490" t="str">
        <f t="shared" si="6"/>
        <v/>
      </c>
      <c r="R55" s="490" t="b">
        <f t="shared" si="11"/>
        <v>1</v>
      </c>
      <c r="S55" s="84">
        <v>3</v>
      </c>
    </row>
    <row r="56" spans="1:19">
      <c r="A56" s="587"/>
      <c r="B56" s="591"/>
      <c r="C56" s="592"/>
      <c r="D56" s="482"/>
      <c r="E56" s="328" t="str">
        <f t="shared" si="1"/>
        <v/>
      </c>
      <c r="F56" s="486" t="str">
        <f t="shared" si="2"/>
        <v/>
      </c>
      <c r="H56" s="490" t="str">
        <f t="shared" si="7"/>
        <v/>
      </c>
      <c r="I56" s="490" t="str">
        <f t="shared" si="8"/>
        <v/>
      </c>
      <c r="J56" s="490" t="str">
        <f>IF(I56="","",IF(I56="電気",非_電気事業者!$S$5*1000,IF(I56="熱",非_熱供給事業者!$T$4,"")))</f>
        <v/>
      </c>
      <c r="K56" s="490" t="str">
        <f>IF(C56="","",VLOOKUP(C56,非_単位補正換算!$B$3:$C$16,2,FALSE))</f>
        <v/>
      </c>
      <c r="L56" s="490" t="str">
        <f t="shared" si="9"/>
        <v/>
      </c>
      <c r="M56" s="490" t="str">
        <f t="shared" si="10"/>
        <v/>
      </c>
      <c r="N56" s="490" t="str">
        <f>IF(B56="","",VLOOKUP($B56,非_まとめ表行番号!$Q$3:$S$8,2,FALSE))</f>
        <v/>
      </c>
      <c r="O56" s="490" t="str">
        <f>IF(B56="","",VLOOKUP($B56,非_まとめ表行番号!$Q$3:$S$8,3,FALSE))</f>
        <v/>
      </c>
      <c r="P56" s="490" t="str">
        <f>IF(B56="","",VLOOKUP(N56,非_まとめ表行番号!$U$3:$V$56,2,FALSE))</f>
        <v/>
      </c>
      <c r="Q56" s="490" t="str">
        <f t="shared" si="6"/>
        <v/>
      </c>
      <c r="R56" s="490" t="b">
        <f t="shared" si="11"/>
        <v>1</v>
      </c>
      <c r="S56" s="84">
        <v>3</v>
      </c>
    </row>
    <row r="57" spans="1:19">
      <c r="A57" s="587"/>
      <c r="B57" s="591"/>
      <c r="C57" s="592"/>
      <c r="D57" s="482"/>
      <c r="E57" s="328" t="str">
        <f t="shared" si="1"/>
        <v/>
      </c>
      <c r="F57" s="486" t="str">
        <f t="shared" si="2"/>
        <v/>
      </c>
      <c r="H57" s="490" t="str">
        <f t="shared" si="7"/>
        <v/>
      </c>
      <c r="I57" s="490" t="str">
        <f t="shared" si="8"/>
        <v/>
      </c>
      <c r="J57" s="490" t="str">
        <f>IF(I57="","",IF(I57="電気",非_電気事業者!$S$5*1000,IF(I57="熱",非_熱供給事業者!$T$4,"")))</f>
        <v/>
      </c>
      <c r="K57" s="490" t="str">
        <f>IF(C57="","",VLOOKUP(C57,非_単位補正換算!$B$3:$C$16,2,FALSE))</f>
        <v/>
      </c>
      <c r="L57" s="490" t="str">
        <f t="shared" si="9"/>
        <v/>
      </c>
      <c r="M57" s="490" t="str">
        <f t="shared" si="10"/>
        <v/>
      </c>
      <c r="N57" s="490" t="str">
        <f>IF(B57="","",VLOOKUP($B57,非_まとめ表行番号!$Q$3:$S$8,2,FALSE))</f>
        <v/>
      </c>
      <c r="O57" s="490" t="str">
        <f>IF(B57="","",VLOOKUP($B57,非_まとめ表行番号!$Q$3:$S$8,3,FALSE))</f>
        <v/>
      </c>
      <c r="P57" s="490" t="str">
        <f>IF(B57="","",VLOOKUP(N57,非_まとめ表行番号!$U$3:$V$56,2,FALSE))</f>
        <v/>
      </c>
      <c r="Q57" s="490" t="str">
        <f t="shared" si="6"/>
        <v/>
      </c>
      <c r="R57" s="490" t="b">
        <f t="shared" si="11"/>
        <v>1</v>
      </c>
      <c r="S57" s="84">
        <v>3</v>
      </c>
    </row>
    <row r="58" spans="1:19" ht="18" thickBot="1">
      <c r="A58" s="588"/>
      <c r="B58" s="593"/>
      <c r="C58" s="594"/>
      <c r="D58" s="483"/>
      <c r="E58" s="414" t="str">
        <f t="shared" si="1"/>
        <v/>
      </c>
      <c r="F58" s="487" t="str">
        <f t="shared" si="2"/>
        <v/>
      </c>
      <c r="H58" s="490" t="str">
        <f t="shared" si="7"/>
        <v/>
      </c>
      <c r="I58" s="490" t="str">
        <f t="shared" si="8"/>
        <v/>
      </c>
      <c r="J58" s="490" t="str">
        <f>IF(I58="","",IF(I58="電気",非_電気事業者!$S$5*1000,IF(I58="熱",非_熱供給事業者!$T$4,"")))</f>
        <v/>
      </c>
      <c r="K58" s="490" t="str">
        <f>IF(C58="","",VLOOKUP(C58,非_単位補正換算!$B$3:$C$16,2,FALSE))</f>
        <v/>
      </c>
      <c r="L58" s="490" t="str">
        <f t="shared" si="9"/>
        <v/>
      </c>
      <c r="M58" s="490" t="str">
        <f t="shared" si="10"/>
        <v/>
      </c>
      <c r="N58" s="490" t="str">
        <f>IF(B58="","",VLOOKUP($B58,非_まとめ表行番号!$Q$3:$S$8,2,FALSE))</f>
        <v/>
      </c>
      <c r="O58" s="490" t="str">
        <f>IF(B58="","",VLOOKUP($B58,非_まとめ表行番号!$Q$3:$S$8,3,FALSE))</f>
        <v/>
      </c>
      <c r="P58" s="490" t="str">
        <f>IF(B58="","",VLOOKUP(N58,非_まとめ表行番号!$U$3:$V$56,2,FALSE))</f>
        <v/>
      </c>
      <c r="Q58" s="490" t="str">
        <f t="shared" si="6"/>
        <v/>
      </c>
      <c r="R58" s="490" t="b">
        <f t="shared" si="11"/>
        <v>1</v>
      </c>
      <c r="S58" s="84">
        <v>3</v>
      </c>
    </row>
    <row r="59" spans="1:19">
      <c r="A59" s="52"/>
      <c r="B59" s="52"/>
      <c r="C59" s="52"/>
      <c r="D59" s="52"/>
      <c r="E59" s="52"/>
      <c r="F59" s="436" t="s">
        <v>1997</v>
      </c>
    </row>
  </sheetData>
  <sheetProtection algorithmName="SHA-512" hashValue="YTZj6zZXLH3RoTKLu998FkFncTb2N4CCmnb9PhoSOqRdij4M6K9r2aVGilCpFGpEWTNXecz1tXiYTzSbDZ79Dg==" saltValue="aTCU522x8TQOzO6vtvuADw==" spinCount="100000" sheet="1" objects="1" scenarios="1"/>
  <phoneticPr fontId="5"/>
  <conditionalFormatting sqref="C6:E58">
    <cfRule type="expression" dxfId="1" priority="3">
      <formula>LEFT($B6,5)="森林吸収量"</formula>
    </cfRule>
  </conditionalFormatting>
  <conditionalFormatting sqref="F6:F58">
    <cfRule type="expression" dxfId="0" priority="115">
      <formula>$R6=FALSE</formula>
    </cfRule>
  </conditionalFormatting>
  <dataValidations count="3">
    <dataValidation type="list" allowBlank="1" showInputMessage="1" showErrorMessage="1" sqref="C6:C58" xr:uid="{00000000-0002-0000-0800-000000000000}">
      <formula1>INDIRECT(H6)</formula1>
    </dataValidation>
    <dataValidation imeMode="disabled" allowBlank="1" showInputMessage="1" showErrorMessage="1" sqref="F6:F58 D6:D58" xr:uid="{00000000-0002-0000-0800-000001000000}"/>
    <dataValidation type="list" allowBlank="1" showInputMessage="1" showErrorMessage="1" sqref="B6:B58" xr:uid="{00000000-0002-0000-0800-000002000000}">
      <formula1>INDIRECT($H$3)</formula1>
    </dataValidation>
  </dataValidations>
  <pageMargins left="0.78740157480314965" right="0.59055118110236227" top="0.78740157480314965" bottom="0.59055118110236227" header="0.31496062992125984" footer="0.31496062992125984"/>
  <pageSetup paperSize="9" scale="62" fitToHeight="0" orientation="portrait" r:id="rId1"/>
  <headerFooter>
    <oddHeader>&amp;R&amp;8ver.4.01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P99"/>
  <sheetViews>
    <sheetView showGridLines="0" zoomScale="70" zoomScaleNormal="70" zoomScaleSheetLayoutView="100" workbookViewId="0">
      <pane xSplit="2" ySplit="5" topLeftCell="C72" activePane="bottomRight" state="frozen"/>
      <selection activeCell="L62" sqref="L62"/>
      <selection pane="topRight" activeCell="L62" sqref="L62"/>
      <selection pane="bottomLeft" activeCell="L62" sqref="L62"/>
      <selection pane="bottomRight" activeCell="K86" sqref="K86"/>
    </sheetView>
  </sheetViews>
  <sheetFormatPr defaultRowHeight="17.5" outlineLevelCol="1"/>
  <cols>
    <col min="1" max="1" width="6.1640625" style="64" customWidth="1"/>
    <col min="2" max="2" width="19.6640625" style="64" customWidth="1"/>
    <col min="3" max="3" width="23.1640625" style="64" customWidth="1"/>
    <col min="4" max="4" width="16.5" style="64" customWidth="1"/>
    <col min="5" max="5" width="11.5" style="64" customWidth="1"/>
    <col min="6" max="6" width="13.4140625" style="64" customWidth="1"/>
    <col min="7" max="7" width="11.5" style="64" hidden="1" customWidth="1" outlineLevel="1"/>
    <col min="8" max="8" width="6.5" style="64" hidden="1" customWidth="1" outlineLevel="1"/>
    <col min="9" max="9" width="11.1640625" style="65" customWidth="1" collapsed="1"/>
    <col min="10" max="10" width="14.5" style="64" customWidth="1"/>
    <col min="11" max="11" width="18.9140625" style="64" customWidth="1"/>
    <col min="12" max="12" width="9" style="64" customWidth="1"/>
    <col min="13" max="13" width="19" style="64" hidden="1" customWidth="1" outlineLevel="1"/>
    <col min="14" max="14" width="24.5" style="64" hidden="1" customWidth="1" outlineLevel="1"/>
    <col min="15" max="15" width="22.9140625" style="64" hidden="1" customWidth="1" outlineLevel="1"/>
    <col min="16" max="16" width="9" style="64" customWidth="1" collapsed="1"/>
    <col min="17" max="229" width="9" style="64"/>
    <col min="230" max="230" width="2" style="64" customWidth="1"/>
    <col min="231" max="231" width="6.1640625" style="64" customWidth="1"/>
    <col min="232" max="232" width="19.6640625" style="64" customWidth="1"/>
    <col min="233" max="233" width="23.1640625" style="64" customWidth="1"/>
    <col min="234" max="234" width="14.08203125" style="64" customWidth="1"/>
    <col min="235" max="235" width="10.5" style="64" customWidth="1"/>
    <col min="236" max="239" width="0" style="64" hidden="1" customWidth="1"/>
    <col min="240" max="252" width="10.58203125" style="64" customWidth="1"/>
    <col min="253" max="266" width="0" style="64" hidden="1" customWidth="1"/>
    <col min="267" max="268" width="11.1640625" style="64" customWidth="1"/>
    <col min="269" max="269" width="9" style="64"/>
    <col min="270" max="272" width="0" style="64" hidden="1" customWidth="1"/>
    <col min="273" max="485" width="9" style="64"/>
    <col min="486" max="486" width="2" style="64" customWidth="1"/>
    <col min="487" max="487" width="6.1640625" style="64" customWidth="1"/>
    <col min="488" max="488" width="19.6640625" style="64" customWidth="1"/>
    <col min="489" max="489" width="23.1640625" style="64" customWidth="1"/>
    <col min="490" max="490" width="14.08203125" style="64" customWidth="1"/>
    <col min="491" max="491" width="10.5" style="64" customWidth="1"/>
    <col min="492" max="495" width="0" style="64" hidden="1" customWidth="1"/>
    <col min="496" max="508" width="10.58203125" style="64" customWidth="1"/>
    <col min="509" max="522" width="0" style="64" hidden="1" customWidth="1"/>
    <col min="523" max="524" width="11.1640625" style="64" customWidth="1"/>
    <col min="525" max="525" width="9" style="64"/>
    <col min="526" max="528" width="0" style="64" hidden="1" customWidth="1"/>
    <col min="529" max="741" width="9" style="64"/>
    <col min="742" max="742" width="2" style="64" customWidth="1"/>
    <col min="743" max="743" width="6.1640625" style="64" customWidth="1"/>
    <col min="744" max="744" width="19.6640625" style="64" customWidth="1"/>
    <col min="745" max="745" width="23.1640625" style="64" customWidth="1"/>
    <col min="746" max="746" width="14.08203125" style="64" customWidth="1"/>
    <col min="747" max="747" width="10.5" style="64" customWidth="1"/>
    <col min="748" max="751" width="0" style="64" hidden="1" customWidth="1"/>
    <col min="752" max="764" width="10.58203125" style="64" customWidth="1"/>
    <col min="765" max="778" width="0" style="64" hidden="1" customWidth="1"/>
    <col min="779" max="780" width="11.1640625" style="64" customWidth="1"/>
    <col min="781" max="781" width="9" style="64"/>
    <col min="782" max="784" width="0" style="64" hidden="1" customWidth="1"/>
    <col min="785" max="997" width="9" style="64"/>
    <col min="998" max="998" width="2" style="64" customWidth="1"/>
    <col min="999" max="999" width="6.1640625" style="64" customWidth="1"/>
    <col min="1000" max="1000" width="19.6640625" style="64" customWidth="1"/>
    <col min="1001" max="1001" width="23.1640625" style="64" customWidth="1"/>
    <col min="1002" max="1002" width="14.08203125" style="64" customWidth="1"/>
    <col min="1003" max="1003" width="10.5" style="64" customWidth="1"/>
    <col min="1004" max="1007" width="0" style="64" hidden="1" customWidth="1"/>
    <col min="1008" max="1020" width="10.58203125" style="64" customWidth="1"/>
    <col min="1021" max="1034" width="0" style="64" hidden="1" customWidth="1"/>
    <col min="1035" max="1036" width="11.1640625" style="64" customWidth="1"/>
    <col min="1037" max="1037" width="9" style="64"/>
    <col min="1038" max="1040" width="0" style="64" hidden="1" customWidth="1"/>
    <col min="1041" max="1253" width="9" style="64"/>
    <col min="1254" max="1254" width="2" style="64" customWidth="1"/>
    <col min="1255" max="1255" width="6.1640625" style="64" customWidth="1"/>
    <col min="1256" max="1256" width="19.6640625" style="64" customWidth="1"/>
    <col min="1257" max="1257" width="23.1640625" style="64" customWidth="1"/>
    <col min="1258" max="1258" width="14.08203125" style="64" customWidth="1"/>
    <col min="1259" max="1259" width="10.5" style="64" customWidth="1"/>
    <col min="1260" max="1263" width="0" style="64" hidden="1" customWidth="1"/>
    <col min="1264" max="1276" width="10.58203125" style="64" customWidth="1"/>
    <col min="1277" max="1290" width="0" style="64" hidden="1" customWidth="1"/>
    <col min="1291" max="1292" width="11.1640625" style="64" customWidth="1"/>
    <col min="1293" max="1293" width="9" style="64"/>
    <col min="1294" max="1296" width="0" style="64" hidden="1" customWidth="1"/>
    <col min="1297" max="1509" width="9" style="64"/>
    <col min="1510" max="1510" width="2" style="64" customWidth="1"/>
    <col min="1511" max="1511" width="6.1640625" style="64" customWidth="1"/>
    <col min="1512" max="1512" width="19.6640625" style="64" customWidth="1"/>
    <col min="1513" max="1513" width="23.1640625" style="64" customWidth="1"/>
    <col min="1514" max="1514" width="14.08203125" style="64" customWidth="1"/>
    <col min="1515" max="1515" width="10.5" style="64" customWidth="1"/>
    <col min="1516" max="1519" width="0" style="64" hidden="1" customWidth="1"/>
    <col min="1520" max="1532" width="10.58203125" style="64" customWidth="1"/>
    <col min="1533" max="1546" width="0" style="64" hidden="1" customWidth="1"/>
    <col min="1547" max="1548" width="11.1640625" style="64" customWidth="1"/>
    <col min="1549" max="1549" width="9" style="64"/>
    <col min="1550" max="1552" width="0" style="64" hidden="1" customWidth="1"/>
    <col min="1553" max="1765" width="9" style="64"/>
    <col min="1766" max="1766" width="2" style="64" customWidth="1"/>
    <col min="1767" max="1767" width="6.1640625" style="64" customWidth="1"/>
    <col min="1768" max="1768" width="19.6640625" style="64" customWidth="1"/>
    <col min="1769" max="1769" width="23.1640625" style="64" customWidth="1"/>
    <col min="1770" max="1770" width="14.08203125" style="64" customWidth="1"/>
    <col min="1771" max="1771" width="10.5" style="64" customWidth="1"/>
    <col min="1772" max="1775" width="0" style="64" hidden="1" customWidth="1"/>
    <col min="1776" max="1788" width="10.58203125" style="64" customWidth="1"/>
    <col min="1789" max="1802" width="0" style="64" hidden="1" customWidth="1"/>
    <col min="1803" max="1804" width="11.1640625" style="64" customWidth="1"/>
    <col min="1805" max="1805" width="9" style="64"/>
    <col min="1806" max="1808" width="0" style="64" hidden="1" customWidth="1"/>
    <col min="1809" max="2021" width="9" style="64"/>
    <col min="2022" max="2022" width="2" style="64" customWidth="1"/>
    <col min="2023" max="2023" width="6.1640625" style="64" customWidth="1"/>
    <col min="2024" max="2024" width="19.6640625" style="64" customWidth="1"/>
    <col min="2025" max="2025" width="23.1640625" style="64" customWidth="1"/>
    <col min="2026" max="2026" width="14.08203125" style="64" customWidth="1"/>
    <col min="2027" max="2027" width="10.5" style="64" customWidth="1"/>
    <col min="2028" max="2031" width="0" style="64" hidden="1" customWidth="1"/>
    <col min="2032" max="2044" width="10.58203125" style="64" customWidth="1"/>
    <col min="2045" max="2058" width="0" style="64" hidden="1" customWidth="1"/>
    <col min="2059" max="2060" width="11.1640625" style="64" customWidth="1"/>
    <col min="2061" max="2061" width="9" style="64"/>
    <col min="2062" max="2064" width="0" style="64" hidden="1" customWidth="1"/>
    <col min="2065" max="2277" width="9" style="64"/>
    <col min="2278" max="2278" width="2" style="64" customWidth="1"/>
    <col min="2279" max="2279" width="6.1640625" style="64" customWidth="1"/>
    <col min="2280" max="2280" width="19.6640625" style="64" customWidth="1"/>
    <col min="2281" max="2281" width="23.1640625" style="64" customWidth="1"/>
    <col min="2282" max="2282" width="14.08203125" style="64" customWidth="1"/>
    <col min="2283" max="2283" width="10.5" style="64" customWidth="1"/>
    <col min="2284" max="2287" width="0" style="64" hidden="1" customWidth="1"/>
    <col min="2288" max="2300" width="10.58203125" style="64" customWidth="1"/>
    <col min="2301" max="2314" width="0" style="64" hidden="1" customWidth="1"/>
    <col min="2315" max="2316" width="11.1640625" style="64" customWidth="1"/>
    <col min="2317" max="2317" width="9" style="64"/>
    <col min="2318" max="2320" width="0" style="64" hidden="1" customWidth="1"/>
    <col min="2321" max="2533" width="9" style="64"/>
    <col min="2534" max="2534" width="2" style="64" customWidth="1"/>
    <col min="2535" max="2535" width="6.1640625" style="64" customWidth="1"/>
    <col min="2536" max="2536" width="19.6640625" style="64" customWidth="1"/>
    <col min="2537" max="2537" width="23.1640625" style="64" customWidth="1"/>
    <col min="2538" max="2538" width="14.08203125" style="64" customWidth="1"/>
    <col min="2539" max="2539" width="10.5" style="64" customWidth="1"/>
    <col min="2540" max="2543" width="0" style="64" hidden="1" customWidth="1"/>
    <col min="2544" max="2556" width="10.58203125" style="64" customWidth="1"/>
    <col min="2557" max="2570" width="0" style="64" hidden="1" customWidth="1"/>
    <col min="2571" max="2572" width="11.1640625" style="64" customWidth="1"/>
    <col min="2573" max="2573" width="9" style="64"/>
    <col min="2574" max="2576" width="0" style="64" hidden="1" customWidth="1"/>
    <col min="2577" max="2789" width="9" style="64"/>
    <col min="2790" max="2790" width="2" style="64" customWidth="1"/>
    <col min="2791" max="2791" width="6.1640625" style="64" customWidth="1"/>
    <col min="2792" max="2792" width="19.6640625" style="64" customWidth="1"/>
    <col min="2793" max="2793" width="23.1640625" style="64" customWidth="1"/>
    <col min="2794" max="2794" width="14.08203125" style="64" customWidth="1"/>
    <col min="2795" max="2795" width="10.5" style="64" customWidth="1"/>
    <col min="2796" max="2799" width="0" style="64" hidden="1" customWidth="1"/>
    <col min="2800" max="2812" width="10.58203125" style="64" customWidth="1"/>
    <col min="2813" max="2826" width="0" style="64" hidden="1" customWidth="1"/>
    <col min="2827" max="2828" width="11.1640625" style="64" customWidth="1"/>
    <col min="2829" max="2829" width="9" style="64"/>
    <col min="2830" max="2832" width="0" style="64" hidden="1" customWidth="1"/>
    <col min="2833" max="3045" width="9" style="64"/>
    <col min="3046" max="3046" width="2" style="64" customWidth="1"/>
    <col min="3047" max="3047" width="6.1640625" style="64" customWidth="1"/>
    <col min="3048" max="3048" width="19.6640625" style="64" customWidth="1"/>
    <col min="3049" max="3049" width="23.1640625" style="64" customWidth="1"/>
    <col min="3050" max="3050" width="14.08203125" style="64" customWidth="1"/>
    <col min="3051" max="3051" width="10.5" style="64" customWidth="1"/>
    <col min="3052" max="3055" width="0" style="64" hidden="1" customWidth="1"/>
    <col min="3056" max="3068" width="10.58203125" style="64" customWidth="1"/>
    <col min="3069" max="3082" width="0" style="64" hidden="1" customWidth="1"/>
    <col min="3083" max="3084" width="11.1640625" style="64" customWidth="1"/>
    <col min="3085" max="3085" width="9" style="64"/>
    <col min="3086" max="3088" width="0" style="64" hidden="1" customWidth="1"/>
    <col min="3089" max="3301" width="9" style="64"/>
    <col min="3302" max="3302" width="2" style="64" customWidth="1"/>
    <col min="3303" max="3303" width="6.1640625" style="64" customWidth="1"/>
    <col min="3304" max="3304" width="19.6640625" style="64" customWidth="1"/>
    <col min="3305" max="3305" width="23.1640625" style="64" customWidth="1"/>
    <col min="3306" max="3306" width="14.08203125" style="64" customWidth="1"/>
    <col min="3307" max="3307" width="10.5" style="64" customWidth="1"/>
    <col min="3308" max="3311" width="0" style="64" hidden="1" customWidth="1"/>
    <col min="3312" max="3324" width="10.58203125" style="64" customWidth="1"/>
    <col min="3325" max="3338" width="0" style="64" hidden="1" customWidth="1"/>
    <col min="3339" max="3340" width="11.1640625" style="64" customWidth="1"/>
    <col min="3341" max="3341" width="9" style="64"/>
    <col min="3342" max="3344" width="0" style="64" hidden="1" customWidth="1"/>
    <col min="3345" max="3557" width="9" style="64"/>
    <col min="3558" max="3558" width="2" style="64" customWidth="1"/>
    <col min="3559" max="3559" width="6.1640625" style="64" customWidth="1"/>
    <col min="3560" max="3560" width="19.6640625" style="64" customWidth="1"/>
    <col min="3561" max="3561" width="23.1640625" style="64" customWidth="1"/>
    <col min="3562" max="3562" width="14.08203125" style="64" customWidth="1"/>
    <col min="3563" max="3563" width="10.5" style="64" customWidth="1"/>
    <col min="3564" max="3567" width="0" style="64" hidden="1" customWidth="1"/>
    <col min="3568" max="3580" width="10.58203125" style="64" customWidth="1"/>
    <col min="3581" max="3594" width="0" style="64" hidden="1" customWidth="1"/>
    <col min="3595" max="3596" width="11.1640625" style="64" customWidth="1"/>
    <col min="3597" max="3597" width="9" style="64"/>
    <col min="3598" max="3600" width="0" style="64" hidden="1" customWidth="1"/>
    <col min="3601" max="3813" width="9" style="64"/>
    <col min="3814" max="3814" width="2" style="64" customWidth="1"/>
    <col min="3815" max="3815" width="6.1640625" style="64" customWidth="1"/>
    <col min="3816" max="3816" width="19.6640625" style="64" customWidth="1"/>
    <col min="3817" max="3817" width="23.1640625" style="64" customWidth="1"/>
    <col min="3818" max="3818" width="14.08203125" style="64" customWidth="1"/>
    <col min="3819" max="3819" width="10.5" style="64" customWidth="1"/>
    <col min="3820" max="3823" width="0" style="64" hidden="1" customWidth="1"/>
    <col min="3824" max="3836" width="10.58203125" style="64" customWidth="1"/>
    <col min="3837" max="3850" width="0" style="64" hidden="1" customWidth="1"/>
    <col min="3851" max="3852" width="11.1640625" style="64" customWidth="1"/>
    <col min="3853" max="3853" width="9" style="64"/>
    <col min="3854" max="3856" width="0" style="64" hidden="1" customWidth="1"/>
    <col min="3857" max="4069" width="9" style="64"/>
    <col min="4070" max="4070" width="2" style="64" customWidth="1"/>
    <col min="4071" max="4071" width="6.1640625" style="64" customWidth="1"/>
    <col min="4072" max="4072" width="19.6640625" style="64" customWidth="1"/>
    <col min="4073" max="4073" width="23.1640625" style="64" customWidth="1"/>
    <col min="4074" max="4074" width="14.08203125" style="64" customWidth="1"/>
    <col min="4075" max="4075" width="10.5" style="64" customWidth="1"/>
    <col min="4076" max="4079" width="0" style="64" hidden="1" customWidth="1"/>
    <col min="4080" max="4092" width="10.58203125" style="64" customWidth="1"/>
    <col min="4093" max="4106" width="0" style="64" hidden="1" customWidth="1"/>
    <col min="4107" max="4108" width="11.1640625" style="64" customWidth="1"/>
    <col min="4109" max="4109" width="9" style="64"/>
    <col min="4110" max="4112" width="0" style="64" hidden="1" customWidth="1"/>
    <col min="4113" max="4325" width="9" style="64"/>
    <col min="4326" max="4326" width="2" style="64" customWidth="1"/>
    <col min="4327" max="4327" width="6.1640625" style="64" customWidth="1"/>
    <col min="4328" max="4328" width="19.6640625" style="64" customWidth="1"/>
    <col min="4329" max="4329" width="23.1640625" style="64" customWidth="1"/>
    <col min="4330" max="4330" width="14.08203125" style="64" customWidth="1"/>
    <col min="4331" max="4331" width="10.5" style="64" customWidth="1"/>
    <col min="4332" max="4335" width="0" style="64" hidden="1" customWidth="1"/>
    <col min="4336" max="4348" width="10.58203125" style="64" customWidth="1"/>
    <col min="4349" max="4362" width="0" style="64" hidden="1" customWidth="1"/>
    <col min="4363" max="4364" width="11.1640625" style="64" customWidth="1"/>
    <col min="4365" max="4365" width="9" style="64"/>
    <col min="4366" max="4368" width="0" style="64" hidden="1" customWidth="1"/>
    <col min="4369" max="4581" width="9" style="64"/>
    <col min="4582" max="4582" width="2" style="64" customWidth="1"/>
    <col min="4583" max="4583" width="6.1640625" style="64" customWidth="1"/>
    <col min="4584" max="4584" width="19.6640625" style="64" customWidth="1"/>
    <col min="4585" max="4585" width="23.1640625" style="64" customWidth="1"/>
    <col min="4586" max="4586" width="14.08203125" style="64" customWidth="1"/>
    <col min="4587" max="4587" width="10.5" style="64" customWidth="1"/>
    <col min="4588" max="4591" width="0" style="64" hidden="1" customWidth="1"/>
    <col min="4592" max="4604" width="10.58203125" style="64" customWidth="1"/>
    <col min="4605" max="4618" width="0" style="64" hidden="1" customWidth="1"/>
    <col min="4619" max="4620" width="11.1640625" style="64" customWidth="1"/>
    <col min="4621" max="4621" width="9" style="64"/>
    <col min="4622" max="4624" width="0" style="64" hidden="1" customWidth="1"/>
    <col min="4625" max="4837" width="9" style="64"/>
    <col min="4838" max="4838" width="2" style="64" customWidth="1"/>
    <col min="4839" max="4839" width="6.1640625" style="64" customWidth="1"/>
    <col min="4840" max="4840" width="19.6640625" style="64" customWidth="1"/>
    <col min="4841" max="4841" width="23.1640625" style="64" customWidth="1"/>
    <col min="4842" max="4842" width="14.08203125" style="64" customWidth="1"/>
    <col min="4843" max="4843" width="10.5" style="64" customWidth="1"/>
    <col min="4844" max="4847" width="0" style="64" hidden="1" customWidth="1"/>
    <col min="4848" max="4860" width="10.58203125" style="64" customWidth="1"/>
    <col min="4861" max="4874" width="0" style="64" hidden="1" customWidth="1"/>
    <col min="4875" max="4876" width="11.1640625" style="64" customWidth="1"/>
    <col min="4877" max="4877" width="9" style="64"/>
    <col min="4878" max="4880" width="0" style="64" hidden="1" customWidth="1"/>
    <col min="4881" max="5093" width="9" style="64"/>
    <col min="5094" max="5094" width="2" style="64" customWidth="1"/>
    <col min="5095" max="5095" width="6.1640625" style="64" customWidth="1"/>
    <col min="5096" max="5096" width="19.6640625" style="64" customWidth="1"/>
    <col min="5097" max="5097" width="23.1640625" style="64" customWidth="1"/>
    <col min="5098" max="5098" width="14.08203125" style="64" customWidth="1"/>
    <col min="5099" max="5099" width="10.5" style="64" customWidth="1"/>
    <col min="5100" max="5103" width="0" style="64" hidden="1" customWidth="1"/>
    <col min="5104" max="5116" width="10.58203125" style="64" customWidth="1"/>
    <col min="5117" max="5130" width="0" style="64" hidden="1" customWidth="1"/>
    <col min="5131" max="5132" width="11.1640625" style="64" customWidth="1"/>
    <col min="5133" max="5133" width="9" style="64"/>
    <col min="5134" max="5136" width="0" style="64" hidden="1" customWidth="1"/>
    <col min="5137" max="5349" width="9" style="64"/>
    <col min="5350" max="5350" width="2" style="64" customWidth="1"/>
    <col min="5351" max="5351" width="6.1640625" style="64" customWidth="1"/>
    <col min="5352" max="5352" width="19.6640625" style="64" customWidth="1"/>
    <col min="5353" max="5353" width="23.1640625" style="64" customWidth="1"/>
    <col min="5354" max="5354" width="14.08203125" style="64" customWidth="1"/>
    <col min="5355" max="5355" width="10.5" style="64" customWidth="1"/>
    <col min="5356" max="5359" width="0" style="64" hidden="1" customWidth="1"/>
    <col min="5360" max="5372" width="10.58203125" style="64" customWidth="1"/>
    <col min="5373" max="5386" width="0" style="64" hidden="1" customWidth="1"/>
    <col min="5387" max="5388" width="11.1640625" style="64" customWidth="1"/>
    <col min="5389" max="5389" width="9" style="64"/>
    <col min="5390" max="5392" width="0" style="64" hidden="1" customWidth="1"/>
    <col min="5393" max="5605" width="9" style="64"/>
    <col min="5606" max="5606" width="2" style="64" customWidth="1"/>
    <col min="5607" max="5607" width="6.1640625" style="64" customWidth="1"/>
    <col min="5608" max="5608" width="19.6640625" style="64" customWidth="1"/>
    <col min="5609" max="5609" width="23.1640625" style="64" customWidth="1"/>
    <col min="5610" max="5610" width="14.08203125" style="64" customWidth="1"/>
    <col min="5611" max="5611" width="10.5" style="64" customWidth="1"/>
    <col min="5612" max="5615" width="0" style="64" hidden="1" customWidth="1"/>
    <col min="5616" max="5628" width="10.58203125" style="64" customWidth="1"/>
    <col min="5629" max="5642" width="0" style="64" hidden="1" customWidth="1"/>
    <col min="5643" max="5644" width="11.1640625" style="64" customWidth="1"/>
    <col min="5645" max="5645" width="9" style="64"/>
    <col min="5646" max="5648" width="0" style="64" hidden="1" customWidth="1"/>
    <col min="5649" max="5861" width="9" style="64"/>
    <col min="5862" max="5862" width="2" style="64" customWidth="1"/>
    <col min="5863" max="5863" width="6.1640625" style="64" customWidth="1"/>
    <col min="5864" max="5864" width="19.6640625" style="64" customWidth="1"/>
    <col min="5865" max="5865" width="23.1640625" style="64" customWidth="1"/>
    <col min="5866" max="5866" width="14.08203125" style="64" customWidth="1"/>
    <col min="5867" max="5867" width="10.5" style="64" customWidth="1"/>
    <col min="5868" max="5871" width="0" style="64" hidden="1" customWidth="1"/>
    <col min="5872" max="5884" width="10.58203125" style="64" customWidth="1"/>
    <col min="5885" max="5898" width="0" style="64" hidden="1" customWidth="1"/>
    <col min="5899" max="5900" width="11.1640625" style="64" customWidth="1"/>
    <col min="5901" max="5901" width="9" style="64"/>
    <col min="5902" max="5904" width="0" style="64" hidden="1" customWidth="1"/>
    <col min="5905" max="6117" width="9" style="64"/>
    <col min="6118" max="6118" width="2" style="64" customWidth="1"/>
    <col min="6119" max="6119" width="6.1640625" style="64" customWidth="1"/>
    <col min="6120" max="6120" width="19.6640625" style="64" customWidth="1"/>
    <col min="6121" max="6121" width="23.1640625" style="64" customWidth="1"/>
    <col min="6122" max="6122" width="14.08203125" style="64" customWidth="1"/>
    <col min="6123" max="6123" width="10.5" style="64" customWidth="1"/>
    <col min="6124" max="6127" width="0" style="64" hidden="1" customWidth="1"/>
    <col min="6128" max="6140" width="10.58203125" style="64" customWidth="1"/>
    <col min="6141" max="6154" width="0" style="64" hidden="1" customWidth="1"/>
    <col min="6155" max="6156" width="11.1640625" style="64" customWidth="1"/>
    <col min="6157" max="6157" width="9" style="64"/>
    <col min="6158" max="6160" width="0" style="64" hidden="1" customWidth="1"/>
    <col min="6161" max="6373" width="9" style="64"/>
    <col min="6374" max="6374" width="2" style="64" customWidth="1"/>
    <col min="6375" max="6375" width="6.1640625" style="64" customWidth="1"/>
    <col min="6376" max="6376" width="19.6640625" style="64" customWidth="1"/>
    <col min="6377" max="6377" width="23.1640625" style="64" customWidth="1"/>
    <col min="6378" max="6378" width="14.08203125" style="64" customWidth="1"/>
    <col min="6379" max="6379" width="10.5" style="64" customWidth="1"/>
    <col min="6380" max="6383" width="0" style="64" hidden="1" customWidth="1"/>
    <col min="6384" max="6396" width="10.58203125" style="64" customWidth="1"/>
    <col min="6397" max="6410" width="0" style="64" hidden="1" customWidth="1"/>
    <col min="6411" max="6412" width="11.1640625" style="64" customWidth="1"/>
    <col min="6413" max="6413" width="9" style="64"/>
    <col min="6414" max="6416" width="0" style="64" hidden="1" customWidth="1"/>
    <col min="6417" max="6629" width="9" style="64"/>
    <col min="6630" max="6630" width="2" style="64" customWidth="1"/>
    <col min="6631" max="6631" width="6.1640625" style="64" customWidth="1"/>
    <col min="6632" max="6632" width="19.6640625" style="64" customWidth="1"/>
    <col min="6633" max="6633" width="23.1640625" style="64" customWidth="1"/>
    <col min="6634" max="6634" width="14.08203125" style="64" customWidth="1"/>
    <col min="6635" max="6635" width="10.5" style="64" customWidth="1"/>
    <col min="6636" max="6639" width="0" style="64" hidden="1" customWidth="1"/>
    <col min="6640" max="6652" width="10.58203125" style="64" customWidth="1"/>
    <col min="6653" max="6666" width="0" style="64" hidden="1" customWidth="1"/>
    <col min="6667" max="6668" width="11.1640625" style="64" customWidth="1"/>
    <col min="6669" max="6669" width="9" style="64"/>
    <col min="6670" max="6672" width="0" style="64" hidden="1" customWidth="1"/>
    <col min="6673" max="6885" width="9" style="64"/>
    <col min="6886" max="6886" width="2" style="64" customWidth="1"/>
    <col min="6887" max="6887" width="6.1640625" style="64" customWidth="1"/>
    <col min="6888" max="6888" width="19.6640625" style="64" customWidth="1"/>
    <col min="6889" max="6889" width="23.1640625" style="64" customWidth="1"/>
    <col min="6890" max="6890" width="14.08203125" style="64" customWidth="1"/>
    <col min="6891" max="6891" width="10.5" style="64" customWidth="1"/>
    <col min="6892" max="6895" width="0" style="64" hidden="1" customWidth="1"/>
    <col min="6896" max="6908" width="10.58203125" style="64" customWidth="1"/>
    <col min="6909" max="6922" width="0" style="64" hidden="1" customWidth="1"/>
    <col min="6923" max="6924" width="11.1640625" style="64" customWidth="1"/>
    <col min="6925" max="6925" width="9" style="64"/>
    <col min="6926" max="6928" width="0" style="64" hidden="1" customWidth="1"/>
    <col min="6929" max="7141" width="9" style="64"/>
    <col min="7142" max="7142" width="2" style="64" customWidth="1"/>
    <col min="7143" max="7143" width="6.1640625" style="64" customWidth="1"/>
    <col min="7144" max="7144" width="19.6640625" style="64" customWidth="1"/>
    <col min="7145" max="7145" width="23.1640625" style="64" customWidth="1"/>
    <col min="7146" max="7146" width="14.08203125" style="64" customWidth="1"/>
    <col min="7147" max="7147" width="10.5" style="64" customWidth="1"/>
    <col min="7148" max="7151" width="0" style="64" hidden="1" customWidth="1"/>
    <col min="7152" max="7164" width="10.58203125" style="64" customWidth="1"/>
    <col min="7165" max="7178" width="0" style="64" hidden="1" customWidth="1"/>
    <col min="7179" max="7180" width="11.1640625" style="64" customWidth="1"/>
    <col min="7181" max="7181" width="9" style="64"/>
    <col min="7182" max="7184" width="0" style="64" hidden="1" customWidth="1"/>
    <col min="7185" max="7397" width="9" style="64"/>
    <col min="7398" max="7398" width="2" style="64" customWidth="1"/>
    <col min="7399" max="7399" width="6.1640625" style="64" customWidth="1"/>
    <col min="7400" max="7400" width="19.6640625" style="64" customWidth="1"/>
    <col min="7401" max="7401" width="23.1640625" style="64" customWidth="1"/>
    <col min="7402" max="7402" width="14.08203125" style="64" customWidth="1"/>
    <col min="7403" max="7403" width="10.5" style="64" customWidth="1"/>
    <col min="7404" max="7407" width="0" style="64" hidden="1" customWidth="1"/>
    <col min="7408" max="7420" width="10.58203125" style="64" customWidth="1"/>
    <col min="7421" max="7434" width="0" style="64" hidden="1" customWidth="1"/>
    <col min="7435" max="7436" width="11.1640625" style="64" customWidth="1"/>
    <col min="7437" max="7437" width="9" style="64"/>
    <col min="7438" max="7440" width="0" style="64" hidden="1" customWidth="1"/>
    <col min="7441" max="7653" width="9" style="64"/>
    <col min="7654" max="7654" width="2" style="64" customWidth="1"/>
    <col min="7655" max="7655" width="6.1640625" style="64" customWidth="1"/>
    <col min="7656" max="7656" width="19.6640625" style="64" customWidth="1"/>
    <col min="7657" max="7657" width="23.1640625" style="64" customWidth="1"/>
    <col min="7658" max="7658" width="14.08203125" style="64" customWidth="1"/>
    <col min="7659" max="7659" width="10.5" style="64" customWidth="1"/>
    <col min="7660" max="7663" width="0" style="64" hidden="1" customWidth="1"/>
    <col min="7664" max="7676" width="10.58203125" style="64" customWidth="1"/>
    <col min="7677" max="7690" width="0" style="64" hidden="1" customWidth="1"/>
    <col min="7691" max="7692" width="11.1640625" style="64" customWidth="1"/>
    <col min="7693" max="7693" width="9" style="64"/>
    <col min="7694" max="7696" width="0" style="64" hidden="1" customWidth="1"/>
    <col min="7697" max="7909" width="9" style="64"/>
    <col min="7910" max="7910" width="2" style="64" customWidth="1"/>
    <col min="7911" max="7911" width="6.1640625" style="64" customWidth="1"/>
    <col min="7912" max="7912" width="19.6640625" style="64" customWidth="1"/>
    <col min="7913" max="7913" width="23.1640625" style="64" customWidth="1"/>
    <col min="7914" max="7914" width="14.08203125" style="64" customWidth="1"/>
    <col min="7915" max="7915" width="10.5" style="64" customWidth="1"/>
    <col min="7916" max="7919" width="0" style="64" hidden="1" customWidth="1"/>
    <col min="7920" max="7932" width="10.58203125" style="64" customWidth="1"/>
    <col min="7933" max="7946" width="0" style="64" hidden="1" customWidth="1"/>
    <col min="7947" max="7948" width="11.1640625" style="64" customWidth="1"/>
    <col min="7949" max="7949" width="9" style="64"/>
    <col min="7950" max="7952" width="0" style="64" hidden="1" customWidth="1"/>
    <col min="7953" max="8165" width="9" style="64"/>
    <col min="8166" max="8166" width="2" style="64" customWidth="1"/>
    <col min="8167" max="8167" width="6.1640625" style="64" customWidth="1"/>
    <col min="8168" max="8168" width="19.6640625" style="64" customWidth="1"/>
    <col min="8169" max="8169" width="23.1640625" style="64" customWidth="1"/>
    <col min="8170" max="8170" width="14.08203125" style="64" customWidth="1"/>
    <col min="8171" max="8171" width="10.5" style="64" customWidth="1"/>
    <col min="8172" max="8175" width="0" style="64" hidden="1" customWidth="1"/>
    <col min="8176" max="8188" width="10.58203125" style="64" customWidth="1"/>
    <col min="8189" max="8202" width="0" style="64" hidden="1" customWidth="1"/>
    <col min="8203" max="8204" width="11.1640625" style="64" customWidth="1"/>
    <col min="8205" max="8205" width="9" style="64"/>
    <col min="8206" max="8208" width="0" style="64" hidden="1" customWidth="1"/>
    <col min="8209" max="8421" width="9" style="64"/>
    <col min="8422" max="8422" width="2" style="64" customWidth="1"/>
    <col min="8423" max="8423" width="6.1640625" style="64" customWidth="1"/>
    <col min="8424" max="8424" width="19.6640625" style="64" customWidth="1"/>
    <col min="8425" max="8425" width="23.1640625" style="64" customWidth="1"/>
    <col min="8426" max="8426" width="14.08203125" style="64" customWidth="1"/>
    <col min="8427" max="8427" width="10.5" style="64" customWidth="1"/>
    <col min="8428" max="8431" width="0" style="64" hidden="1" customWidth="1"/>
    <col min="8432" max="8444" width="10.58203125" style="64" customWidth="1"/>
    <col min="8445" max="8458" width="0" style="64" hidden="1" customWidth="1"/>
    <col min="8459" max="8460" width="11.1640625" style="64" customWidth="1"/>
    <col min="8461" max="8461" width="9" style="64"/>
    <col min="8462" max="8464" width="0" style="64" hidden="1" customWidth="1"/>
    <col min="8465" max="8677" width="9" style="64"/>
    <col min="8678" max="8678" width="2" style="64" customWidth="1"/>
    <col min="8679" max="8679" width="6.1640625" style="64" customWidth="1"/>
    <col min="8680" max="8680" width="19.6640625" style="64" customWidth="1"/>
    <col min="8681" max="8681" width="23.1640625" style="64" customWidth="1"/>
    <col min="8682" max="8682" width="14.08203125" style="64" customWidth="1"/>
    <col min="8683" max="8683" width="10.5" style="64" customWidth="1"/>
    <col min="8684" max="8687" width="0" style="64" hidden="1" customWidth="1"/>
    <col min="8688" max="8700" width="10.58203125" style="64" customWidth="1"/>
    <col min="8701" max="8714" width="0" style="64" hidden="1" customWidth="1"/>
    <col min="8715" max="8716" width="11.1640625" style="64" customWidth="1"/>
    <col min="8717" max="8717" width="9" style="64"/>
    <col min="8718" max="8720" width="0" style="64" hidden="1" customWidth="1"/>
    <col min="8721" max="8933" width="9" style="64"/>
    <col min="8934" max="8934" width="2" style="64" customWidth="1"/>
    <col min="8935" max="8935" width="6.1640625" style="64" customWidth="1"/>
    <col min="8936" max="8936" width="19.6640625" style="64" customWidth="1"/>
    <col min="8937" max="8937" width="23.1640625" style="64" customWidth="1"/>
    <col min="8938" max="8938" width="14.08203125" style="64" customWidth="1"/>
    <col min="8939" max="8939" width="10.5" style="64" customWidth="1"/>
    <col min="8940" max="8943" width="0" style="64" hidden="1" customWidth="1"/>
    <col min="8944" max="8956" width="10.58203125" style="64" customWidth="1"/>
    <col min="8957" max="8970" width="0" style="64" hidden="1" customWidth="1"/>
    <col min="8971" max="8972" width="11.1640625" style="64" customWidth="1"/>
    <col min="8973" max="8973" width="9" style="64"/>
    <col min="8974" max="8976" width="0" style="64" hidden="1" customWidth="1"/>
    <col min="8977" max="9189" width="9" style="64"/>
    <col min="9190" max="9190" width="2" style="64" customWidth="1"/>
    <col min="9191" max="9191" width="6.1640625" style="64" customWidth="1"/>
    <col min="9192" max="9192" width="19.6640625" style="64" customWidth="1"/>
    <col min="9193" max="9193" width="23.1640625" style="64" customWidth="1"/>
    <col min="9194" max="9194" width="14.08203125" style="64" customWidth="1"/>
    <col min="9195" max="9195" width="10.5" style="64" customWidth="1"/>
    <col min="9196" max="9199" width="0" style="64" hidden="1" customWidth="1"/>
    <col min="9200" max="9212" width="10.58203125" style="64" customWidth="1"/>
    <col min="9213" max="9226" width="0" style="64" hidden="1" customWidth="1"/>
    <col min="9227" max="9228" width="11.1640625" style="64" customWidth="1"/>
    <col min="9229" max="9229" width="9" style="64"/>
    <col min="9230" max="9232" width="0" style="64" hidden="1" customWidth="1"/>
    <col min="9233" max="9445" width="9" style="64"/>
    <col min="9446" max="9446" width="2" style="64" customWidth="1"/>
    <col min="9447" max="9447" width="6.1640625" style="64" customWidth="1"/>
    <col min="9448" max="9448" width="19.6640625" style="64" customWidth="1"/>
    <col min="9449" max="9449" width="23.1640625" style="64" customWidth="1"/>
    <col min="9450" max="9450" width="14.08203125" style="64" customWidth="1"/>
    <col min="9451" max="9451" width="10.5" style="64" customWidth="1"/>
    <col min="9452" max="9455" width="0" style="64" hidden="1" customWidth="1"/>
    <col min="9456" max="9468" width="10.58203125" style="64" customWidth="1"/>
    <col min="9469" max="9482" width="0" style="64" hidden="1" customWidth="1"/>
    <col min="9483" max="9484" width="11.1640625" style="64" customWidth="1"/>
    <col min="9485" max="9485" width="9" style="64"/>
    <col min="9486" max="9488" width="0" style="64" hidden="1" customWidth="1"/>
    <col min="9489" max="9701" width="9" style="64"/>
    <col min="9702" max="9702" width="2" style="64" customWidth="1"/>
    <col min="9703" max="9703" width="6.1640625" style="64" customWidth="1"/>
    <col min="9704" max="9704" width="19.6640625" style="64" customWidth="1"/>
    <col min="9705" max="9705" width="23.1640625" style="64" customWidth="1"/>
    <col min="9706" max="9706" width="14.08203125" style="64" customWidth="1"/>
    <col min="9707" max="9707" width="10.5" style="64" customWidth="1"/>
    <col min="9708" max="9711" width="0" style="64" hidden="1" customWidth="1"/>
    <col min="9712" max="9724" width="10.58203125" style="64" customWidth="1"/>
    <col min="9725" max="9738" width="0" style="64" hidden="1" customWidth="1"/>
    <col min="9739" max="9740" width="11.1640625" style="64" customWidth="1"/>
    <col min="9741" max="9741" width="9" style="64"/>
    <col min="9742" max="9744" width="0" style="64" hidden="1" customWidth="1"/>
    <col min="9745" max="9957" width="9" style="64"/>
    <col min="9958" max="9958" width="2" style="64" customWidth="1"/>
    <col min="9959" max="9959" width="6.1640625" style="64" customWidth="1"/>
    <col min="9960" max="9960" width="19.6640625" style="64" customWidth="1"/>
    <col min="9961" max="9961" width="23.1640625" style="64" customWidth="1"/>
    <col min="9962" max="9962" width="14.08203125" style="64" customWidth="1"/>
    <col min="9963" max="9963" width="10.5" style="64" customWidth="1"/>
    <col min="9964" max="9967" width="0" style="64" hidden="1" customWidth="1"/>
    <col min="9968" max="9980" width="10.58203125" style="64" customWidth="1"/>
    <col min="9981" max="9994" width="0" style="64" hidden="1" customWidth="1"/>
    <col min="9995" max="9996" width="11.1640625" style="64" customWidth="1"/>
    <col min="9997" max="9997" width="9" style="64"/>
    <col min="9998" max="10000" width="0" style="64" hidden="1" customWidth="1"/>
    <col min="10001" max="10213" width="9" style="64"/>
    <col min="10214" max="10214" width="2" style="64" customWidth="1"/>
    <col min="10215" max="10215" width="6.1640625" style="64" customWidth="1"/>
    <col min="10216" max="10216" width="19.6640625" style="64" customWidth="1"/>
    <col min="10217" max="10217" width="23.1640625" style="64" customWidth="1"/>
    <col min="10218" max="10218" width="14.08203125" style="64" customWidth="1"/>
    <col min="10219" max="10219" width="10.5" style="64" customWidth="1"/>
    <col min="10220" max="10223" width="0" style="64" hidden="1" customWidth="1"/>
    <col min="10224" max="10236" width="10.58203125" style="64" customWidth="1"/>
    <col min="10237" max="10250" width="0" style="64" hidden="1" customWidth="1"/>
    <col min="10251" max="10252" width="11.1640625" style="64" customWidth="1"/>
    <col min="10253" max="10253" width="9" style="64"/>
    <col min="10254" max="10256" width="0" style="64" hidden="1" customWidth="1"/>
    <col min="10257" max="10469" width="9" style="64"/>
    <col min="10470" max="10470" width="2" style="64" customWidth="1"/>
    <col min="10471" max="10471" width="6.1640625" style="64" customWidth="1"/>
    <col min="10472" max="10472" width="19.6640625" style="64" customWidth="1"/>
    <col min="10473" max="10473" width="23.1640625" style="64" customWidth="1"/>
    <col min="10474" max="10474" width="14.08203125" style="64" customWidth="1"/>
    <col min="10475" max="10475" width="10.5" style="64" customWidth="1"/>
    <col min="10476" max="10479" width="0" style="64" hidden="1" customWidth="1"/>
    <col min="10480" max="10492" width="10.58203125" style="64" customWidth="1"/>
    <col min="10493" max="10506" width="0" style="64" hidden="1" customWidth="1"/>
    <col min="10507" max="10508" width="11.1640625" style="64" customWidth="1"/>
    <col min="10509" max="10509" width="9" style="64"/>
    <col min="10510" max="10512" width="0" style="64" hidden="1" customWidth="1"/>
    <col min="10513" max="10725" width="9" style="64"/>
    <col min="10726" max="10726" width="2" style="64" customWidth="1"/>
    <col min="10727" max="10727" width="6.1640625" style="64" customWidth="1"/>
    <col min="10728" max="10728" width="19.6640625" style="64" customWidth="1"/>
    <col min="10729" max="10729" width="23.1640625" style="64" customWidth="1"/>
    <col min="10730" max="10730" width="14.08203125" style="64" customWidth="1"/>
    <col min="10731" max="10731" width="10.5" style="64" customWidth="1"/>
    <col min="10732" max="10735" width="0" style="64" hidden="1" customWidth="1"/>
    <col min="10736" max="10748" width="10.58203125" style="64" customWidth="1"/>
    <col min="10749" max="10762" width="0" style="64" hidden="1" customWidth="1"/>
    <col min="10763" max="10764" width="11.1640625" style="64" customWidth="1"/>
    <col min="10765" max="10765" width="9" style="64"/>
    <col min="10766" max="10768" width="0" style="64" hidden="1" customWidth="1"/>
    <col min="10769" max="10981" width="9" style="64"/>
    <col min="10982" max="10982" width="2" style="64" customWidth="1"/>
    <col min="10983" max="10983" width="6.1640625" style="64" customWidth="1"/>
    <col min="10984" max="10984" width="19.6640625" style="64" customWidth="1"/>
    <col min="10985" max="10985" width="23.1640625" style="64" customWidth="1"/>
    <col min="10986" max="10986" width="14.08203125" style="64" customWidth="1"/>
    <col min="10987" max="10987" width="10.5" style="64" customWidth="1"/>
    <col min="10988" max="10991" width="0" style="64" hidden="1" customWidth="1"/>
    <col min="10992" max="11004" width="10.58203125" style="64" customWidth="1"/>
    <col min="11005" max="11018" width="0" style="64" hidden="1" customWidth="1"/>
    <col min="11019" max="11020" width="11.1640625" style="64" customWidth="1"/>
    <col min="11021" max="11021" width="9" style="64"/>
    <col min="11022" max="11024" width="0" style="64" hidden="1" customWidth="1"/>
    <col min="11025" max="11237" width="9" style="64"/>
    <col min="11238" max="11238" width="2" style="64" customWidth="1"/>
    <col min="11239" max="11239" width="6.1640625" style="64" customWidth="1"/>
    <col min="11240" max="11240" width="19.6640625" style="64" customWidth="1"/>
    <col min="11241" max="11241" width="23.1640625" style="64" customWidth="1"/>
    <col min="11242" max="11242" width="14.08203125" style="64" customWidth="1"/>
    <col min="11243" max="11243" width="10.5" style="64" customWidth="1"/>
    <col min="11244" max="11247" width="0" style="64" hidden="1" customWidth="1"/>
    <col min="11248" max="11260" width="10.58203125" style="64" customWidth="1"/>
    <col min="11261" max="11274" width="0" style="64" hidden="1" customWidth="1"/>
    <col min="11275" max="11276" width="11.1640625" style="64" customWidth="1"/>
    <col min="11277" max="11277" width="9" style="64"/>
    <col min="11278" max="11280" width="0" style="64" hidden="1" customWidth="1"/>
    <col min="11281" max="11493" width="9" style="64"/>
    <col min="11494" max="11494" width="2" style="64" customWidth="1"/>
    <col min="11495" max="11495" width="6.1640625" style="64" customWidth="1"/>
    <col min="11496" max="11496" width="19.6640625" style="64" customWidth="1"/>
    <col min="11497" max="11497" width="23.1640625" style="64" customWidth="1"/>
    <col min="11498" max="11498" width="14.08203125" style="64" customWidth="1"/>
    <col min="11499" max="11499" width="10.5" style="64" customWidth="1"/>
    <col min="11500" max="11503" width="0" style="64" hidden="1" customWidth="1"/>
    <col min="11504" max="11516" width="10.58203125" style="64" customWidth="1"/>
    <col min="11517" max="11530" width="0" style="64" hidden="1" customWidth="1"/>
    <col min="11531" max="11532" width="11.1640625" style="64" customWidth="1"/>
    <col min="11533" max="11533" width="9" style="64"/>
    <col min="11534" max="11536" width="0" style="64" hidden="1" customWidth="1"/>
    <col min="11537" max="11749" width="9" style="64"/>
    <col min="11750" max="11750" width="2" style="64" customWidth="1"/>
    <col min="11751" max="11751" width="6.1640625" style="64" customWidth="1"/>
    <col min="11752" max="11752" width="19.6640625" style="64" customWidth="1"/>
    <col min="11753" max="11753" width="23.1640625" style="64" customWidth="1"/>
    <col min="11754" max="11754" width="14.08203125" style="64" customWidth="1"/>
    <col min="11755" max="11755" width="10.5" style="64" customWidth="1"/>
    <col min="11756" max="11759" width="0" style="64" hidden="1" customWidth="1"/>
    <col min="11760" max="11772" width="10.58203125" style="64" customWidth="1"/>
    <col min="11773" max="11786" width="0" style="64" hidden="1" customWidth="1"/>
    <col min="11787" max="11788" width="11.1640625" style="64" customWidth="1"/>
    <col min="11789" max="11789" width="9" style="64"/>
    <col min="11790" max="11792" width="0" style="64" hidden="1" customWidth="1"/>
    <col min="11793" max="12005" width="9" style="64"/>
    <col min="12006" max="12006" width="2" style="64" customWidth="1"/>
    <col min="12007" max="12007" width="6.1640625" style="64" customWidth="1"/>
    <col min="12008" max="12008" width="19.6640625" style="64" customWidth="1"/>
    <col min="12009" max="12009" width="23.1640625" style="64" customWidth="1"/>
    <col min="12010" max="12010" width="14.08203125" style="64" customWidth="1"/>
    <col min="12011" max="12011" width="10.5" style="64" customWidth="1"/>
    <col min="12012" max="12015" width="0" style="64" hidden="1" customWidth="1"/>
    <col min="12016" max="12028" width="10.58203125" style="64" customWidth="1"/>
    <col min="12029" max="12042" width="0" style="64" hidden="1" customWidth="1"/>
    <col min="12043" max="12044" width="11.1640625" style="64" customWidth="1"/>
    <col min="12045" max="12045" width="9" style="64"/>
    <col min="12046" max="12048" width="0" style="64" hidden="1" customWidth="1"/>
    <col min="12049" max="12261" width="9" style="64"/>
    <col min="12262" max="12262" width="2" style="64" customWidth="1"/>
    <col min="12263" max="12263" width="6.1640625" style="64" customWidth="1"/>
    <col min="12264" max="12264" width="19.6640625" style="64" customWidth="1"/>
    <col min="12265" max="12265" width="23.1640625" style="64" customWidth="1"/>
    <col min="12266" max="12266" width="14.08203125" style="64" customWidth="1"/>
    <col min="12267" max="12267" width="10.5" style="64" customWidth="1"/>
    <col min="12268" max="12271" width="0" style="64" hidden="1" customWidth="1"/>
    <col min="12272" max="12284" width="10.58203125" style="64" customWidth="1"/>
    <col min="12285" max="12298" width="0" style="64" hidden="1" customWidth="1"/>
    <col min="12299" max="12300" width="11.1640625" style="64" customWidth="1"/>
    <col min="12301" max="12301" width="9" style="64"/>
    <col min="12302" max="12304" width="0" style="64" hidden="1" customWidth="1"/>
    <col min="12305" max="12517" width="9" style="64"/>
    <col min="12518" max="12518" width="2" style="64" customWidth="1"/>
    <col min="12519" max="12519" width="6.1640625" style="64" customWidth="1"/>
    <col min="12520" max="12520" width="19.6640625" style="64" customWidth="1"/>
    <col min="12521" max="12521" width="23.1640625" style="64" customWidth="1"/>
    <col min="12522" max="12522" width="14.08203125" style="64" customWidth="1"/>
    <col min="12523" max="12523" width="10.5" style="64" customWidth="1"/>
    <col min="12524" max="12527" width="0" style="64" hidden="1" customWidth="1"/>
    <col min="12528" max="12540" width="10.58203125" style="64" customWidth="1"/>
    <col min="12541" max="12554" width="0" style="64" hidden="1" customWidth="1"/>
    <col min="12555" max="12556" width="11.1640625" style="64" customWidth="1"/>
    <col min="12557" max="12557" width="9" style="64"/>
    <col min="12558" max="12560" width="0" style="64" hidden="1" customWidth="1"/>
    <col min="12561" max="12773" width="9" style="64"/>
    <col min="12774" max="12774" width="2" style="64" customWidth="1"/>
    <col min="12775" max="12775" width="6.1640625" style="64" customWidth="1"/>
    <col min="12776" max="12776" width="19.6640625" style="64" customWidth="1"/>
    <col min="12777" max="12777" width="23.1640625" style="64" customWidth="1"/>
    <col min="12778" max="12778" width="14.08203125" style="64" customWidth="1"/>
    <col min="12779" max="12779" width="10.5" style="64" customWidth="1"/>
    <col min="12780" max="12783" width="0" style="64" hidden="1" customWidth="1"/>
    <col min="12784" max="12796" width="10.58203125" style="64" customWidth="1"/>
    <col min="12797" max="12810" width="0" style="64" hidden="1" customWidth="1"/>
    <col min="12811" max="12812" width="11.1640625" style="64" customWidth="1"/>
    <col min="12813" max="12813" width="9" style="64"/>
    <col min="12814" max="12816" width="0" style="64" hidden="1" customWidth="1"/>
    <col min="12817" max="13029" width="9" style="64"/>
    <col min="13030" max="13030" width="2" style="64" customWidth="1"/>
    <col min="13031" max="13031" width="6.1640625" style="64" customWidth="1"/>
    <col min="13032" max="13032" width="19.6640625" style="64" customWidth="1"/>
    <col min="13033" max="13033" width="23.1640625" style="64" customWidth="1"/>
    <col min="13034" max="13034" width="14.08203125" style="64" customWidth="1"/>
    <col min="13035" max="13035" width="10.5" style="64" customWidth="1"/>
    <col min="13036" max="13039" width="0" style="64" hidden="1" customWidth="1"/>
    <col min="13040" max="13052" width="10.58203125" style="64" customWidth="1"/>
    <col min="13053" max="13066" width="0" style="64" hidden="1" customWidth="1"/>
    <col min="13067" max="13068" width="11.1640625" style="64" customWidth="1"/>
    <col min="13069" max="13069" width="9" style="64"/>
    <col min="13070" max="13072" width="0" style="64" hidden="1" customWidth="1"/>
    <col min="13073" max="13285" width="9" style="64"/>
    <col min="13286" max="13286" width="2" style="64" customWidth="1"/>
    <col min="13287" max="13287" width="6.1640625" style="64" customWidth="1"/>
    <col min="13288" max="13288" width="19.6640625" style="64" customWidth="1"/>
    <col min="13289" max="13289" width="23.1640625" style="64" customWidth="1"/>
    <col min="13290" max="13290" width="14.08203125" style="64" customWidth="1"/>
    <col min="13291" max="13291" width="10.5" style="64" customWidth="1"/>
    <col min="13292" max="13295" width="0" style="64" hidden="1" customWidth="1"/>
    <col min="13296" max="13308" width="10.58203125" style="64" customWidth="1"/>
    <col min="13309" max="13322" width="0" style="64" hidden="1" customWidth="1"/>
    <col min="13323" max="13324" width="11.1640625" style="64" customWidth="1"/>
    <col min="13325" max="13325" width="9" style="64"/>
    <col min="13326" max="13328" width="0" style="64" hidden="1" customWidth="1"/>
    <col min="13329" max="13541" width="9" style="64"/>
    <col min="13542" max="13542" width="2" style="64" customWidth="1"/>
    <col min="13543" max="13543" width="6.1640625" style="64" customWidth="1"/>
    <col min="13544" max="13544" width="19.6640625" style="64" customWidth="1"/>
    <col min="13545" max="13545" width="23.1640625" style="64" customWidth="1"/>
    <col min="13546" max="13546" width="14.08203125" style="64" customWidth="1"/>
    <col min="13547" max="13547" width="10.5" style="64" customWidth="1"/>
    <col min="13548" max="13551" width="0" style="64" hidden="1" customWidth="1"/>
    <col min="13552" max="13564" width="10.58203125" style="64" customWidth="1"/>
    <col min="13565" max="13578" width="0" style="64" hidden="1" customWidth="1"/>
    <col min="13579" max="13580" width="11.1640625" style="64" customWidth="1"/>
    <col min="13581" max="13581" width="9" style="64"/>
    <col min="13582" max="13584" width="0" style="64" hidden="1" customWidth="1"/>
    <col min="13585" max="13797" width="9" style="64"/>
    <col min="13798" max="13798" width="2" style="64" customWidth="1"/>
    <col min="13799" max="13799" width="6.1640625" style="64" customWidth="1"/>
    <col min="13800" max="13800" width="19.6640625" style="64" customWidth="1"/>
    <col min="13801" max="13801" width="23.1640625" style="64" customWidth="1"/>
    <col min="13802" max="13802" width="14.08203125" style="64" customWidth="1"/>
    <col min="13803" max="13803" width="10.5" style="64" customWidth="1"/>
    <col min="13804" max="13807" width="0" style="64" hidden="1" customWidth="1"/>
    <col min="13808" max="13820" width="10.58203125" style="64" customWidth="1"/>
    <col min="13821" max="13834" width="0" style="64" hidden="1" customWidth="1"/>
    <col min="13835" max="13836" width="11.1640625" style="64" customWidth="1"/>
    <col min="13837" max="13837" width="9" style="64"/>
    <col min="13838" max="13840" width="0" style="64" hidden="1" customWidth="1"/>
    <col min="13841" max="14053" width="9" style="64"/>
    <col min="14054" max="14054" width="2" style="64" customWidth="1"/>
    <col min="14055" max="14055" width="6.1640625" style="64" customWidth="1"/>
    <col min="14056" max="14056" width="19.6640625" style="64" customWidth="1"/>
    <col min="14057" max="14057" width="23.1640625" style="64" customWidth="1"/>
    <col min="14058" max="14058" width="14.08203125" style="64" customWidth="1"/>
    <col min="14059" max="14059" width="10.5" style="64" customWidth="1"/>
    <col min="14060" max="14063" width="0" style="64" hidden="1" customWidth="1"/>
    <col min="14064" max="14076" width="10.58203125" style="64" customWidth="1"/>
    <col min="14077" max="14090" width="0" style="64" hidden="1" customWidth="1"/>
    <col min="14091" max="14092" width="11.1640625" style="64" customWidth="1"/>
    <col min="14093" max="14093" width="9" style="64"/>
    <col min="14094" max="14096" width="0" style="64" hidden="1" customWidth="1"/>
    <col min="14097" max="14309" width="9" style="64"/>
    <col min="14310" max="14310" width="2" style="64" customWidth="1"/>
    <col min="14311" max="14311" width="6.1640625" style="64" customWidth="1"/>
    <col min="14312" max="14312" width="19.6640625" style="64" customWidth="1"/>
    <col min="14313" max="14313" width="23.1640625" style="64" customWidth="1"/>
    <col min="14314" max="14314" width="14.08203125" style="64" customWidth="1"/>
    <col min="14315" max="14315" width="10.5" style="64" customWidth="1"/>
    <col min="14316" max="14319" width="0" style="64" hidden="1" customWidth="1"/>
    <col min="14320" max="14332" width="10.58203125" style="64" customWidth="1"/>
    <col min="14333" max="14346" width="0" style="64" hidden="1" customWidth="1"/>
    <col min="14347" max="14348" width="11.1640625" style="64" customWidth="1"/>
    <col min="14349" max="14349" width="9" style="64"/>
    <col min="14350" max="14352" width="0" style="64" hidden="1" customWidth="1"/>
    <col min="14353" max="14565" width="9" style="64"/>
    <col min="14566" max="14566" width="2" style="64" customWidth="1"/>
    <col min="14567" max="14567" width="6.1640625" style="64" customWidth="1"/>
    <col min="14568" max="14568" width="19.6640625" style="64" customWidth="1"/>
    <col min="14569" max="14569" width="23.1640625" style="64" customWidth="1"/>
    <col min="14570" max="14570" width="14.08203125" style="64" customWidth="1"/>
    <col min="14571" max="14571" width="10.5" style="64" customWidth="1"/>
    <col min="14572" max="14575" width="0" style="64" hidden="1" customWidth="1"/>
    <col min="14576" max="14588" width="10.58203125" style="64" customWidth="1"/>
    <col min="14589" max="14602" width="0" style="64" hidden="1" customWidth="1"/>
    <col min="14603" max="14604" width="11.1640625" style="64" customWidth="1"/>
    <col min="14605" max="14605" width="9" style="64"/>
    <col min="14606" max="14608" width="0" style="64" hidden="1" customWidth="1"/>
    <col min="14609" max="14821" width="9" style="64"/>
    <col min="14822" max="14822" width="2" style="64" customWidth="1"/>
    <col min="14823" max="14823" width="6.1640625" style="64" customWidth="1"/>
    <col min="14824" max="14824" width="19.6640625" style="64" customWidth="1"/>
    <col min="14825" max="14825" width="23.1640625" style="64" customWidth="1"/>
    <col min="14826" max="14826" width="14.08203125" style="64" customWidth="1"/>
    <col min="14827" max="14827" width="10.5" style="64" customWidth="1"/>
    <col min="14828" max="14831" width="0" style="64" hidden="1" customWidth="1"/>
    <col min="14832" max="14844" width="10.58203125" style="64" customWidth="1"/>
    <col min="14845" max="14858" width="0" style="64" hidden="1" customWidth="1"/>
    <col min="14859" max="14860" width="11.1640625" style="64" customWidth="1"/>
    <col min="14861" max="14861" width="9" style="64"/>
    <col min="14862" max="14864" width="0" style="64" hidden="1" customWidth="1"/>
    <col min="14865" max="15077" width="9" style="64"/>
    <col min="15078" max="15078" width="2" style="64" customWidth="1"/>
    <col min="15079" max="15079" width="6.1640625" style="64" customWidth="1"/>
    <col min="15080" max="15080" width="19.6640625" style="64" customWidth="1"/>
    <col min="15081" max="15081" width="23.1640625" style="64" customWidth="1"/>
    <col min="15082" max="15082" width="14.08203125" style="64" customWidth="1"/>
    <col min="15083" max="15083" width="10.5" style="64" customWidth="1"/>
    <col min="15084" max="15087" width="0" style="64" hidden="1" customWidth="1"/>
    <col min="15088" max="15100" width="10.58203125" style="64" customWidth="1"/>
    <col min="15101" max="15114" width="0" style="64" hidden="1" customWidth="1"/>
    <col min="15115" max="15116" width="11.1640625" style="64" customWidth="1"/>
    <col min="15117" max="15117" width="9" style="64"/>
    <col min="15118" max="15120" width="0" style="64" hidden="1" customWidth="1"/>
    <col min="15121" max="15333" width="9" style="64"/>
    <col min="15334" max="15334" width="2" style="64" customWidth="1"/>
    <col min="15335" max="15335" width="6.1640625" style="64" customWidth="1"/>
    <col min="15336" max="15336" width="19.6640625" style="64" customWidth="1"/>
    <col min="15337" max="15337" width="23.1640625" style="64" customWidth="1"/>
    <col min="15338" max="15338" width="14.08203125" style="64" customWidth="1"/>
    <col min="15339" max="15339" width="10.5" style="64" customWidth="1"/>
    <col min="15340" max="15343" width="0" style="64" hidden="1" customWidth="1"/>
    <col min="15344" max="15356" width="10.58203125" style="64" customWidth="1"/>
    <col min="15357" max="15370" width="0" style="64" hidden="1" customWidth="1"/>
    <col min="15371" max="15372" width="11.1640625" style="64" customWidth="1"/>
    <col min="15373" max="15373" width="9" style="64"/>
    <col min="15374" max="15376" width="0" style="64" hidden="1" customWidth="1"/>
    <col min="15377" max="15589" width="9" style="64"/>
    <col min="15590" max="15590" width="2" style="64" customWidth="1"/>
    <col min="15591" max="15591" width="6.1640625" style="64" customWidth="1"/>
    <col min="15592" max="15592" width="19.6640625" style="64" customWidth="1"/>
    <col min="15593" max="15593" width="23.1640625" style="64" customWidth="1"/>
    <col min="15594" max="15594" width="14.08203125" style="64" customWidth="1"/>
    <col min="15595" max="15595" width="10.5" style="64" customWidth="1"/>
    <col min="15596" max="15599" width="0" style="64" hidden="1" customWidth="1"/>
    <col min="15600" max="15612" width="10.58203125" style="64" customWidth="1"/>
    <col min="15613" max="15626" width="0" style="64" hidden="1" customWidth="1"/>
    <col min="15627" max="15628" width="11.1640625" style="64" customWidth="1"/>
    <col min="15629" max="15629" width="9" style="64"/>
    <col min="15630" max="15632" width="0" style="64" hidden="1" customWidth="1"/>
    <col min="15633" max="15845" width="9" style="64"/>
    <col min="15846" max="15846" width="2" style="64" customWidth="1"/>
    <col min="15847" max="15847" width="6.1640625" style="64" customWidth="1"/>
    <col min="15848" max="15848" width="19.6640625" style="64" customWidth="1"/>
    <col min="15849" max="15849" width="23.1640625" style="64" customWidth="1"/>
    <col min="15850" max="15850" width="14.08203125" style="64" customWidth="1"/>
    <col min="15851" max="15851" width="10.5" style="64" customWidth="1"/>
    <col min="15852" max="15855" width="0" style="64" hidden="1" customWidth="1"/>
    <col min="15856" max="15868" width="10.58203125" style="64" customWidth="1"/>
    <col min="15869" max="15882" width="0" style="64" hidden="1" customWidth="1"/>
    <col min="15883" max="15884" width="11.1640625" style="64" customWidth="1"/>
    <col min="15885" max="15885" width="9" style="64"/>
    <col min="15886" max="15888" width="0" style="64" hidden="1" customWidth="1"/>
    <col min="15889" max="16101" width="9" style="64"/>
    <col min="16102" max="16102" width="2" style="64" customWidth="1"/>
    <col min="16103" max="16103" width="6.1640625" style="64" customWidth="1"/>
    <col min="16104" max="16104" width="19.6640625" style="64" customWidth="1"/>
    <col min="16105" max="16105" width="23.1640625" style="64" customWidth="1"/>
    <col min="16106" max="16106" width="14.08203125" style="64" customWidth="1"/>
    <col min="16107" max="16107" width="10.5" style="64" customWidth="1"/>
    <col min="16108" max="16111" width="0" style="64" hidden="1" customWidth="1"/>
    <col min="16112" max="16124" width="10.58203125" style="64" customWidth="1"/>
    <col min="16125" max="16138" width="0" style="64" hidden="1" customWidth="1"/>
    <col min="16139" max="16140" width="11.1640625" style="64" customWidth="1"/>
    <col min="16141" max="16141" width="9" style="64"/>
    <col min="16142" max="16144" width="0" style="64" hidden="1" customWidth="1"/>
    <col min="16145" max="16384" width="9" style="64"/>
  </cols>
  <sheetData>
    <row r="1" spans="1:15">
      <c r="A1" s="3" t="s">
        <v>2508</v>
      </c>
      <c r="B1" s="52"/>
      <c r="C1" s="3"/>
      <c r="D1" s="3"/>
      <c r="E1" s="3"/>
      <c r="F1" s="3"/>
      <c r="G1" s="64" t="s">
        <v>1915</v>
      </c>
      <c r="H1" s="64" t="s">
        <v>1915</v>
      </c>
      <c r="I1" s="36" t="s">
        <v>2056</v>
      </c>
      <c r="J1" s="1939" t="str">
        <f>IF('0.事業所概要'!D11="","",'0.事業所概要'!D11)</f>
        <v>県庁産業㈱　　本社、浦和支店</v>
      </c>
      <c r="K1" s="1940"/>
    </row>
    <row r="2" spans="1:15" ht="25.5" customHeight="1" thickBot="1">
      <c r="A2" s="52" t="s">
        <v>2515</v>
      </c>
      <c r="B2" s="52"/>
      <c r="C2" s="3"/>
      <c r="D2" s="3"/>
      <c r="E2" s="3"/>
      <c r="F2" s="3"/>
      <c r="G2" s="220"/>
      <c r="H2" s="220"/>
      <c r="I2" s="37">
        <v>0</v>
      </c>
      <c r="J2" s="38"/>
      <c r="K2" s="38" t="str">
        <f>CONCATENATE('0.事業所概要'!$B$3,'0.事業所概要'!$C$3,"年度")</f>
        <v>令和７年度</v>
      </c>
    </row>
    <row r="3" spans="1:15" ht="13.5" customHeight="1">
      <c r="A3" s="1982"/>
      <c r="B3" s="1985" t="s">
        <v>72</v>
      </c>
      <c r="C3" s="1985" t="s">
        <v>73</v>
      </c>
      <c r="D3" s="1985"/>
      <c r="E3" s="1985" t="s">
        <v>74</v>
      </c>
      <c r="F3" s="1841" t="s">
        <v>75</v>
      </c>
      <c r="G3" s="1959" t="s">
        <v>76</v>
      </c>
      <c r="H3" s="1960"/>
      <c r="I3" s="1985" t="s">
        <v>1903</v>
      </c>
      <c r="J3" s="1985"/>
      <c r="K3" s="1978" t="s">
        <v>269</v>
      </c>
      <c r="N3" s="1830" t="s">
        <v>1897</v>
      </c>
      <c r="O3" s="1958" t="s">
        <v>1907</v>
      </c>
    </row>
    <row r="4" spans="1:15" ht="18.75" customHeight="1">
      <c r="A4" s="1983"/>
      <c r="B4" s="1986"/>
      <c r="C4" s="1986"/>
      <c r="D4" s="1986"/>
      <c r="E4" s="1986"/>
      <c r="F4" s="1956"/>
      <c r="G4" s="1961"/>
      <c r="H4" s="1962"/>
      <c r="I4" s="1986"/>
      <c r="J4" s="1986"/>
      <c r="K4" s="1979"/>
      <c r="N4" s="1830"/>
      <c r="O4" s="1958"/>
    </row>
    <row r="5" spans="1:15" ht="24.9" customHeight="1" thickBot="1">
      <c r="A5" s="1984"/>
      <c r="B5" s="1987"/>
      <c r="C5" s="1987"/>
      <c r="D5" s="1987"/>
      <c r="E5" s="1987"/>
      <c r="F5" s="1957"/>
      <c r="G5" s="1963"/>
      <c r="H5" s="1964"/>
      <c r="I5" s="1987"/>
      <c r="J5" s="1987"/>
      <c r="K5" s="212" t="s">
        <v>177</v>
      </c>
      <c r="N5" s="1874"/>
      <c r="O5" s="1958"/>
    </row>
    <row r="6" spans="1:15" ht="33.75" customHeight="1">
      <c r="A6" s="1981" t="s">
        <v>272</v>
      </c>
      <c r="B6" s="1995" t="s">
        <v>78</v>
      </c>
      <c r="C6" s="1674" t="s">
        <v>198</v>
      </c>
      <c r="D6" s="1674"/>
      <c r="E6" s="434" t="s">
        <v>373</v>
      </c>
      <c r="F6" s="48"/>
      <c r="G6" s="299" t="str">
        <f>IF(E6="","",IF(F6="","",F6/O6))</f>
        <v/>
      </c>
      <c r="H6" s="302" t="s">
        <v>1913</v>
      </c>
      <c r="I6" s="305">
        <v>2.93</v>
      </c>
      <c r="J6" s="217" t="s">
        <v>1898</v>
      </c>
      <c r="K6" s="1" t="str">
        <f>IF(G6="","",IF(I6="","",G6*I6))</f>
        <v/>
      </c>
      <c r="M6" s="500" t="str">
        <f>非_単位!B88</f>
        <v>廃棄物の焼却：廃油（植物性のもの及び動物性のもの並びに特定有害産業廃棄物を除く）</v>
      </c>
      <c r="N6" s="500" t="str">
        <f>"非_単位!$C$"&amp;MATCH(M6,非_単位!B:B,0)&amp;":$D$"&amp;MATCH(M6,非_単位!B:B,0)</f>
        <v>非_単位!$C$88:$D$88</v>
      </c>
      <c r="O6" s="500">
        <f>IF(E6="","",VLOOKUP(E6,非_単位補正換算!$B$3:$C$16,2,FALSE))</f>
        <v>1000</v>
      </c>
    </row>
    <row r="7" spans="1:15" ht="22.5">
      <c r="A7" s="1981"/>
      <c r="B7" s="1996"/>
      <c r="C7" s="1695" t="s">
        <v>79</v>
      </c>
      <c r="D7" s="1695"/>
      <c r="E7" s="434" t="s">
        <v>373</v>
      </c>
      <c r="F7" s="39"/>
      <c r="G7" s="300" t="str">
        <f t="shared" ref="G7:G49" si="0">IF(E7="","",IF(F7="","",F7/O7))</f>
        <v/>
      </c>
      <c r="H7" s="303" t="s">
        <v>1913</v>
      </c>
      <c r="I7" s="306">
        <v>1.02</v>
      </c>
      <c r="J7" s="219" t="s">
        <v>1898</v>
      </c>
      <c r="K7" s="362" t="str">
        <f t="shared" ref="K7:K49" si="1">IF(G7="","",IF(I7="","",G7*I7))</f>
        <v/>
      </c>
      <c r="M7" s="500" t="str">
        <f>非_単位!B89</f>
        <v xml:space="preserve">廃棄物の焼却：廃油（特定有害産業廃棄物に限る。） </v>
      </c>
      <c r="N7" s="500" t="str">
        <f>"非_単位!$C$"&amp;MATCH(M7,非_単位!B:B,0)&amp;":$D$"&amp;MATCH(M7,非_単位!B:B,0)</f>
        <v>非_単位!$C$89:$D$89</v>
      </c>
      <c r="O7" s="500">
        <f>IF(E7="","",VLOOKUP(E7,非_単位補正換算!$B$3:$C$16,2,FALSE))</f>
        <v>1000</v>
      </c>
    </row>
    <row r="8" spans="1:15" ht="20.25" customHeight="1">
      <c r="A8" s="1981"/>
      <c r="B8" s="1695"/>
      <c r="C8" s="1679" t="s">
        <v>80</v>
      </c>
      <c r="D8" s="1679"/>
      <c r="E8" s="434" t="s">
        <v>373</v>
      </c>
      <c r="F8" s="39"/>
      <c r="G8" s="300" t="str">
        <f t="shared" si="0"/>
        <v/>
      </c>
      <c r="H8" s="303" t="s">
        <v>1913</v>
      </c>
      <c r="I8" s="307">
        <v>2.31</v>
      </c>
      <c r="J8" s="219" t="s">
        <v>1898</v>
      </c>
      <c r="K8" s="362" t="str">
        <f t="shared" si="1"/>
        <v/>
      </c>
      <c r="L8" s="297"/>
      <c r="M8" s="500" t="str">
        <f>非_単位!B90</f>
        <v>廃棄物の焼却：合成繊維</v>
      </c>
      <c r="N8" s="500" t="str">
        <f>"非_単位!$C$"&amp;MATCH(M8,非_単位!B:B,0)&amp;":$D$"&amp;MATCH(M8,非_単位!B:B,0)</f>
        <v>非_単位!$C$90:$D$90</v>
      </c>
      <c r="O8" s="500">
        <f>IF(E8="","",VLOOKUP(E8,非_単位補正換算!$B$3:$C$16,2,FALSE))</f>
        <v>1000</v>
      </c>
    </row>
    <row r="9" spans="1:15" ht="20.25" customHeight="1">
      <c r="A9" s="1981"/>
      <c r="B9" s="1695"/>
      <c r="C9" s="1679" t="s">
        <v>172</v>
      </c>
      <c r="D9" s="1679"/>
      <c r="E9" s="434" t="s">
        <v>373</v>
      </c>
      <c r="F9" s="39"/>
      <c r="G9" s="300" t="str">
        <f t="shared" si="0"/>
        <v/>
      </c>
      <c r="H9" s="303" t="s">
        <v>1913</v>
      </c>
      <c r="I9" s="307">
        <v>1.64</v>
      </c>
      <c r="J9" s="219" t="s">
        <v>1898</v>
      </c>
      <c r="K9" s="362" t="str">
        <f t="shared" si="1"/>
        <v/>
      </c>
      <c r="M9" s="500" t="str">
        <f>非_単位!B91</f>
        <v>廃棄物の焼却：廃タイヤ</v>
      </c>
      <c r="N9" s="500" t="str">
        <f>"非_単位!$C$"&amp;MATCH(M9,非_単位!B:B,0)&amp;":$D$"&amp;MATCH(M9,非_単位!B:B,0)</f>
        <v>非_単位!$C$91:$D$91</v>
      </c>
      <c r="O9" s="500">
        <f>IF(E9="","",VLOOKUP(E9,非_単位補正換算!$B$3:$C$16,2,FALSE))</f>
        <v>1000</v>
      </c>
    </row>
    <row r="10" spans="1:15" ht="44.25" customHeight="1">
      <c r="A10" s="1981"/>
      <c r="B10" s="1695"/>
      <c r="C10" s="1997" t="s">
        <v>81</v>
      </c>
      <c r="D10" s="1679"/>
      <c r="E10" s="434" t="s">
        <v>373</v>
      </c>
      <c r="F10" s="39"/>
      <c r="G10" s="300" t="str">
        <f t="shared" si="0"/>
        <v/>
      </c>
      <c r="H10" s="303" t="s">
        <v>1913</v>
      </c>
      <c r="I10" s="307">
        <v>2.56</v>
      </c>
      <c r="J10" s="219" t="s">
        <v>1898</v>
      </c>
      <c r="K10" s="362" t="str">
        <f t="shared" si="1"/>
        <v/>
      </c>
      <c r="M10" s="500" t="str">
        <f>非_単位!B92</f>
        <v>廃棄物の焼却：合成繊維及び廃ﾀｲﾔ以外の廃ﾌﾟﾗｽﾁｯｸ類（産業廃棄物）</v>
      </c>
      <c r="N10" s="500" t="str">
        <f>"非_単位!$C$"&amp;MATCH(M10,非_単位!B:B,0)&amp;":$D$"&amp;MATCH(M10,非_単位!B:B,0)</f>
        <v>非_単位!$C$92:$D$92</v>
      </c>
      <c r="O10" s="500">
        <f>IF(E10="","",VLOOKUP(E10,非_単位補正換算!$B$3:$C$16,2,FALSE))</f>
        <v>1000</v>
      </c>
    </row>
    <row r="11" spans="1:15" ht="22.5">
      <c r="A11" s="1981"/>
      <c r="B11" s="1695"/>
      <c r="C11" s="1997" t="s">
        <v>82</v>
      </c>
      <c r="D11" s="1679"/>
      <c r="E11" s="434" t="s">
        <v>373</v>
      </c>
      <c r="F11" s="39"/>
      <c r="G11" s="300" t="str">
        <f t="shared" si="0"/>
        <v/>
      </c>
      <c r="H11" s="303" t="s">
        <v>1913</v>
      </c>
      <c r="I11" s="307">
        <v>2.27</v>
      </c>
      <c r="J11" s="219" t="s">
        <v>1898</v>
      </c>
      <c r="K11" s="362" t="str">
        <f t="shared" si="1"/>
        <v/>
      </c>
      <c r="M11" s="500" t="str">
        <f>非_単位!B93</f>
        <v>廃棄物の焼却：ポリエチレンテレフタレート製の容器</v>
      </c>
      <c r="N11" s="500" t="str">
        <f>"非_単位!$C$"&amp;MATCH(M11,非_単位!B:B,0)&amp;":$D$"&amp;MATCH(M11,非_単位!B:B,0)</f>
        <v>非_単位!$C$93:$D$93</v>
      </c>
      <c r="O11" s="500">
        <f>IF(E11="","",VLOOKUP(E11,非_単位補正換算!$B$3:$C$16,2,FALSE))</f>
        <v>1000</v>
      </c>
    </row>
    <row r="12" spans="1:15" ht="84" customHeight="1">
      <c r="A12" s="1981"/>
      <c r="B12" s="1695"/>
      <c r="C12" s="1679" t="s">
        <v>83</v>
      </c>
      <c r="D12" s="1679"/>
      <c r="E12" s="434" t="s">
        <v>373</v>
      </c>
      <c r="F12" s="39"/>
      <c r="G12" s="300" t="str">
        <f t="shared" si="0"/>
        <v/>
      </c>
      <c r="H12" s="303" t="s">
        <v>1913</v>
      </c>
      <c r="I12" s="307">
        <v>2.76</v>
      </c>
      <c r="J12" s="219" t="s">
        <v>1898</v>
      </c>
      <c r="K12" s="362" t="str">
        <f t="shared" si="1"/>
        <v/>
      </c>
      <c r="M12" s="500" t="str">
        <f>非_単位!B94</f>
        <v>廃棄物の焼却：廃プラスチック類（合成繊維、廃タイヤ、廃プラスチック類（産業廃棄物であるものに限る。）及びポリエチレンテレフタレート製の容器を除く。）</v>
      </c>
      <c r="N12" s="500" t="str">
        <f>"非_単位!$C$"&amp;MATCH(M12,非_単位!B:B,0)&amp;":$D$"&amp;MATCH(M12,非_単位!B:B,0)</f>
        <v>非_単位!$C$94:$D$94</v>
      </c>
      <c r="O12" s="500">
        <f>IF(E12="","",VLOOKUP(E12,非_単位補正換算!$B$3:$C$16,2,FALSE))</f>
        <v>1000</v>
      </c>
    </row>
    <row r="13" spans="1:15" ht="20.25" customHeight="1">
      <c r="A13" s="1981"/>
      <c r="B13" s="1695"/>
      <c r="C13" s="1365" t="s">
        <v>84</v>
      </c>
      <c r="D13" s="1367"/>
      <c r="E13" s="434" t="s">
        <v>373</v>
      </c>
      <c r="F13" s="39"/>
      <c r="G13" s="300" t="str">
        <f t="shared" si="0"/>
        <v/>
      </c>
      <c r="H13" s="303" t="s">
        <v>1913</v>
      </c>
      <c r="I13" s="308">
        <v>0.14399999999999999</v>
      </c>
      <c r="J13" s="219" t="s">
        <v>1898</v>
      </c>
      <c r="K13" s="362" t="str">
        <f t="shared" si="1"/>
        <v/>
      </c>
      <c r="M13" s="500" t="str">
        <f>非_単位!B95</f>
        <v>廃棄物の焼却：紙くず</v>
      </c>
      <c r="N13" s="500" t="str">
        <f>"非_単位!$C$"&amp;MATCH(M13,非_単位!B:B,0)&amp;":$D$"&amp;MATCH(M13,非_単位!B:B,0)</f>
        <v>非_単位!$C$95:$D$95</v>
      </c>
      <c r="O13" s="500">
        <f>IF(E13="","",VLOOKUP(E13,非_単位補正換算!$B$3:$C$16,2,FALSE))</f>
        <v>1000</v>
      </c>
    </row>
    <row r="14" spans="1:15" ht="20.25" customHeight="1">
      <c r="A14" s="1981"/>
      <c r="B14" s="1695"/>
      <c r="C14" s="1365" t="s">
        <v>85</v>
      </c>
      <c r="D14" s="1367"/>
      <c r="E14" s="434" t="s">
        <v>373</v>
      </c>
      <c r="F14" s="39"/>
      <c r="G14" s="300" t="str">
        <f t="shared" si="0"/>
        <v/>
      </c>
      <c r="H14" s="303" t="s">
        <v>1913</v>
      </c>
      <c r="I14" s="307">
        <v>1.22</v>
      </c>
      <c r="J14" s="219" t="s">
        <v>1898</v>
      </c>
      <c r="K14" s="362" t="str">
        <f t="shared" si="1"/>
        <v/>
      </c>
      <c r="M14" s="500" t="str">
        <f>非_単位!B96</f>
        <v>廃棄物の焼却：紙おむつ</v>
      </c>
      <c r="N14" s="500" t="str">
        <f>"非_単位!$C$"&amp;MATCH(M14,非_単位!B:B,0)&amp;":$D$"&amp;MATCH(M14,非_単位!B:B,0)</f>
        <v>非_単位!$C$96:$D$96</v>
      </c>
      <c r="O14" s="500">
        <f>IF(E14="","",VLOOKUP(E14,非_単位補正換算!$B$3:$C$16,2,FALSE))</f>
        <v>1000</v>
      </c>
    </row>
    <row r="15" spans="1:15" ht="20.25" customHeight="1">
      <c r="A15" s="1981"/>
      <c r="B15" s="1676" t="s">
        <v>86</v>
      </c>
      <c r="C15" s="1365" t="s">
        <v>87</v>
      </c>
      <c r="D15" s="1367"/>
      <c r="E15" s="219" t="str">
        <f>IF('15非化石燃料_建物'!E8="","",'15非化石燃料_建物'!E8)</f>
        <v>kg</v>
      </c>
      <c r="F15" s="296">
        <f>IF('15非化石燃料_建物'!F8="",0,'15非化石燃料_建物'!F8)+IF('16非化石燃料_工場現場'!F8="",0,'16非化石燃料_工場現場'!F8)+IF('17非化石燃料_自動車'!F8="",0,'17非化石燃料_自動車'!F8)</f>
        <v>0</v>
      </c>
      <c r="G15" s="300">
        <f t="shared" si="0"/>
        <v>0</v>
      </c>
      <c r="H15" s="303" t="s">
        <v>1913</v>
      </c>
      <c r="I15" s="307">
        <v>1.07</v>
      </c>
      <c r="J15" s="219" t="s">
        <v>1898</v>
      </c>
      <c r="K15" s="362">
        <f t="shared" si="1"/>
        <v>0</v>
      </c>
      <c r="O15" s="490">
        <f>IF(E15="","",VLOOKUP(E15,非_単位補正換算!$B$3:$C$16,2,FALSE))</f>
        <v>1000</v>
      </c>
    </row>
    <row r="16" spans="1:15" ht="20.25" customHeight="1">
      <c r="A16" s="1981"/>
      <c r="B16" s="1675"/>
      <c r="C16" s="1365" t="s">
        <v>88</v>
      </c>
      <c r="D16" s="1367"/>
      <c r="E16" s="219" t="str">
        <f>IF('15非化石燃料_建物'!E9="","",'15非化石燃料_建物'!E9)</f>
        <v>kg</v>
      </c>
      <c r="F16" s="296">
        <f>IF('15非化石燃料_建物'!F9="",0,'15非化石燃料_建物'!F9)+IF('16非化石燃料_工場現場'!F9="",0,'16非化石燃料_工場現場'!F9)+IF('17非化石燃料_自動車'!F9="",0,'17非化石燃料_自動車'!F9)</f>
        <v>0</v>
      </c>
      <c r="G16" s="300">
        <f t="shared" si="0"/>
        <v>0</v>
      </c>
      <c r="H16" s="303" t="s">
        <v>1913</v>
      </c>
      <c r="I16" s="307">
        <v>1.64</v>
      </c>
      <c r="J16" s="219" t="s">
        <v>1898</v>
      </c>
      <c r="K16" s="362">
        <f t="shared" si="1"/>
        <v>0</v>
      </c>
      <c r="O16" s="490">
        <f>IF(E16="","",VLOOKUP(E16,非_単位補正換算!$B$3:$C$16,2,FALSE))</f>
        <v>1000</v>
      </c>
    </row>
    <row r="17" spans="1:15" ht="20.25" customHeight="1">
      <c r="A17" s="1981"/>
      <c r="B17" s="1675"/>
      <c r="C17" s="1365" t="s">
        <v>89</v>
      </c>
      <c r="D17" s="1367"/>
      <c r="E17" s="219" t="str">
        <f>IF('15非化石燃料_建物'!E10="","",'15非化石燃料_建物'!E10)</f>
        <v>kg</v>
      </c>
      <c r="F17" s="296">
        <f>IF('15非化石燃料_建物'!F10="",0,'15非化石燃料_建物'!F10)+IF('16非化石燃料_工場現場'!F10="",0,'16非化石燃料_工場現場'!F10)+IF('17非化石燃料_自動車'!F10="",0,'17非化石燃料_自動車'!F10)</f>
        <v>0</v>
      </c>
      <c r="G17" s="300">
        <f t="shared" si="0"/>
        <v>0</v>
      </c>
      <c r="H17" s="303" t="s">
        <v>1913</v>
      </c>
      <c r="I17" s="307">
        <v>1.64</v>
      </c>
      <c r="J17" s="219" t="s">
        <v>1898</v>
      </c>
      <c r="K17" s="362">
        <f t="shared" si="1"/>
        <v>0</v>
      </c>
      <c r="O17" s="490">
        <f>IF(E17="","",VLOOKUP(E17,非_単位補正換算!$B$3:$C$16,2,FALSE))</f>
        <v>1000</v>
      </c>
    </row>
    <row r="18" spans="1:15" ht="20.25" customHeight="1">
      <c r="A18" s="1981"/>
      <c r="B18" s="1675"/>
      <c r="C18" s="1365" t="s">
        <v>90</v>
      </c>
      <c r="D18" s="1367"/>
      <c r="E18" s="219" t="str">
        <f>IF('15非化石燃料_建物'!E11="","",'15非化石燃料_建物'!E11)</f>
        <v>kg</v>
      </c>
      <c r="F18" s="296">
        <f>IF('15非化石燃料_建物'!F11="",0,'15非化石燃料_建物'!F11)+IF('16非化石燃料_工場現場'!F11="",0,'16非化石燃料_工場現場'!F11)+IF('17非化石燃料_自動車'!F11="",0,'17非化石燃料_自動車'!F11)</f>
        <v>0</v>
      </c>
      <c r="G18" s="300">
        <f t="shared" si="0"/>
        <v>0</v>
      </c>
      <c r="H18" s="303" t="s">
        <v>1913</v>
      </c>
      <c r="I18" s="307">
        <v>2.76</v>
      </c>
      <c r="J18" s="219" t="s">
        <v>1898</v>
      </c>
      <c r="K18" s="362">
        <f t="shared" si="1"/>
        <v>0</v>
      </c>
      <c r="O18" s="490">
        <f>IF(E18="","",VLOOKUP(E18,非_単位補正換算!$B$3:$C$16,2,FALSE))</f>
        <v>1000</v>
      </c>
    </row>
    <row r="19" spans="1:15" ht="20.25" customHeight="1">
      <c r="A19" s="1981"/>
      <c r="B19" s="1675"/>
      <c r="C19" s="1365" t="s">
        <v>91</v>
      </c>
      <c r="D19" s="1367"/>
      <c r="E19" s="219" t="str">
        <f>IF('15非化石燃料_建物'!E12="","",'15非化石燃料_建物'!E12)</f>
        <v>kg</v>
      </c>
      <c r="F19" s="296">
        <f>IF('15非化石燃料_建物'!F12="",0,'15非化石燃料_建物'!F12)+IF('16非化石燃料_工場現場'!F12="",0,'16非化石燃料_工場現場'!F12)+IF('17非化石燃料_自動車'!F12="",0,'17非化石燃料_自動車'!F12)</f>
        <v>0</v>
      </c>
      <c r="G19" s="300">
        <f t="shared" si="0"/>
        <v>0</v>
      </c>
      <c r="H19" s="303" t="s">
        <v>1913</v>
      </c>
      <c r="I19" s="307">
        <v>2.57</v>
      </c>
      <c r="J19" s="219" t="s">
        <v>1898</v>
      </c>
      <c r="K19" s="362">
        <f t="shared" si="1"/>
        <v>0</v>
      </c>
      <c r="O19" s="490">
        <f>IF(E19="","",VLOOKUP(E19,非_単位補正換算!$B$3:$C$16,2,FALSE))</f>
        <v>1000</v>
      </c>
    </row>
    <row r="20" spans="1:15" ht="54.75" customHeight="1">
      <c r="A20" s="1981"/>
      <c r="B20" s="1675"/>
      <c r="C20" s="1365" t="s">
        <v>92</v>
      </c>
      <c r="D20" s="1367"/>
      <c r="E20" s="219" t="str">
        <f>IF('15非化石燃料_建物'!E13="","",'15非化石燃料_建物'!E13)</f>
        <v>L</v>
      </c>
      <c r="F20" s="296">
        <f>IF('15非化石燃料_建物'!F13="",0,'15非化石燃料_建物'!F13)+IF('16非化石燃料_工場現場'!F13="",0,'16非化石燃料_工場現場'!F13)+IF('17非化石燃料_自動車'!F13="",0,'17非化石燃料_自動車'!F13)</f>
        <v>0</v>
      </c>
      <c r="G20" s="300">
        <f t="shared" si="0"/>
        <v>0</v>
      </c>
      <c r="H20" s="303" t="s">
        <v>1914</v>
      </c>
      <c r="I20" s="307">
        <v>2.64</v>
      </c>
      <c r="J20" s="219" t="s">
        <v>1899</v>
      </c>
      <c r="K20" s="362">
        <f t="shared" si="1"/>
        <v>0</v>
      </c>
      <c r="O20" s="490">
        <f>IF(E20="","",VLOOKUP(E20,非_単位補正換算!$B$3:$C$16,2,FALSE))</f>
        <v>1000</v>
      </c>
    </row>
    <row r="21" spans="1:15" ht="39" customHeight="1">
      <c r="A21" s="1981"/>
      <c r="B21" s="1675"/>
      <c r="C21" s="1365" t="s">
        <v>93</v>
      </c>
      <c r="D21" s="1367"/>
      <c r="E21" s="219" t="str">
        <f>IF('15非化石燃料_建物'!E14="","",'15非化石燃料_建物'!E14)</f>
        <v>L</v>
      </c>
      <c r="F21" s="296">
        <f>IF('15非化石燃料_建物'!F14="",0,'15非化石燃料_建物'!F14)+IF('16非化石燃料_工場現場'!F14="",0,'16非化石燃料_工場現場'!F14)+IF('17非化石燃料_自動車'!F14="",0,'17非化石燃料_自動車'!F14)</f>
        <v>0</v>
      </c>
      <c r="G21" s="300">
        <f t="shared" si="0"/>
        <v>0</v>
      </c>
      <c r="H21" s="303" t="s">
        <v>1914</v>
      </c>
      <c r="I21" s="307">
        <v>2.62</v>
      </c>
      <c r="J21" s="219" t="s">
        <v>1899</v>
      </c>
      <c r="K21" s="362">
        <f t="shared" si="1"/>
        <v>0</v>
      </c>
      <c r="O21" s="490">
        <f>IF(E21="","",VLOOKUP(E21,非_単位補正換算!$B$3:$C$16,2,FALSE))</f>
        <v>1000</v>
      </c>
    </row>
    <row r="22" spans="1:15" ht="22.5">
      <c r="A22" s="1981"/>
      <c r="B22" s="1675"/>
      <c r="C22" s="1998" t="str">
        <f>IF('15非化石燃料_建物'!C17="","",'15非化石燃料_建物'!C17)&amp;"_"&amp;IF('16非化石燃料_工場現場'!C17="","",'16非化石燃料_工場現場'!C17)&amp;"_"&amp;IF('17非化石燃料_自動車'!C17="","",'17非化石燃料_自動車'!C17)</f>
        <v>廃棄物ガス_木材_廃油（植物性のもの及び動物性のものを除く。）</v>
      </c>
      <c r="D22" s="1999"/>
      <c r="E22" s="219" t="str">
        <f>IF('15非化石燃料_建物'!E17="","",'15非化石燃料_建物'!E17)</f>
        <v>kg</v>
      </c>
      <c r="F22" s="296">
        <f>IF('15非化石燃料_建物'!F15="",0,'15非化石燃料_建物'!F15)+IF('16非化石燃料_工場現場'!F15="",0,'16非化石燃料_工場現場'!F15)+IF('17非化石燃料_自動車'!F15="",0,'17非化石燃料_自動車'!F15)</f>
        <v>0</v>
      </c>
      <c r="G22" s="300">
        <f t="shared" si="0"/>
        <v>0</v>
      </c>
      <c r="H22" s="303" t="str">
        <f>E22</f>
        <v>kg</v>
      </c>
      <c r="I22" s="307" t="str">
        <f>IF('15非化石燃料_建物'!K17="","",'15非化石燃料_建物'!K17)</f>
        <v/>
      </c>
      <c r="J22" s="40" t="str">
        <f>'15非化石燃料_建物'!L17</f>
        <v>t-CO2/kg</v>
      </c>
      <c r="K22" s="362" t="str">
        <f t="shared" si="1"/>
        <v/>
      </c>
      <c r="O22" s="490">
        <f>IF(E22="","",VLOOKUP(E22,非_単位補正換算!$B$3:$C$16,2,FALSE))</f>
        <v>1000</v>
      </c>
    </row>
    <row r="23" spans="1:15" ht="22.5">
      <c r="A23" s="1981"/>
      <c r="B23" s="1674"/>
      <c r="C23" s="1998" t="str">
        <f>IF('15非化石燃料_建物'!C18="","",'15非化石燃料_建物'!C18)&amp;"_"&amp;IF('16非化石燃料_工場現場'!C18="","",'16非化石燃料_工場現場'!C18)&amp;"_"&amp;IF('17非化石燃料_自動車'!C18="","",'17非化石燃料_自動車'!C18)</f>
        <v>__</v>
      </c>
      <c r="D23" s="1999"/>
      <c r="E23" s="219" t="str">
        <f>IF('15非化石燃料_建物'!E18="","",'15非化石燃料_建物'!E18)</f>
        <v>kg</v>
      </c>
      <c r="F23" s="296">
        <f>IF('15非化石燃料_建物'!F16="",0,'15非化石燃料_建物'!F16)+IF('16非化石燃料_工場現場'!F16="",0,'16非化石燃料_工場現場'!F16)+IF('17非化石燃料_自動車'!F16="",0,'17非化石燃料_自動車'!F16)</f>
        <v>0</v>
      </c>
      <c r="G23" s="300">
        <f t="shared" si="0"/>
        <v>0</v>
      </c>
      <c r="H23" s="303" t="str">
        <f>E23</f>
        <v>kg</v>
      </c>
      <c r="I23" s="307" t="str">
        <f>IF('15非化石燃料_建物'!K18="","",'15非化石燃料_建物'!K18)</f>
        <v/>
      </c>
      <c r="J23" s="40" t="str">
        <f>'15非化石燃料_建物'!L18</f>
        <v>t-CO2/kg</v>
      </c>
      <c r="K23" s="362" t="str">
        <f t="shared" si="1"/>
        <v/>
      </c>
      <c r="O23" s="490">
        <f>IF(E23="","",VLOOKUP(E23,非_単位補正換算!$B$3:$C$16,2,FALSE))</f>
        <v>1000</v>
      </c>
    </row>
    <row r="24" spans="1:15" ht="20.25" customHeight="1">
      <c r="A24" s="1981"/>
      <c r="B24" s="1679" t="s">
        <v>95</v>
      </c>
      <c r="C24" s="1679"/>
      <c r="D24" s="1679"/>
      <c r="E24" s="434" t="s">
        <v>373</v>
      </c>
      <c r="F24" s="39"/>
      <c r="G24" s="300" t="str">
        <f t="shared" si="0"/>
        <v/>
      </c>
      <c r="H24" s="303" t="s">
        <v>1913</v>
      </c>
      <c r="I24" s="309">
        <v>0.51500000000000001</v>
      </c>
      <c r="J24" s="218" t="s">
        <v>1898</v>
      </c>
      <c r="K24" s="362" t="str">
        <f t="shared" si="1"/>
        <v/>
      </c>
      <c r="M24" s="500" t="str">
        <f>非_単位!B97</f>
        <v>セメントクリンカーの製造</v>
      </c>
      <c r="N24" s="500" t="str">
        <f>"非_単位!$C$"&amp;MATCH(M24,非_単位!B:B,0)&amp;":$D$"&amp;MATCH(M24,非_単位!B:B,0)</f>
        <v>非_単位!$C$97:$D$97</v>
      </c>
      <c r="O24" s="500">
        <f>IF(E24="","",VLOOKUP(E24,非_単位補正換算!$B$3:$C$16,2,FALSE))</f>
        <v>1000</v>
      </c>
    </row>
    <row r="25" spans="1:15" ht="20.25" customHeight="1">
      <c r="A25" s="1981"/>
      <c r="B25" s="1695" t="s">
        <v>96</v>
      </c>
      <c r="C25" s="1679" t="s">
        <v>97</v>
      </c>
      <c r="D25" s="1679"/>
      <c r="E25" s="434" t="s">
        <v>373</v>
      </c>
      <c r="F25" s="39"/>
      <c r="G25" s="300" t="str">
        <f t="shared" si="0"/>
        <v/>
      </c>
      <c r="H25" s="303" t="s">
        <v>1913</v>
      </c>
      <c r="I25" s="309">
        <v>0.42799999999999999</v>
      </c>
      <c r="J25" s="218" t="s">
        <v>1898</v>
      </c>
      <c r="K25" s="362" t="str">
        <f t="shared" si="1"/>
        <v/>
      </c>
      <c r="M25" s="500" t="str">
        <f>非_単位!B98</f>
        <v>生石灰の製造:石灰石</v>
      </c>
      <c r="N25" s="500" t="str">
        <f>"非_単位!$C$"&amp;MATCH(M25,非_単位!B:B,0)&amp;":$D$"&amp;MATCH(M25,非_単位!B:B,0)</f>
        <v>非_単位!$C$98:$D$98</v>
      </c>
      <c r="O25" s="500">
        <f>IF(E25="","",VLOOKUP(E25,非_単位補正換算!$B$3:$C$16,2,FALSE))</f>
        <v>1000</v>
      </c>
    </row>
    <row r="26" spans="1:15" ht="20.25" customHeight="1">
      <c r="A26" s="1981"/>
      <c r="B26" s="1679"/>
      <c r="C26" s="1679" t="s">
        <v>98</v>
      </c>
      <c r="D26" s="1679"/>
      <c r="E26" s="434" t="s">
        <v>373</v>
      </c>
      <c r="F26" s="39"/>
      <c r="G26" s="300" t="str">
        <f t="shared" si="0"/>
        <v/>
      </c>
      <c r="H26" s="303" t="s">
        <v>1913</v>
      </c>
      <c r="I26" s="309">
        <v>0.44900000000000001</v>
      </c>
      <c r="J26" s="218" t="s">
        <v>1898</v>
      </c>
      <c r="K26" s="362" t="str">
        <f t="shared" si="1"/>
        <v/>
      </c>
      <c r="M26" s="500" t="str">
        <f>非_単位!B99</f>
        <v>生石灰の製造:ドロマイト</v>
      </c>
      <c r="N26" s="500" t="str">
        <f>"非_単位!$C$"&amp;MATCH(M26,非_単位!B:B,0)&amp;":$D$"&amp;MATCH(M26,非_単位!B:B,0)</f>
        <v>非_単位!$C$99:$D$99</v>
      </c>
      <c r="O26" s="500">
        <f>IF(E26="","",VLOOKUP(E26,非_単位補正換算!$B$3:$C$16,2,FALSE))</f>
        <v>1000</v>
      </c>
    </row>
    <row r="27" spans="1:15" ht="20.25" customHeight="1">
      <c r="A27" s="1981"/>
      <c r="B27" s="1991" t="s">
        <v>99</v>
      </c>
      <c r="C27" s="1679" t="s">
        <v>97</v>
      </c>
      <c r="D27" s="1679"/>
      <c r="E27" s="434" t="s">
        <v>373</v>
      </c>
      <c r="F27" s="39"/>
      <c r="G27" s="300" t="str">
        <f t="shared" si="0"/>
        <v/>
      </c>
      <c r="H27" s="303" t="s">
        <v>1913</v>
      </c>
      <c r="I27" s="309">
        <v>0.44</v>
      </c>
      <c r="J27" s="218" t="s">
        <v>1898</v>
      </c>
      <c r="K27" s="362" t="str">
        <f t="shared" si="1"/>
        <v/>
      </c>
      <c r="M27" s="500" t="str">
        <f>非_単位!B100</f>
        <v>ソーダ石灰ガラスの製造:石灰石</v>
      </c>
      <c r="N27" s="500" t="str">
        <f>"非_単位!$C$"&amp;MATCH(M27,非_単位!B:B,0)&amp;":$D$"&amp;MATCH(M27,非_単位!B:B,0)</f>
        <v>非_単位!$C$100:$D$100</v>
      </c>
      <c r="O27" s="500">
        <f>IF(E27="","",VLOOKUP(E27,非_単位補正換算!$B$3:$C$16,2,FALSE))</f>
        <v>1000</v>
      </c>
    </row>
    <row r="28" spans="1:15" ht="20.25" customHeight="1">
      <c r="A28" s="1981"/>
      <c r="B28" s="1992"/>
      <c r="C28" s="1679" t="s">
        <v>98</v>
      </c>
      <c r="D28" s="1679"/>
      <c r="E28" s="434" t="s">
        <v>373</v>
      </c>
      <c r="F28" s="39"/>
      <c r="G28" s="300" t="str">
        <f t="shared" si="0"/>
        <v/>
      </c>
      <c r="H28" s="303" t="s">
        <v>1913</v>
      </c>
      <c r="I28" s="309">
        <v>0.47099999999999997</v>
      </c>
      <c r="J28" s="218" t="s">
        <v>1898</v>
      </c>
      <c r="K28" s="362" t="str">
        <f t="shared" si="1"/>
        <v/>
      </c>
      <c r="M28" s="500" t="str">
        <f>非_単位!B101</f>
        <v>ソーダ石灰ガラスの製造:ドロマイト</v>
      </c>
      <c r="N28" s="500" t="str">
        <f>"非_単位!$C$"&amp;MATCH(M28,非_単位!B:B,0)&amp;":$D$"&amp;MATCH(M28,非_単位!B:B,0)</f>
        <v>非_単位!$C$101:$D$101</v>
      </c>
      <c r="O28" s="500">
        <f>IF(E28="","",VLOOKUP(E28,非_単位補正換算!$B$3:$C$16,2,FALSE))</f>
        <v>1000</v>
      </c>
    </row>
    <row r="29" spans="1:15" ht="20.25" customHeight="1">
      <c r="A29" s="1981"/>
      <c r="B29" s="1992"/>
      <c r="C29" s="1365" t="s">
        <v>100</v>
      </c>
      <c r="D29" s="1367"/>
      <c r="E29" s="434" t="s">
        <v>373</v>
      </c>
      <c r="F29" s="39"/>
      <c r="G29" s="300" t="str">
        <f t="shared" si="0"/>
        <v/>
      </c>
      <c r="H29" s="303" t="s">
        <v>1913</v>
      </c>
      <c r="I29" s="309">
        <v>0.41299999999999998</v>
      </c>
      <c r="J29" s="218" t="s">
        <v>1898</v>
      </c>
      <c r="K29" s="362" t="str">
        <f t="shared" si="1"/>
        <v/>
      </c>
      <c r="M29" s="500" t="str">
        <f>非_単位!B102</f>
        <v>ソーダ石灰ガラスの製造:ソーダ灰（国内産）</v>
      </c>
      <c r="N29" s="500" t="str">
        <f>"非_単位!$C$"&amp;MATCH(M29,非_単位!B:B,0)&amp;":$D$"&amp;MATCH(M29,非_単位!B:B,0)</f>
        <v>非_単位!$C$102:$D$102</v>
      </c>
      <c r="O29" s="500">
        <f>IF(E29="","",VLOOKUP(E29,非_単位補正換算!$B$3:$C$16,2,FALSE))</f>
        <v>1000</v>
      </c>
    </row>
    <row r="30" spans="1:15" ht="20.25" customHeight="1">
      <c r="A30" s="1981"/>
      <c r="B30" s="1992"/>
      <c r="C30" s="1365" t="s">
        <v>101</v>
      </c>
      <c r="D30" s="1367"/>
      <c r="E30" s="434" t="s">
        <v>373</v>
      </c>
      <c r="F30" s="39"/>
      <c r="G30" s="300" t="str">
        <f t="shared" si="0"/>
        <v/>
      </c>
      <c r="H30" s="303" t="s">
        <v>1913</v>
      </c>
      <c r="I30" s="309">
        <v>0.41499999999999998</v>
      </c>
      <c r="J30" s="218" t="s">
        <v>1898</v>
      </c>
      <c r="K30" s="362" t="str">
        <f t="shared" si="1"/>
        <v/>
      </c>
      <c r="M30" s="500" t="str">
        <f>非_単位!B103</f>
        <v>ソーダ石灰ガラスの製造:ソーダ灰（輸入）</v>
      </c>
      <c r="N30" s="500" t="str">
        <f>"非_単位!$C$"&amp;MATCH(M30,非_単位!B:B,0)&amp;":$D$"&amp;MATCH(M30,非_単位!B:B,0)</f>
        <v>非_単位!$C$103:$D$103</v>
      </c>
      <c r="O30" s="500">
        <f>IF(E30="","",VLOOKUP(E30,非_単位補正換算!$B$3:$C$16,2,FALSE))</f>
        <v>1000</v>
      </c>
    </row>
    <row r="31" spans="1:15" ht="20.25" customHeight="1">
      <c r="A31" s="1981"/>
      <c r="B31" s="1992"/>
      <c r="C31" s="1365" t="s">
        <v>102</v>
      </c>
      <c r="D31" s="1367"/>
      <c r="E31" s="434" t="s">
        <v>373</v>
      </c>
      <c r="F31" s="39"/>
      <c r="G31" s="300" t="str">
        <f t="shared" si="0"/>
        <v/>
      </c>
      <c r="H31" s="303" t="s">
        <v>1913</v>
      </c>
      <c r="I31" s="307">
        <v>0.22</v>
      </c>
      <c r="J31" s="218" t="s">
        <v>1898</v>
      </c>
      <c r="K31" s="362" t="str">
        <f t="shared" si="1"/>
        <v/>
      </c>
      <c r="M31" s="500" t="str">
        <f>非_単位!B104</f>
        <v>ソーダ石灰ガラスの製造:炭酸バリウム</v>
      </c>
      <c r="N31" s="500" t="str">
        <f>"非_単位!$C$"&amp;MATCH(M31,非_単位!B:B,0)&amp;":$D$"&amp;MATCH(M31,非_単位!B:B,0)</f>
        <v>非_単位!$C$104:$D$104</v>
      </c>
      <c r="O31" s="500">
        <f>IF(E31="","",VLOOKUP(E31,非_単位補正換算!$B$3:$C$16,2,FALSE))</f>
        <v>1000</v>
      </c>
    </row>
    <row r="32" spans="1:15" ht="20.25" customHeight="1">
      <c r="A32" s="1981"/>
      <c r="B32" s="1992"/>
      <c r="C32" s="1365" t="s">
        <v>103</v>
      </c>
      <c r="D32" s="1367"/>
      <c r="E32" s="434" t="s">
        <v>373</v>
      </c>
      <c r="F32" s="39"/>
      <c r="G32" s="300" t="str">
        <f t="shared" si="0"/>
        <v/>
      </c>
      <c r="H32" s="303" t="s">
        <v>1913</v>
      </c>
      <c r="I32" s="307">
        <v>0.32</v>
      </c>
      <c r="J32" s="218" t="s">
        <v>1898</v>
      </c>
      <c r="K32" s="362" t="str">
        <f t="shared" si="1"/>
        <v/>
      </c>
      <c r="M32" s="500" t="str">
        <f>非_単位!B105</f>
        <v>ソーダ石灰ガラスの製造:炭酸カリウム</v>
      </c>
      <c r="N32" s="500" t="str">
        <f>"非_単位!$C$"&amp;MATCH(M32,非_単位!B:B,0)&amp;":$D$"&amp;MATCH(M32,非_単位!B:B,0)</f>
        <v>非_単位!$C$105:$D$105</v>
      </c>
      <c r="O32" s="500">
        <f>IF(E32="","",VLOOKUP(E32,非_単位補正換算!$B$3:$C$16,2,FALSE))</f>
        <v>1000</v>
      </c>
    </row>
    <row r="33" spans="1:15" ht="20.25" customHeight="1">
      <c r="A33" s="1981"/>
      <c r="B33" s="1992"/>
      <c r="C33" s="1365" t="s">
        <v>104</v>
      </c>
      <c r="D33" s="1367"/>
      <c r="E33" s="434" t="s">
        <v>373</v>
      </c>
      <c r="F33" s="39"/>
      <c r="G33" s="300" t="str">
        <f t="shared" si="0"/>
        <v/>
      </c>
      <c r="H33" s="303" t="s">
        <v>1913</v>
      </c>
      <c r="I33" s="307">
        <v>0.3</v>
      </c>
      <c r="J33" s="218" t="s">
        <v>1898</v>
      </c>
      <c r="K33" s="362" t="str">
        <f t="shared" si="1"/>
        <v/>
      </c>
      <c r="M33" s="500" t="str">
        <f>非_単位!B106</f>
        <v>ソーダ石灰ガラスの製造:炭酸ストロンチウム</v>
      </c>
      <c r="N33" s="500" t="str">
        <f>"非_単位!$C$"&amp;MATCH(M33,非_単位!B:B,0)&amp;":$D$"&amp;MATCH(M33,非_単位!B:B,0)</f>
        <v>非_単位!$C$106:$D$106</v>
      </c>
      <c r="O33" s="500">
        <f>IF(E33="","",VLOOKUP(E33,非_単位補正換算!$B$3:$C$16,2,FALSE))</f>
        <v>1000</v>
      </c>
    </row>
    <row r="34" spans="1:15" ht="20.25" customHeight="1">
      <c r="A34" s="1981"/>
      <c r="B34" s="1993"/>
      <c r="C34" s="1365" t="s">
        <v>105</v>
      </c>
      <c r="D34" s="1367"/>
      <c r="E34" s="434" t="s">
        <v>373</v>
      </c>
      <c r="F34" s="39"/>
      <c r="G34" s="300" t="str">
        <f t="shared" si="0"/>
        <v/>
      </c>
      <c r="H34" s="303" t="s">
        <v>1913</v>
      </c>
      <c r="I34" s="307">
        <v>0.6</v>
      </c>
      <c r="J34" s="218" t="s">
        <v>1898</v>
      </c>
      <c r="K34" s="362" t="str">
        <f t="shared" si="1"/>
        <v/>
      </c>
      <c r="M34" s="500" t="str">
        <f>非_単位!B107</f>
        <v>ソーダ石灰ガラスの製造:炭酸リチウム</v>
      </c>
      <c r="N34" s="500" t="str">
        <f>"非_単位!$C$"&amp;MATCH(M34,非_単位!B:B,0)&amp;":$D$"&amp;MATCH(M34,非_単位!B:B,0)</f>
        <v>非_単位!$C$107:$D$107</v>
      </c>
      <c r="O34" s="500">
        <f>IF(E34="","",VLOOKUP(E34,非_単位補正換算!$B$3:$C$16,2,FALSE))</f>
        <v>1000</v>
      </c>
    </row>
    <row r="35" spans="1:15" ht="20.25" customHeight="1">
      <c r="A35" s="1981"/>
      <c r="B35" s="1679" t="s">
        <v>106</v>
      </c>
      <c r="C35" s="1679"/>
      <c r="D35" s="1679"/>
      <c r="E35" s="434" t="s">
        <v>373</v>
      </c>
      <c r="F35" s="39"/>
      <c r="G35" s="300" t="str">
        <f t="shared" si="0"/>
        <v/>
      </c>
      <c r="H35" s="303" t="s">
        <v>1913</v>
      </c>
      <c r="I35" s="310">
        <v>1</v>
      </c>
      <c r="J35" s="218" t="s">
        <v>1898</v>
      </c>
      <c r="K35" s="362" t="str">
        <f t="shared" si="1"/>
        <v/>
      </c>
      <c r="M35" s="500" t="str">
        <f>非_単位!B108</f>
        <v>ソーダ灰の製造</v>
      </c>
      <c r="N35" s="500" t="str">
        <f>"非_単位!$C$"&amp;MATCH(M35,非_単位!B:B,0)&amp;":$D$"&amp;MATCH(M35,非_単位!B:B,0)</f>
        <v>非_単位!$C$108:$D$108</v>
      </c>
      <c r="O35" s="500">
        <f>IF(E35="","",VLOOKUP(E35,非_単位補正換算!$B$3:$C$16,2,FALSE))</f>
        <v>1000</v>
      </c>
    </row>
    <row r="36" spans="1:15" ht="20.25" customHeight="1">
      <c r="A36" s="1981"/>
      <c r="B36" s="1818" t="s">
        <v>107</v>
      </c>
      <c r="C36" s="1365" t="s">
        <v>108</v>
      </c>
      <c r="D36" s="1367"/>
      <c r="E36" s="434" t="s">
        <v>373</v>
      </c>
      <c r="F36" s="39"/>
      <c r="G36" s="300" t="str">
        <f t="shared" si="0"/>
        <v/>
      </c>
      <c r="H36" s="303" t="s">
        <v>1913</v>
      </c>
      <c r="I36" s="309">
        <v>0.44</v>
      </c>
      <c r="J36" s="218" t="s">
        <v>1898</v>
      </c>
      <c r="K36" s="362" t="str">
        <f t="shared" si="1"/>
        <v/>
      </c>
      <c r="M36" s="500" t="str">
        <f>非_単位!B109</f>
        <v>その他用途・プロセスでの炭酸塩の使用:石灰石</v>
      </c>
      <c r="N36" s="500" t="str">
        <f>"非_単位!$C$"&amp;MATCH(M36,非_単位!B:B,0)&amp;":$D$"&amp;MATCH(M36,非_単位!B:B,0)</f>
        <v>非_単位!$C$109:$D$109</v>
      </c>
      <c r="O36" s="500">
        <f>IF(E36="","",VLOOKUP(E36,非_単位補正換算!$B$3:$C$16,2,FALSE))</f>
        <v>1000</v>
      </c>
    </row>
    <row r="37" spans="1:15" ht="20.25" customHeight="1">
      <c r="A37" s="1981"/>
      <c r="B37" s="1970"/>
      <c r="C37" s="1365" t="s">
        <v>109</v>
      </c>
      <c r="D37" s="1367"/>
      <c r="E37" s="434" t="s">
        <v>373</v>
      </c>
      <c r="F37" s="39"/>
      <c r="G37" s="300" t="str">
        <f t="shared" si="0"/>
        <v/>
      </c>
      <c r="H37" s="303" t="s">
        <v>1913</v>
      </c>
      <c r="I37" s="309">
        <v>0.47099999999999997</v>
      </c>
      <c r="J37" s="218" t="s">
        <v>1898</v>
      </c>
      <c r="K37" s="362" t="str">
        <f t="shared" si="1"/>
        <v/>
      </c>
      <c r="M37" s="500" t="str">
        <f>非_単位!B110</f>
        <v>その他用途・プロセスでの炭酸塩の使用:ドロマイト</v>
      </c>
      <c r="N37" s="500" t="str">
        <f>"非_単位!$C$"&amp;MATCH(M37,非_単位!B:B,0)&amp;":$D$"&amp;MATCH(M37,非_単位!B:B,0)</f>
        <v>非_単位!$C$110:$D$110</v>
      </c>
      <c r="O37" s="500">
        <f>IF(E37="","",VLOOKUP(E37,非_単位補正換算!$B$3:$C$16,2,FALSE))</f>
        <v>1000</v>
      </c>
    </row>
    <row r="38" spans="1:15" ht="20.25" customHeight="1">
      <c r="A38" s="1981"/>
      <c r="B38" s="1970"/>
      <c r="C38" s="1365" t="s">
        <v>110</v>
      </c>
      <c r="D38" s="1367"/>
      <c r="E38" s="434" t="s">
        <v>373</v>
      </c>
      <c r="F38" s="39"/>
      <c r="G38" s="300" t="str">
        <f t="shared" si="0"/>
        <v/>
      </c>
      <c r="H38" s="303" t="s">
        <v>1913</v>
      </c>
      <c r="I38" s="309">
        <v>0.41299999999999998</v>
      </c>
      <c r="J38" s="218" t="s">
        <v>1898</v>
      </c>
      <c r="K38" s="362" t="str">
        <f t="shared" si="1"/>
        <v/>
      </c>
      <c r="M38" s="500" t="str">
        <f>非_単位!B111</f>
        <v>その他用途・プロセスでの炭酸塩の使用:ソーダ灰（国内産）</v>
      </c>
      <c r="N38" s="500" t="str">
        <f>"非_単位!$C$"&amp;MATCH(M38,非_単位!B:B,0)&amp;":$D$"&amp;MATCH(M38,非_単位!B:B,0)</f>
        <v>非_単位!$C$111:$D$111</v>
      </c>
      <c r="O38" s="500">
        <f>IF(E38="","",VLOOKUP(E38,非_単位補正換算!$B$3:$C$16,2,FALSE))</f>
        <v>1000</v>
      </c>
    </row>
    <row r="39" spans="1:15" ht="20.25" customHeight="1">
      <c r="A39" s="1981"/>
      <c r="B39" s="1970"/>
      <c r="C39" s="1365" t="s">
        <v>111</v>
      </c>
      <c r="D39" s="1367"/>
      <c r="E39" s="434" t="s">
        <v>373</v>
      </c>
      <c r="F39" s="39"/>
      <c r="G39" s="300" t="str">
        <f t="shared" si="0"/>
        <v/>
      </c>
      <c r="H39" s="303" t="s">
        <v>1913</v>
      </c>
      <c r="I39" s="309">
        <v>0.41499999999999998</v>
      </c>
      <c r="J39" s="218" t="s">
        <v>1898</v>
      </c>
      <c r="K39" s="362" t="str">
        <f t="shared" si="1"/>
        <v/>
      </c>
      <c r="M39" s="500" t="str">
        <f>非_単位!B112</f>
        <v>その他用途・プロセスでの炭酸塩の使用:ソーダ灰（輸入）</v>
      </c>
      <c r="N39" s="500" t="str">
        <f>"非_単位!$C$"&amp;MATCH(M39,非_単位!B:B,0)&amp;":$D$"&amp;MATCH(M39,非_単位!B:B,0)</f>
        <v>非_単位!$C$112:$D$112</v>
      </c>
      <c r="O39" s="500">
        <f>IF(E39="","",VLOOKUP(E39,非_単位補正換算!$B$3:$C$16,2,FALSE))</f>
        <v>1000</v>
      </c>
    </row>
    <row r="40" spans="1:15" ht="20.25" customHeight="1">
      <c r="A40" s="1981"/>
      <c r="B40" s="1679" t="s">
        <v>112</v>
      </c>
      <c r="C40" s="1679" t="s">
        <v>68</v>
      </c>
      <c r="D40" s="1679"/>
      <c r="E40" s="434" t="s">
        <v>373</v>
      </c>
      <c r="F40" s="39"/>
      <c r="G40" s="300" t="str">
        <f t="shared" si="0"/>
        <v/>
      </c>
      <c r="H40" s="303" t="s">
        <v>1913</v>
      </c>
      <c r="I40" s="311">
        <v>2.33</v>
      </c>
      <c r="J40" s="218" t="s">
        <v>1898</v>
      </c>
      <c r="K40" s="362" t="str">
        <f t="shared" si="1"/>
        <v/>
      </c>
      <c r="M40" s="500" t="str">
        <f>非_単位!B113</f>
        <v>アンモニアの製造:石炭</v>
      </c>
      <c r="N40" s="500" t="str">
        <f>"非_単位!$C$"&amp;MATCH(M40,非_単位!B:B,0)&amp;":$D$"&amp;MATCH(M40,非_単位!B:B,0)</f>
        <v>非_単位!$C$113:$D$113</v>
      </c>
      <c r="O40" s="500">
        <f>IF(E40="","",VLOOKUP(E40,非_単位補正換算!$B$3:$C$16,2,FALSE))</f>
        <v>1000</v>
      </c>
    </row>
    <row r="41" spans="1:15" ht="20.25" customHeight="1">
      <c r="A41" s="1981"/>
      <c r="B41" s="1679"/>
      <c r="C41" s="1679" t="s">
        <v>113</v>
      </c>
      <c r="D41" s="1679"/>
      <c r="E41" s="434" t="s">
        <v>373</v>
      </c>
      <c r="F41" s="39"/>
      <c r="G41" s="300" t="str">
        <f t="shared" si="0"/>
        <v/>
      </c>
      <c r="H41" s="303" t="s">
        <v>1913</v>
      </c>
      <c r="I41" s="311">
        <v>3.06</v>
      </c>
      <c r="J41" s="218" t="s">
        <v>1898</v>
      </c>
      <c r="K41" s="362" t="str">
        <f t="shared" si="1"/>
        <v/>
      </c>
      <c r="M41" s="500" t="str">
        <f>非_単位!B114</f>
        <v>アンモニアの製造:石油コークス</v>
      </c>
      <c r="N41" s="500" t="str">
        <f>"非_単位!$C$"&amp;MATCH(M41,非_単位!B:B,0)&amp;":$D$"&amp;MATCH(M41,非_単位!B:B,0)</f>
        <v>非_単位!$C$114:$D$114</v>
      </c>
      <c r="O41" s="500">
        <f>IF(E41="","",VLOOKUP(E41,非_単位補正換算!$B$3:$C$16,2,FALSE))</f>
        <v>1000</v>
      </c>
    </row>
    <row r="42" spans="1:15" ht="20.25" customHeight="1">
      <c r="A42" s="1981"/>
      <c r="B42" s="1679"/>
      <c r="C42" s="1679" t="s">
        <v>13</v>
      </c>
      <c r="D42" s="1679"/>
      <c r="E42" s="434" t="s">
        <v>372</v>
      </c>
      <c r="F42" s="39"/>
      <c r="G42" s="300" t="str">
        <f t="shared" si="0"/>
        <v/>
      </c>
      <c r="H42" s="303" t="s">
        <v>1914</v>
      </c>
      <c r="I42" s="311">
        <v>2.27</v>
      </c>
      <c r="J42" s="218" t="s">
        <v>1899</v>
      </c>
      <c r="K42" s="362" t="str">
        <f t="shared" si="1"/>
        <v/>
      </c>
      <c r="M42" s="500" t="str">
        <f>非_単位!B115</f>
        <v>アンモニアの製造:ナフサ</v>
      </c>
      <c r="N42" s="500" t="str">
        <f>"非_単位!$C$"&amp;MATCH(M42,非_単位!B:B,0)&amp;":$D$"&amp;MATCH(M42,非_単位!B:B,0)</f>
        <v>非_単位!$C$115:$D$115</v>
      </c>
      <c r="O42" s="500">
        <f>IF(E42="","",VLOOKUP(E42,非_単位補正換算!$B$3:$C$16,2,FALSE))</f>
        <v>1000</v>
      </c>
    </row>
    <row r="43" spans="1:15" ht="20.25" customHeight="1">
      <c r="A43" s="1981"/>
      <c r="B43" s="1679"/>
      <c r="C43" s="1679" t="s">
        <v>114</v>
      </c>
      <c r="D43" s="1679"/>
      <c r="E43" s="434" t="s">
        <v>373</v>
      </c>
      <c r="F43" s="39"/>
      <c r="G43" s="300" t="str">
        <f t="shared" si="0"/>
        <v/>
      </c>
      <c r="H43" s="303" t="s">
        <v>1913</v>
      </c>
      <c r="I43" s="311">
        <v>2.79</v>
      </c>
      <c r="J43" s="218" t="s">
        <v>1898</v>
      </c>
      <c r="K43" s="362" t="str">
        <f t="shared" si="1"/>
        <v/>
      </c>
      <c r="M43" s="500" t="str">
        <f>非_単位!B116</f>
        <v>アンモニアの製造:液化天然ガス（LNG)</v>
      </c>
      <c r="N43" s="500" t="str">
        <f>"非_単位!$C$"&amp;MATCH(M43,非_単位!B:B,0)&amp;":$D$"&amp;MATCH(M43,非_単位!B:B,0)</f>
        <v>非_単位!$C$116:$D$116</v>
      </c>
      <c r="O43" s="500">
        <f>IF(E43="","",VLOOKUP(E43,非_単位補正換算!$B$3:$C$16,2,FALSE))</f>
        <v>1000</v>
      </c>
    </row>
    <row r="44" spans="1:15" ht="45" customHeight="1">
      <c r="A44" s="1981"/>
      <c r="B44" s="1679"/>
      <c r="C44" s="1695" t="s">
        <v>115</v>
      </c>
      <c r="D44" s="1679"/>
      <c r="E44" s="434" t="s">
        <v>375</v>
      </c>
      <c r="F44" s="39"/>
      <c r="G44" s="300" t="str">
        <f t="shared" si="0"/>
        <v/>
      </c>
      <c r="H44" s="303" t="s">
        <v>1916</v>
      </c>
      <c r="I44" s="311">
        <v>1.96</v>
      </c>
      <c r="J44" s="216" t="s">
        <v>1905</v>
      </c>
      <c r="K44" s="362" t="str">
        <f t="shared" si="1"/>
        <v/>
      </c>
      <c r="M44" s="500" t="str">
        <f>非_単位!B117</f>
        <v>アンモニアの製造:天然ガス（液化天然ガス（LNG)を除く）</v>
      </c>
      <c r="N44" s="500" t="str">
        <f>"非_単位!$C$"&amp;MATCH(M44,非_単位!B:B,0)&amp;":$D$"&amp;MATCH(M44,非_単位!B:B,0)</f>
        <v>非_単位!$C$117:$D$117</v>
      </c>
      <c r="O44" s="500">
        <f>IF(E44="","",VLOOKUP(E44,非_単位補正換算!$B$3:$C$16,2,FALSE))</f>
        <v>1000</v>
      </c>
    </row>
    <row r="45" spans="1:15" ht="20.25" customHeight="1">
      <c r="A45" s="1981"/>
      <c r="B45" s="1679" t="s">
        <v>173</v>
      </c>
      <c r="C45" s="1679"/>
      <c r="D45" s="1679"/>
      <c r="E45" s="434" t="s">
        <v>373</v>
      </c>
      <c r="F45" s="39"/>
      <c r="G45" s="300" t="str">
        <f t="shared" si="0"/>
        <v/>
      </c>
      <c r="H45" s="303" t="s">
        <v>1913</v>
      </c>
      <c r="I45" s="311">
        <v>2.2999999999999998</v>
      </c>
      <c r="J45" s="218" t="s">
        <v>1898</v>
      </c>
      <c r="K45" s="362" t="str">
        <f t="shared" si="1"/>
        <v/>
      </c>
      <c r="M45" s="500" t="str">
        <f>非_単位!B118</f>
        <v>炭化けい素の製造</v>
      </c>
      <c r="N45" s="500" t="str">
        <f>"非_単位!$C$"&amp;MATCH(M45,非_単位!B:B,0)&amp;":$D$"&amp;MATCH(M45,非_単位!B:B,0)</f>
        <v>非_単位!$C$118:$D$118</v>
      </c>
      <c r="O45" s="500">
        <f>IF(E45="","",VLOOKUP(E45,非_単位補正換算!$B$3:$C$16,2,FALSE))</f>
        <v>1000</v>
      </c>
    </row>
    <row r="46" spans="1:15" ht="32.25" customHeight="1">
      <c r="A46" s="1981"/>
      <c r="B46" s="1695" t="s">
        <v>174</v>
      </c>
      <c r="C46" s="1679" t="s">
        <v>116</v>
      </c>
      <c r="D46" s="1679"/>
      <c r="E46" s="434" t="s">
        <v>373</v>
      </c>
      <c r="F46" s="39"/>
      <c r="G46" s="300" t="str">
        <f t="shared" si="0"/>
        <v/>
      </c>
      <c r="H46" s="303" t="s">
        <v>1913</v>
      </c>
      <c r="I46" s="311">
        <v>0.76</v>
      </c>
      <c r="J46" s="218" t="s">
        <v>1898</v>
      </c>
      <c r="K46" s="362" t="str">
        <f t="shared" si="1"/>
        <v/>
      </c>
      <c r="M46" s="500" t="str">
        <f>非_単位!B119</f>
        <v>炭化カルシウムの製造:製造された生石灰を炭化カルシウムの原料として使用した場合の生石灰の製造</v>
      </c>
      <c r="N46" s="500" t="str">
        <f>"非_単位!$C$"&amp;MATCH(M46,非_単位!B:B,0)&amp;":$D$"&amp;MATCH(M46,非_単位!B:B,0)</f>
        <v>非_単位!$C$119:$D$119</v>
      </c>
      <c r="O46" s="500">
        <f>IF(E46="","",VLOOKUP(E46,非_単位補正換算!$B$3:$C$16,2,FALSE))</f>
        <v>1000</v>
      </c>
    </row>
    <row r="47" spans="1:15" ht="32.25" customHeight="1">
      <c r="A47" s="1981"/>
      <c r="B47" s="1679"/>
      <c r="C47" s="1679" t="s">
        <v>117</v>
      </c>
      <c r="D47" s="1679"/>
      <c r="E47" s="434" t="s">
        <v>373</v>
      </c>
      <c r="F47" s="39"/>
      <c r="G47" s="300" t="str">
        <f t="shared" si="0"/>
        <v/>
      </c>
      <c r="H47" s="303" t="s">
        <v>1913</v>
      </c>
      <c r="I47" s="311">
        <v>1.0900000000000001</v>
      </c>
      <c r="J47" s="218" t="s">
        <v>1898</v>
      </c>
      <c r="K47" s="362" t="str">
        <f t="shared" si="1"/>
        <v/>
      </c>
      <c r="M47" s="500" t="str">
        <f>非_単位!B120</f>
        <v>炭化カルシウムの製造:炭化カルシウムの製造</v>
      </c>
      <c r="N47" s="500" t="str">
        <f>"非_単位!$C$"&amp;MATCH(M47,非_単位!B:B,0)&amp;":$D$"&amp;MATCH(M47,非_単位!B:B,0)</f>
        <v>非_単位!$C$120:$D$120</v>
      </c>
      <c r="O47" s="500">
        <f>IF(E47="","",VLOOKUP(E47,非_単位補正換算!$B$3:$C$16,2,FALSE))</f>
        <v>1000</v>
      </c>
    </row>
    <row r="48" spans="1:15" ht="32.25" customHeight="1">
      <c r="A48" s="1981"/>
      <c r="B48" s="1972" t="s">
        <v>118</v>
      </c>
      <c r="C48" s="1365" t="s">
        <v>119</v>
      </c>
      <c r="D48" s="1367"/>
      <c r="E48" s="434" t="s">
        <v>373</v>
      </c>
      <c r="F48" s="39"/>
      <c r="G48" s="300" t="str">
        <f t="shared" si="0"/>
        <v/>
      </c>
      <c r="H48" s="303" t="s">
        <v>1913</v>
      </c>
      <c r="I48" s="311">
        <v>1.43</v>
      </c>
      <c r="J48" s="218" t="s">
        <v>1898</v>
      </c>
      <c r="K48" s="362" t="str">
        <f t="shared" si="1"/>
        <v/>
      </c>
      <c r="M48" s="500" t="str">
        <f>非_単位!B121</f>
        <v>二酸化チタンの製造:二酸化チタンをルチルから分離させる方法</v>
      </c>
      <c r="N48" s="500" t="str">
        <f>"非_単位!$C$"&amp;MATCH(M48,非_単位!B:B,0)&amp;":$D$"&amp;MATCH(M48,非_単位!B:B,0)</f>
        <v>非_単位!$C$121:$D$121</v>
      </c>
      <c r="O48" s="500">
        <f>IF(E48="","",VLOOKUP(E48,非_単位補正換算!$B$3:$C$16,2,FALSE))</f>
        <v>1000</v>
      </c>
    </row>
    <row r="49" spans="1:15" ht="32.25" customHeight="1" thickBot="1">
      <c r="A49" s="1994"/>
      <c r="B49" s="1990"/>
      <c r="C49" s="1356" t="s">
        <v>120</v>
      </c>
      <c r="D49" s="1358"/>
      <c r="E49" s="435" t="s">
        <v>373</v>
      </c>
      <c r="F49" s="47"/>
      <c r="G49" s="301" t="str">
        <f t="shared" si="0"/>
        <v/>
      </c>
      <c r="H49" s="304" t="s">
        <v>1913</v>
      </c>
      <c r="I49" s="312">
        <v>1.34</v>
      </c>
      <c r="J49" s="290" t="s">
        <v>1898</v>
      </c>
      <c r="K49" s="445" t="str">
        <f t="shared" si="1"/>
        <v/>
      </c>
      <c r="M49" s="500" t="str">
        <f>非_単位!B122</f>
        <v>二酸化チタンの製造:塩化チタンと酸素を化学反応させる方法</v>
      </c>
      <c r="N49" s="500" t="str">
        <f>"非_単位!$C$"&amp;MATCH(M49,非_単位!B:B,0)&amp;":$D$"&amp;MATCH(M49,非_単位!B:B,0)</f>
        <v>非_単位!$C$122:$D$122</v>
      </c>
      <c r="O49" s="500">
        <f>IF(E49="","",VLOOKUP(E49,非_単位補正換算!$B$3:$C$16,2,FALSE))</f>
        <v>1000</v>
      </c>
    </row>
    <row r="50" spans="1:15" ht="22.5">
      <c r="A50" s="42"/>
      <c r="B50" s="43"/>
      <c r="C50" s="43"/>
      <c r="D50" s="43"/>
      <c r="E50" s="289"/>
      <c r="F50" s="44"/>
      <c r="G50" s="297"/>
      <c r="H50" s="298"/>
      <c r="I50" s="45"/>
      <c r="J50" s="43"/>
      <c r="K50" s="3" t="s">
        <v>121</v>
      </c>
    </row>
    <row r="51" spans="1:15" ht="18" customHeight="1" thickBot="1">
      <c r="A51" s="42"/>
      <c r="B51" s="43"/>
      <c r="C51" s="43"/>
      <c r="D51" s="43"/>
      <c r="E51" s="289"/>
      <c r="F51" s="44"/>
      <c r="G51" s="297"/>
      <c r="H51" s="298"/>
      <c r="I51" s="45"/>
      <c r="J51" s="43"/>
      <c r="K51" s="3"/>
    </row>
    <row r="52" spans="1:15" ht="18" customHeight="1">
      <c r="A52" s="1982"/>
      <c r="B52" s="1985" t="s">
        <v>72</v>
      </c>
      <c r="C52" s="1985" t="s">
        <v>73</v>
      </c>
      <c r="D52" s="1985"/>
      <c r="E52" s="1985" t="s">
        <v>74</v>
      </c>
      <c r="F52" s="1841" t="s">
        <v>75</v>
      </c>
      <c r="G52" s="1959" t="s">
        <v>76</v>
      </c>
      <c r="H52" s="1960"/>
      <c r="I52" s="1985" t="s">
        <v>1903</v>
      </c>
      <c r="J52" s="1985"/>
      <c r="K52" s="1978" t="s">
        <v>269</v>
      </c>
    </row>
    <row r="53" spans="1:15" ht="18.75" customHeight="1">
      <c r="A53" s="1983"/>
      <c r="B53" s="1986"/>
      <c r="C53" s="1986"/>
      <c r="D53" s="1986"/>
      <c r="E53" s="1986"/>
      <c r="F53" s="1956"/>
      <c r="G53" s="1961"/>
      <c r="H53" s="1962"/>
      <c r="I53" s="1986"/>
      <c r="J53" s="1986"/>
      <c r="K53" s="1979"/>
    </row>
    <row r="54" spans="1:15" ht="32.25" customHeight="1" thickBot="1">
      <c r="A54" s="1984"/>
      <c r="B54" s="1987"/>
      <c r="C54" s="1987"/>
      <c r="D54" s="1987"/>
      <c r="E54" s="1987"/>
      <c r="F54" s="1957"/>
      <c r="G54" s="1963"/>
      <c r="H54" s="1964"/>
      <c r="I54" s="1987"/>
      <c r="J54" s="1987"/>
      <c r="K54" s="212" t="s">
        <v>177</v>
      </c>
    </row>
    <row r="55" spans="1:15" ht="20.25" customHeight="1">
      <c r="A55" s="1980" t="s">
        <v>271</v>
      </c>
      <c r="B55" s="1920" t="s">
        <v>175</v>
      </c>
      <c r="C55" s="1814" t="s">
        <v>122</v>
      </c>
      <c r="D55" s="1399"/>
      <c r="E55" s="434" t="s">
        <v>373</v>
      </c>
      <c r="F55" s="49"/>
      <c r="G55" s="300" t="str">
        <f t="shared" ref="G55:G84" si="2">IF(E55="","",IF(F55="","",F55/O55))</f>
        <v/>
      </c>
      <c r="H55" s="302" t="s">
        <v>1913</v>
      </c>
      <c r="I55" s="313">
        <v>1.56</v>
      </c>
      <c r="J55" s="291" t="s">
        <v>1898</v>
      </c>
      <c r="K55" s="446" t="str">
        <f t="shared" ref="K55:K84" si="3">IF(G55="","",IF(I55="","",G55*I55))</f>
        <v/>
      </c>
      <c r="M55" s="500" t="str">
        <f>非_単位!B123</f>
        <v>エチレン等の製造:エチレン（ナフサからの製造）</v>
      </c>
      <c r="N55" s="500" t="str">
        <f>"非_単位!$C$"&amp;MATCH(M55,非_単位!B:B,0)&amp;":$D$"&amp;MATCH(M55,非_単位!B:B,0)</f>
        <v>非_単位!$C$123:$D$123</v>
      </c>
      <c r="O55" s="500">
        <f>IF(E55="","",VLOOKUP(E55,非_単位補正換算!$B$3:$C$16,2,FALSE))</f>
        <v>1000</v>
      </c>
    </row>
    <row r="56" spans="1:15" ht="20.25" customHeight="1">
      <c r="A56" s="1981"/>
      <c r="B56" s="1675"/>
      <c r="C56" s="1365" t="s">
        <v>123</v>
      </c>
      <c r="D56" s="1367"/>
      <c r="E56" s="434" t="s">
        <v>373</v>
      </c>
      <c r="F56" s="39"/>
      <c r="G56" s="300" t="str">
        <f t="shared" si="2"/>
        <v/>
      </c>
      <c r="H56" s="303" t="s">
        <v>1913</v>
      </c>
      <c r="I56" s="311">
        <v>2.06</v>
      </c>
      <c r="J56" s="218" t="s">
        <v>1898</v>
      </c>
      <c r="K56" s="362" t="str">
        <f t="shared" si="3"/>
        <v/>
      </c>
      <c r="M56" s="500" t="str">
        <f>非_単位!B124</f>
        <v>エチレン等の製造:エチレン（軽油からの製造）</v>
      </c>
      <c r="N56" s="500" t="str">
        <f>"非_単位!$C$"&amp;MATCH(M56,非_単位!B:B,0)&amp;":$D$"&amp;MATCH(M56,非_単位!B:B,0)</f>
        <v>非_単位!$C$124:$D$124</v>
      </c>
      <c r="O56" s="500">
        <f>IF(E56="","",VLOOKUP(E56,非_単位補正換算!$B$3:$C$16,2,FALSE))</f>
        <v>1000</v>
      </c>
    </row>
    <row r="57" spans="1:15" ht="20.25" customHeight="1">
      <c r="A57" s="1981"/>
      <c r="B57" s="1675"/>
      <c r="C57" s="1365" t="s">
        <v>124</v>
      </c>
      <c r="D57" s="1367"/>
      <c r="E57" s="434" t="s">
        <v>373</v>
      </c>
      <c r="F57" s="39"/>
      <c r="G57" s="300" t="str">
        <f t="shared" si="2"/>
        <v/>
      </c>
      <c r="H57" s="303" t="s">
        <v>1913</v>
      </c>
      <c r="I57" s="311">
        <v>0.86</v>
      </c>
      <c r="J57" s="218" t="s">
        <v>1898</v>
      </c>
      <c r="K57" s="362" t="str">
        <f t="shared" si="3"/>
        <v/>
      </c>
      <c r="M57" s="500" t="str">
        <f>非_単位!B125</f>
        <v>エチレン等の製造:エチレン（エタンからの製造）</v>
      </c>
      <c r="N57" s="500" t="str">
        <f>"非_単位!$C$"&amp;MATCH(M57,非_単位!B:B,0)&amp;":$D$"&amp;MATCH(M57,非_単位!B:B,0)</f>
        <v>非_単位!$C$125:$D$125</v>
      </c>
      <c r="O57" s="500">
        <f>IF(E57="","",VLOOKUP(E57,非_単位補正換算!$B$3:$C$16,2,FALSE))</f>
        <v>1000</v>
      </c>
    </row>
    <row r="58" spans="1:15" ht="20.25" customHeight="1">
      <c r="A58" s="1981"/>
      <c r="B58" s="1675"/>
      <c r="C58" s="1365" t="s">
        <v>125</v>
      </c>
      <c r="D58" s="1367"/>
      <c r="E58" s="434" t="s">
        <v>373</v>
      </c>
      <c r="F58" s="39"/>
      <c r="G58" s="300" t="str">
        <f t="shared" si="2"/>
        <v/>
      </c>
      <c r="H58" s="303" t="s">
        <v>1913</v>
      </c>
      <c r="I58" s="311">
        <v>0.94</v>
      </c>
      <c r="J58" s="218" t="s">
        <v>1898</v>
      </c>
      <c r="K58" s="362" t="str">
        <f t="shared" si="3"/>
        <v/>
      </c>
      <c r="M58" s="500" t="str">
        <f>非_単位!B126</f>
        <v>エチレン等の製造:エチレン（プロパンからの製造）</v>
      </c>
      <c r="N58" s="500" t="str">
        <f>"非_単位!$C$"&amp;MATCH(M58,非_単位!B:B,0)&amp;":$D$"&amp;MATCH(M58,非_単位!B:B,0)</f>
        <v>非_単位!$C$126:$D$126</v>
      </c>
      <c r="O58" s="500">
        <f>IF(E58="","",VLOOKUP(E58,非_単位補正換算!$B$3:$C$16,2,FALSE))</f>
        <v>1000</v>
      </c>
    </row>
    <row r="59" spans="1:15" ht="20.25" customHeight="1">
      <c r="A59" s="1981"/>
      <c r="B59" s="1675"/>
      <c r="C59" s="1365" t="s">
        <v>126</v>
      </c>
      <c r="D59" s="1367"/>
      <c r="E59" s="434" t="s">
        <v>373</v>
      </c>
      <c r="F59" s="39"/>
      <c r="G59" s="300" t="str">
        <f t="shared" si="2"/>
        <v/>
      </c>
      <c r="H59" s="303" t="s">
        <v>1913</v>
      </c>
      <c r="I59" s="311">
        <v>0.96</v>
      </c>
      <c r="J59" s="218" t="s">
        <v>1898</v>
      </c>
      <c r="K59" s="362" t="str">
        <f t="shared" si="3"/>
        <v/>
      </c>
      <c r="M59" s="500" t="str">
        <f>非_単位!B127</f>
        <v>エチレン等の製造:エチレン（ブタンからの製造）</v>
      </c>
      <c r="N59" s="500" t="str">
        <f>"非_単位!$C$"&amp;MATCH(M59,非_単位!B:B,0)&amp;":$D$"&amp;MATCH(M59,非_単位!B:B,0)</f>
        <v>非_単位!$C$127:$D$127</v>
      </c>
      <c r="O59" s="500">
        <f>IF(E59="","",VLOOKUP(E59,非_単位補正換算!$B$3:$C$16,2,FALSE))</f>
        <v>1000</v>
      </c>
    </row>
    <row r="60" spans="1:15" ht="20.25" customHeight="1">
      <c r="A60" s="1981"/>
      <c r="B60" s="1675"/>
      <c r="C60" s="1365" t="s">
        <v>127</v>
      </c>
      <c r="D60" s="1367"/>
      <c r="E60" s="434" t="s">
        <v>373</v>
      </c>
      <c r="F60" s="39"/>
      <c r="G60" s="300" t="str">
        <f t="shared" si="2"/>
        <v/>
      </c>
      <c r="H60" s="303" t="s">
        <v>1913</v>
      </c>
      <c r="I60" s="311">
        <v>1.56</v>
      </c>
      <c r="J60" s="218" t="s">
        <v>1898</v>
      </c>
      <c r="K60" s="362" t="str">
        <f t="shared" si="3"/>
        <v/>
      </c>
      <c r="M60" s="500" t="str">
        <f>非_単位!B128</f>
        <v>エチレン等の製造:エチレン（その他原料からの製造）</v>
      </c>
      <c r="N60" s="500" t="str">
        <f>"非_単位!$C$"&amp;MATCH(M60,非_単位!B:B,0)&amp;":$D$"&amp;MATCH(M60,非_単位!B:B,0)</f>
        <v>非_単位!$C$128:$D$128</v>
      </c>
      <c r="O60" s="500">
        <f>IF(E60="","",VLOOKUP(E60,非_単位補正換算!$B$3:$C$16,2,FALSE))</f>
        <v>1000</v>
      </c>
    </row>
    <row r="61" spans="1:15" ht="20.25" customHeight="1">
      <c r="A61" s="1981"/>
      <c r="B61" s="1675"/>
      <c r="C61" s="1365" t="s">
        <v>128</v>
      </c>
      <c r="D61" s="1367"/>
      <c r="E61" s="434" t="s">
        <v>373</v>
      </c>
      <c r="F61" s="39"/>
      <c r="G61" s="300" t="str">
        <f t="shared" si="2"/>
        <v/>
      </c>
      <c r="H61" s="303" t="s">
        <v>1913</v>
      </c>
      <c r="I61" s="311">
        <v>6.5000000000000002E-2</v>
      </c>
      <c r="J61" s="218" t="s">
        <v>1898</v>
      </c>
      <c r="K61" s="362" t="str">
        <f t="shared" si="3"/>
        <v/>
      </c>
      <c r="M61" s="500" t="str">
        <f>非_単位!B129</f>
        <v>エチレン等の製造:クロロエチレン</v>
      </c>
      <c r="N61" s="500" t="str">
        <f>"非_単位!$C$"&amp;MATCH(M61,非_単位!B:B,0)&amp;":$D$"&amp;MATCH(M61,非_単位!B:B,0)</f>
        <v>非_単位!$C$129:$D$129</v>
      </c>
      <c r="O61" s="500">
        <f>IF(E61="","",VLOOKUP(E61,非_単位補正換算!$B$3:$C$16,2,FALSE))</f>
        <v>1000</v>
      </c>
    </row>
    <row r="62" spans="1:15" ht="20.25" customHeight="1">
      <c r="A62" s="1981"/>
      <c r="B62" s="1675"/>
      <c r="C62" s="1365" t="s">
        <v>129</v>
      </c>
      <c r="D62" s="1367"/>
      <c r="E62" s="434" t="s">
        <v>373</v>
      </c>
      <c r="F62" s="39"/>
      <c r="G62" s="300" t="str">
        <f t="shared" si="2"/>
        <v/>
      </c>
      <c r="H62" s="303" t="s">
        <v>1913</v>
      </c>
      <c r="I62" s="311">
        <v>0.33</v>
      </c>
      <c r="J62" s="218" t="s">
        <v>1898</v>
      </c>
      <c r="K62" s="362" t="str">
        <f t="shared" si="3"/>
        <v/>
      </c>
      <c r="M62" s="500" t="str">
        <f>非_単位!B130</f>
        <v>エチレン等の製造:酸化エチレン</v>
      </c>
      <c r="N62" s="500" t="str">
        <f>"非_単位!$C$"&amp;MATCH(M62,非_単位!B:B,0)&amp;":$D$"&amp;MATCH(M62,非_単位!B:B,0)</f>
        <v>非_単位!$C$130:$D$130</v>
      </c>
      <c r="O62" s="500">
        <f>IF(E62="","",VLOOKUP(E62,非_単位補正換算!$B$3:$C$16,2,FALSE))</f>
        <v>1000</v>
      </c>
    </row>
    <row r="63" spans="1:15" ht="20.25" customHeight="1">
      <c r="A63" s="1981"/>
      <c r="B63" s="1675"/>
      <c r="C63" s="1365" t="s">
        <v>130</v>
      </c>
      <c r="D63" s="1367"/>
      <c r="E63" s="434" t="s">
        <v>373</v>
      </c>
      <c r="F63" s="39"/>
      <c r="G63" s="300" t="str">
        <f t="shared" si="2"/>
        <v/>
      </c>
      <c r="H63" s="303" t="s">
        <v>1913</v>
      </c>
      <c r="I63" s="311">
        <v>0.73</v>
      </c>
      <c r="J63" s="218" t="s">
        <v>1898</v>
      </c>
      <c r="K63" s="362" t="str">
        <f t="shared" si="3"/>
        <v/>
      </c>
      <c r="M63" s="500" t="str">
        <f>非_単位!B131</f>
        <v>エチレン等の製造:アクリロニトリル</v>
      </c>
      <c r="N63" s="500" t="str">
        <f>"非_単位!$C$"&amp;MATCH(M63,非_単位!B:B,0)&amp;":$D$"&amp;MATCH(M63,非_単位!B:B,0)</f>
        <v>非_単位!$C$131:$D$131</v>
      </c>
      <c r="O63" s="500">
        <f>IF(E63="","",VLOOKUP(E63,非_単位補正換算!$B$3:$C$16,2,FALSE))</f>
        <v>1000</v>
      </c>
    </row>
    <row r="64" spans="1:15" ht="20.25" customHeight="1">
      <c r="A64" s="1981"/>
      <c r="B64" s="1675"/>
      <c r="C64" s="1365" t="s">
        <v>131</v>
      </c>
      <c r="D64" s="1367"/>
      <c r="E64" s="434" t="s">
        <v>373</v>
      </c>
      <c r="F64" s="39"/>
      <c r="G64" s="300" t="str">
        <f t="shared" si="2"/>
        <v/>
      </c>
      <c r="H64" s="303" t="s">
        <v>1913</v>
      </c>
      <c r="I64" s="311">
        <v>2.1</v>
      </c>
      <c r="J64" s="218" t="s">
        <v>1898</v>
      </c>
      <c r="K64" s="362" t="str">
        <f t="shared" si="3"/>
        <v/>
      </c>
      <c r="M64" s="500" t="str">
        <f>非_単位!B132</f>
        <v>エチレン等の製造:カーボンブラック</v>
      </c>
      <c r="N64" s="500" t="str">
        <f>"非_単位!$C$"&amp;MATCH(M64,非_単位!B:B,0)&amp;":$D$"&amp;MATCH(M64,非_単位!B:B,0)</f>
        <v>非_単位!$C$132:$D$132</v>
      </c>
      <c r="O64" s="500">
        <f>IF(E64="","",VLOOKUP(E64,非_単位補正換算!$B$3:$C$16,2,FALSE))</f>
        <v>1000</v>
      </c>
    </row>
    <row r="65" spans="1:15" ht="20.25" customHeight="1">
      <c r="A65" s="1981"/>
      <c r="B65" s="1675"/>
      <c r="C65" s="1365" t="s">
        <v>132</v>
      </c>
      <c r="D65" s="1367"/>
      <c r="E65" s="434" t="s">
        <v>373</v>
      </c>
      <c r="F65" s="39"/>
      <c r="G65" s="300" t="str">
        <f t="shared" si="2"/>
        <v/>
      </c>
      <c r="H65" s="303" t="s">
        <v>1913</v>
      </c>
      <c r="I65" s="311">
        <v>0.37</v>
      </c>
      <c r="J65" s="218" t="s">
        <v>1898</v>
      </c>
      <c r="K65" s="362" t="str">
        <f t="shared" si="3"/>
        <v/>
      </c>
      <c r="M65" s="500" t="str">
        <f>非_単位!B133</f>
        <v>エチレン等の製造:無水フタル酸</v>
      </c>
      <c r="N65" s="500" t="str">
        <f>"非_単位!$C$"&amp;MATCH(M65,非_単位!B:B,0)&amp;":$D$"&amp;MATCH(M65,非_単位!B:B,0)</f>
        <v>非_単位!$C$133:$D$133</v>
      </c>
      <c r="O65" s="500">
        <f>IF(E65="","",VLOOKUP(E65,非_単位補正換算!$B$3:$C$16,2,FALSE))</f>
        <v>1000</v>
      </c>
    </row>
    <row r="66" spans="1:15" ht="20.25" customHeight="1">
      <c r="A66" s="1981"/>
      <c r="B66" s="1675"/>
      <c r="C66" s="1365" t="s">
        <v>133</v>
      </c>
      <c r="D66" s="1367"/>
      <c r="E66" s="434" t="s">
        <v>373</v>
      </c>
      <c r="F66" s="39"/>
      <c r="G66" s="300" t="str">
        <f t="shared" si="2"/>
        <v/>
      </c>
      <c r="H66" s="303" t="s">
        <v>1913</v>
      </c>
      <c r="I66" s="311">
        <v>1.1000000000000001</v>
      </c>
      <c r="J66" s="218" t="s">
        <v>1898</v>
      </c>
      <c r="K66" s="362" t="str">
        <f t="shared" si="3"/>
        <v/>
      </c>
      <c r="M66" s="500" t="str">
        <f>非_単位!B134</f>
        <v>エチレン等の製造:無水マレイン酸</v>
      </c>
      <c r="N66" s="500" t="str">
        <f>"非_単位!$C$"&amp;MATCH(M66,非_単位!B:B,0)&amp;":$D$"&amp;MATCH(M66,非_単位!B:B,0)</f>
        <v>非_単位!$C$134:$D$134</v>
      </c>
      <c r="O66" s="500">
        <f>IF(E66="","",VLOOKUP(E66,非_単位補正換算!$B$3:$C$16,2,FALSE))</f>
        <v>1000</v>
      </c>
    </row>
    <row r="67" spans="1:15" ht="20.25" customHeight="1">
      <c r="A67" s="1981"/>
      <c r="B67" s="1674"/>
      <c r="C67" s="1365" t="s">
        <v>134</v>
      </c>
      <c r="D67" s="1367"/>
      <c r="E67" s="434" t="s">
        <v>377</v>
      </c>
      <c r="F67" s="39"/>
      <c r="G67" s="300" t="str">
        <f t="shared" si="2"/>
        <v/>
      </c>
      <c r="H67" s="303" t="s">
        <v>1917</v>
      </c>
      <c r="I67" s="311">
        <v>8.4999999999999995E-4</v>
      </c>
      <c r="J67" s="216" t="s">
        <v>1906</v>
      </c>
      <c r="K67" s="362" t="str">
        <f t="shared" si="3"/>
        <v/>
      </c>
      <c r="M67" s="500" t="str">
        <f>非_単位!B135</f>
        <v>エチレン等の製造:水素</v>
      </c>
      <c r="N67" s="500" t="str">
        <f>"非_単位!$C$"&amp;MATCH(M67,非_単位!B:B,0)&amp;":$D$"&amp;MATCH(M67,非_単位!B:B,0)</f>
        <v>非_単位!$C$135:$D$135</v>
      </c>
      <c r="O67" s="500">
        <f>IF(E67="","",VLOOKUP(E67,非_単位補正換算!$B$3:$C$16,2,FALSE))</f>
        <v>1000</v>
      </c>
    </row>
    <row r="68" spans="1:15" ht="30" customHeight="1">
      <c r="A68" s="1981"/>
      <c r="B68" s="1695" t="s">
        <v>135</v>
      </c>
      <c r="C68" s="1679"/>
      <c r="D68" s="1679"/>
      <c r="E68" s="434" t="s">
        <v>373</v>
      </c>
      <c r="F68" s="39"/>
      <c r="G68" s="300" t="str">
        <f t="shared" si="2"/>
        <v/>
      </c>
      <c r="H68" s="303" t="s">
        <v>1913</v>
      </c>
      <c r="I68" s="311">
        <v>3.38</v>
      </c>
      <c r="J68" s="218" t="s">
        <v>1898</v>
      </c>
      <c r="K68" s="362" t="str">
        <f t="shared" si="3"/>
        <v/>
      </c>
      <c r="M68" s="500" t="str">
        <f>非_単位!B136</f>
        <v>カルシウムカーバイドを原料としたアセチレンの使用</v>
      </c>
      <c r="N68" s="500" t="str">
        <f>"非_単位!$C$"&amp;MATCH(M68,非_単位!B:B,0)&amp;":$D$"&amp;MATCH(M68,非_単位!B:B,0)</f>
        <v>非_単位!$C$136:$D$136</v>
      </c>
      <c r="O68" s="500">
        <f>IF(E68="","",VLOOKUP(E68,非_単位補正換算!$B$3:$C$16,2,FALSE))</f>
        <v>1000</v>
      </c>
    </row>
    <row r="69" spans="1:15" ht="20.25" customHeight="1">
      <c r="A69" s="1981"/>
      <c r="B69" s="1785" t="s">
        <v>136</v>
      </c>
      <c r="C69" s="1988"/>
      <c r="D69" s="1989"/>
      <c r="E69" s="434" t="s">
        <v>373</v>
      </c>
      <c r="F69" s="39"/>
      <c r="G69" s="300" t="str">
        <f t="shared" si="2"/>
        <v/>
      </c>
      <c r="H69" s="303" t="s">
        <v>1913</v>
      </c>
      <c r="I69" s="317">
        <f>44/12</f>
        <v>3.6666666666666665</v>
      </c>
      <c r="J69" s="218" t="s">
        <v>1898</v>
      </c>
      <c r="K69" s="362" t="str">
        <f t="shared" si="3"/>
        <v/>
      </c>
      <c r="M69" s="500" t="str">
        <f>非_単位!B137</f>
        <v>電気炉における炭素電極の使用</v>
      </c>
      <c r="N69" s="500" t="str">
        <f>"非_単位!$C$"&amp;MATCH(M69,非_単位!B:B,0)&amp;":$D$"&amp;MATCH(M69,非_単位!B:B,0)</f>
        <v>非_単位!$C$137:$D$137</v>
      </c>
      <c r="O69" s="500">
        <f>IF(E69="","",VLOOKUP(E69,非_単位補正換算!$B$3:$C$16,2,FALSE))</f>
        <v>1000</v>
      </c>
    </row>
    <row r="70" spans="1:15" ht="24.75" customHeight="1">
      <c r="A70" s="1981"/>
      <c r="B70" s="1695" t="s">
        <v>137</v>
      </c>
      <c r="C70" s="1679" t="s">
        <v>138</v>
      </c>
      <c r="D70" s="1679"/>
      <c r="E70" s="434" t="s">
        <v>373</v>
      </c>
      <c r="F70" s="39"/>
      <c r="G70" s="300" t="str">
        <f t="shared" si="2"/>
        <v/>
      </c>
      <c r="H70" s="303" t="s">
        <v>1913</v>
      </c>
      <c r="I70" s="314">
        <v>0.44</v>
      </c>
      <c r="J70" s="218" t="s">
        <v>1898</v>
      </c>
      <c r="K70" s="362" t="str">
        <f t="shared" si="3"/>
        <v/>
      </c>
      <c r="M70" s="500" t="str">
        <f>非_単位!B138</f>
        <v>鉄鋼の製造における鉱物の使用:石灰石</v>
      </c>
      <c r="N70" s="500" t="str">
        <f>"非_単位!$C$"&amp;MATCH(M70,非_単位!B:B,0)&amp;":$D$"&amp;MATCH(M70,非_単位!B:B,0)</f>
        <v>非_単位!$C$138:$D$138</v>
      </c>
      <c r="O70" s="500">
        <f>IF(E70="","",VLOOKUP(E70,非_単位補正換算!$B$3:$C$16,2,FALSE))</f>
        <v>1000</v>
      </c>
    </row>
    <row r="71" spans="1:15" ht="24.75" customHeight="1">
      <c r="A71" s="1981"/>
      <c r="B71" s="1695"/>
      <c r="C71" s="1679" t="s">
        <v>139</v>
      </c>
      <c r="D71" s="1679"/>
      <c r="E71" s="434" t="s">
        <v>373</v>
      </c>
      <c r="F71" s="39"/>
      <c r="G71" s="300" t="str">
        <f t="shared" si="2"/>
        <v/>
      </c>
      <c r="H71" s="303" t="s">
        <v>1913</v>
      </c>
      <c r="I71" s="311">
        <v>0.47099999999999997</v>
      </c>
      <c r="J71" s="218" t="s">
        <v>1898</v>
      </c>
      <c r="K71" s="362" t="str">
        <f t="shared" si="3"/>
        <v/>
      </c>
      <c r="M71" s="500" t="str">
        <f>非_単位!B139</f>
        <v>鉄鋼の製造における鉱物の使用:ドロマイト</v>
      </c>
      <c r="N71" s="500" t="str">
        <f>"非_単位!$C$"&amp;MATCH(M71,非_単位!B:B,0)&amp;":$D$"&amp;MATCH(M71,非_単位!B:B,0)</f>
        <v>非_単位!$C$139:$D$139</v>
      </c>
      <c r="O71" s="500">
        <f>IF(E71="","",VLOOKUP(E71,非_単位補正換算!$B$3:$C$16,2,FALSE))</f>
        <v>1000</v>
      </c>
    </row>
    <row r="72" spans="1:15" ht="39.9" customHeight="1">
      <c r="A72" s="1981"/>
      <c r="B72" s="1695" t="s">
        <v>140</v>
      </c>
      <c r="C72" s="1695" t="s">
        <v>284</v>
      </c>
      <c r="D72" s="1695"/>
      <c r="E72" s="434" t="s">
        <v>375</v>
      </c>
      <c r="F72" s="39"/>
      <c r="G72" s="300" t="str">
        <f t="shared" si="2"/>
        <v/>
      </c>
      <c r="H72" s="303" t="s">
        <v>1916</v>
      </c>
      <c r="I72" s="311">
        <v>0.313</v>
      </c>
      <c r="J72" s="216" t="s">
        <v>1905</v>
      </c>
      <c r="K72" s="362" t="str">
        <f t="shared" si="3"/>
        <v/>
      </c>
      <c r="M72" s="500" t="str">
        <f>非_単位!B140</f>
        <v>鉄鋼の製造において生じるガスの燃焼（フレアリング）:高炉がス</v>
      </c>
      <c r="N72" s="500" t="str">
        <f>"非_単位!$C$"&amp;MATCH(M72,非_単位!B:B,0)&amp;":$D$"&amp;MATCH(M72,非_単位!B:B,0)</f>
        <v>非_単位!$C$140:$D$140</v>
      </c>
      <c r="O72" s="500">
        <f>IF(E72="","",VLOOKUP(E72,非_単位補正換算!$B$3:$C$16,2,FALSE))</f>
        <v>1000</v>
      </c>
    </row>
    <row r="73" spans="1:15" ht="39.9" customHeight="1">
      <c r="A73" s="1981"/>
      <c r="B73" s="1695"/>
      <c r="C73" s="1695" t="s">
        <v>141</v>
      </c>
      <c r="D73" s="1695"/>
      <c r="E73" s="434" t="s">
        <v>375</v>
      </c>
      <c r="F73" s="39"/>
      <c r="G73" s="300" t="str">
        <f t="shared" si="2"/>
        <v/>
      </c>
      <c r="H73" s="303" t="s">
        <v>1916</v>
      </c>
      <c r="I73" s="311">
        <v>1.1599999999999999</v>
      </c>
      <c r="J73" s="216" t="s">
        <v>1905</v>
      </c>
      <c r="K73" s="362" t="str">
        <f t="shared" si="3"/>
        <v/>
      </c>
      <c r="M73" s="500" t="str">
        <f>非_単位!B141</f>
        <v>鉄鋼の製造において生じるガスの燃焼（フレアリング）:転炉ガス</v>
      </c>
      <c r="N73" s="500" t="str">
        <f>"非_単位!$C$"&amp;MATCH(M73,非_単位!B:B,0)&amp;":$D$"&amp;MATCH(M73,非_単位!B:B,0)</f>
        <v>非_単位!$C$141:$D$141</v>
      </c>
      <c r="O73" s="500">
        <f>IF(E73="","",VLOOKUP(E73,非_単位補正換算!$B$3:$C$16,2,FALSE))</f>
        <v>1000</v>
      </c>
    </row>
    <row r="74" spans="1:15" ht="20.25" customHeight="1">
      <c r="A74" s="1981"/>
      <c r="B74" s="1695" t="s">
        <v>142</v>
      </c>
      <c r="C74" s="1695" t="s">
        <v>143</v>
      </c>
      <c r="D74" s="1695"/>
      <c r="E74" s="434" t="s">
        <v>372</v>
      </c>
      <c r="F74" s="39"/>
      <c r="G74" s="300" t="str">
        <f t="shared" si="2"/>
        <v/>
      </c>
      <c r="H74" s="303" t="s">
        <v>1914</v>
      </c>
      <c r="I74" s="311">
        <v>0.58699999999999997</v>
      </c>
      <c r="J74" s="218" t="s">
        <v>1899</v>
      </c>
      <c r="K74" s="362" t="str">
        <f t="shared" si="3"/>
        <v/>
      </c>
      <c r="M74" s="500" t="str">
        <f>非_単位!B142</f>
        <v>潤滑油等の使用:潤滑油</v>
      </c>
      <c r="N74" s="500" t="str">
        <f>"非_単位!$C$"&amp;MATCH(M74,非_単位!B:B,0)&amp;":$D$"&amp;MATCH(M74,非_単位!B:B,0)</f>
        <v>非_単位!$C$142:$D$142</v>
      </c>
      <c r="O74" s="500">
        <f>IF(E74="","",VLOOKUP(E74,非_単位補正換算!$B$3:$C$16,2,FALSE))</f>
        <v>1000</v>
      </c>
    </row>
    <row r="75" spans="1:15" ht="20.25" customHeight="1">
      <c r="A75" s="1981"/>
      <c r="B75" s="1695"/>
      <c r="C75" s="1695" t="s">
        <v>144</v>
      </c>
      <c r="D75" s="1695"/>
      <c r="E75" s="434" t="s">
        <v>373</v>
      </c>
      <c r="F75" s="39"/>
      <c r="G75" s="300" t="str">
        <f t="shared" si="2"/>
        <v/>
      </c>
      <c r="H75" s="303" t="s">
        <v>1913</v>
      </c>
      <c r="I75" s="315">
        <v>0.15</v>
      </c>
      <c r="J75" s="218" t="s">
        <v>1898</v>
      </c>
      <c r="K75" s="362" t="str">
        <f t="shared" si="3"/>
        <v/>
      </c>
      <c r="M75" s="500" t="str">
        <f>非_単位!B143</f>
        <v>潤滑油等の使用:グリース</v>
      </c>
      <c r="N75" s="500" t="str">
        <f>"非_単位!$C$"&amp;MATCH(M75,非_単位!B:B,0)&amp;":$D$"&amp;MATCH(M75,非_単位!B:B,0)</f>
        <v>非_単位!$C$143:$D$143</v>
      </c>
      <c r="O75" s="500">
        <f>IF(E75="","",VLOOKUP(E75,非_単位補正換算!$B$3:$C$16,2,FALSE))</f>
        <v>1000</v>
      </c>
    </row>
    <row r="76" spans="1:15" ht="20.25" customHeight="1">
      <c r="A76" s="1981"/>
      <c r="B76" s="1695"/>
      <c r="C76" s="1695" t="s">
        <v>145</v>
      </c>
      <c r="D76" s="1695"/>
      <c r="E76" s="434" t="s">
        <v>373</v>
      </c>
      <c r="F76" s="39"/>
      <c r="G76" s="300" t="str">
        <f t="shared" si="2"/>
        <v/>
      </c>
      <c r="H76" s="303" t="s">
        <v>1913</v>
      </c>
      <c r="I76" s="311">
        <v>0.59799999999999998</v>
      </c>
      <c r="J76" s="218" t="s">
        <v>1898</v>
      </c>
      <c r="K76" s="362" t="str">
        <f t="shared" si="3"/>
        <v/>
      </c>
      <c r="M76" s="500" t="str">
        <f>非_単位!B144</f>
        <v>潤滑油等の使用:パラフィンろう</v>
      </c>
      <c r="N76" s="500" t="str">
        <f>"非_単位!$C$"&amp;MATCH(M76,非_単位!B:B,0)&amp;":$D$"&amp;MATCH(M76,非_単位!B:B,0)</f>
        <v>非_単位!$C$144:$D$144</v>
      </c>
      <c r="O76" s="500">
        <f>IF(E76="","",VLOOKUP(E76,非_単位補正換算!$B$3:$C$16,2,FALSE))</f>
        <v>1000</v>
      </c>
    </row>
    <row r="77" spans="1:15" ht="20.25" customHeight="1">
      <c r="A77" s="1981"/>
      <c r="B77" s="1695" t="s">
        <v>146</v>
      </c>
      <c r="C77" s="1695"/>
      <c r="D77" s="1695"/>
      <c r="E77" s="434" t="s">
        <v>373</v>
      </c>
      <c r="F77" s="39"/>
      <c r="G77" s="300" t="str">
        <f t="shared" si="2"/>
        <v/>
      </c>
      <c r="H77" s="303" t="s">
        <v>1913</v>
      </c>
      <c r="I77" s="311">
        <v>2.35</v>
      </c>
      <c r="J77" s="218" t="s">
        <v>1898</v>
      </c>
      <c r="K77" s="362" t="str">
        <f t="shared" si="3"/>
        <v/>
      </c>
      <c r="M77" s="500" t="str">
        <f>非_単位!B145</f>
        <v>非メタン揮発性有機化合物（NMVOC)を含む溶剤の焼却</v>
      </c>
      <c r="N77" s="500" t="str">
        <f>"非_単位!$C$"&amp;MATCH(M77,非_単位!B:B,0)&amp;":$D$"&amp;MATCH(M77,非_単位!B:B,0)</f>
        <v>非_単位!$C$145:$D$145</v>
      </c>
      <c r="O77" s="500">
        <f>IF(E77="","",VLOOKUP(E77,非_単位補正換算!$B$3:$C$16,2,FALSE))</f>
        <v>1000</v>
      </c>
    </row>
    <row r="78" spans="1:15" ht="20.25" customHeight="1">
      <c r="A78" s="1981"/>
      <c r="B78" s="1695" t="s">
        <v>147</v>
      </c>
      <c r="C78" s="1695"/>
      <c r="D78" s="1695"/>
      <c r="E78" s="434" t="s">
        <v>373</v>
      </c>
      <c r="F78" s="39"/>
      <c r="G78" s="300" t="str">
        <f t="shared" si="2"/>
        <v/>
      </c>
      <c r="H78" s="303" t="s">
        <v>1913</v>
      </c>
      <c r="I78" s="311">
        <v>1</v>
      </c>
      <c r="J78" s="218" t="s">
        <v>1898</v>
      </c>
      <c r="K78" s="362" t="str">
        <f t="shared" si="3"/>
        <v/>
      </c>
      <c r="M78" s="500" t="str">
        <f>非_単位!B146</f>
        <v>ドライアイスの製造</v>
      </c>
      <c r="N78" s="500" t="str">
        <f>"非_単位!$C$"&amp;MATCH(M78,非_単位!B:B,0)&amp;":$D$"&amp;MATCH(M78,非_単位!B:B,0)</f>
        <v>非_単位!$C$146:$D$146</v>
      </c>
      <c r="O78" s="500">
        <f>IF(E78="","",VLOOKUP(E78,非_単位補正換算!$B$3:$C$16,2,FALSE))</f>
        <v>1000</v>
      </c>
    </row>
    <row r="79" spans="1:15" ht="20.25" customHeight="1">
      <c r="A79" s="1981"/>
      <c r="B79" s="1695" t="s">
        <v>176</v>
      </c>
      <c r="C79" s="1679"/>
      <c r="D79" s="1679"/>
      <c r="E79" s="434" t="s">
        <v>373</v>
      </c>
      <c r="F79" s="39"/>
      <c r="G79" s="300" t="str">
        <f t="shared" si="2"/>
        <v/>
      </c>
      <c r="H79" s="303" t="s">
        <v>1913</v>
      </c>
      <c r="I79" s="311">
        <v>1</v>
      </c>
      <c r="J79" s="218" t="s">
        <v>1898</v>
      </c>
      <c r="K79" s="362" t="str">
        <f t="shared" si="3"/>
        <v/>
      </c>
      <c r="M79" s="500" t="str">
        <f>非_単位!B147</f>
        <v>ドライアイスの使用</v>
      </c>
      <c r="N79" s="500" t="str">
        <f>"非_単位!$C$"&amp;MATCH(M79,非_単位!B:B,0)&amp;":$D$"&amp;MATCH(M79,非_単位!B:B,0)</f>
        <v>非_単位!$C$147:$D$147</v>
      </c>
      <c r="O79" s="500">
        <f>IF(E79="","",VLOOKUP(E79,非_単位補正換算!$B$3:$C$16,2,FALSE))</f>
        <v>1000</v>
      </c>
    </row>
    <row r="80" spans="1:15" ht="20.25" customHeight="1">
      <c r="A80" s="1981"/>
      <c r="B80" s="1695" t="s">
        <v>148</v>
      </c>
      <c r="C80" s="1679"/>
      <c r="D80" s="1679"/>
      <c r="E80" s="434" t="s">
        <v>373</v>
      </c>
      <c r="F80" s="39"/>
      <c r="G80" s="300" t="str">
        <f t="shared" si="2"/>
        <v/>
      </c>
      <c r="H80" s="303" t="s">
        <v>1913</v>
      </c>
      <c r="I80" s="311">
        <v>1</v>
      </c>
      <c r="J80" s="218" t="s">
        <v>1898</v>
      </c>
      <c r="K80" s="362" t="str">
        <f t="shared" si="3"/>
        <v/>
      </c>
      <c r="M80" s="500" t="str">
        <f>非_単位!B148</f>
        <v>炭酸ガスのボンベへの封入</v>
      </c>
      <c r="N80" s="500" t="str">
        <f>"非_単位!$C$"&amp;MATCH(M80,非_単位!B:B,0)&amp;":$D$"&amp;MATCH(M80,非_単位!B:B,0)</f>
        <v>非_単位!$C$148:$D$148</v>
      </c>
      <c r="O80" s="500">
        <f>IF(E80="","",VLOOKUP(E80,非_単位補正換算!$B$3:$C$16,2,FALSE))</f>
        <v>1000</v>
      </c>
    </row>
    <row r="81" spans="1:15" ht="20.25" customHeight="1">
      <c r="A81" s="1981"/>
      <c r="B81" s="1695" t="s">
        <v>199</v>
      </c>
      <c r="C81" s="1679"/>
      <c r="D81" s="1679"/>
      <c r="E81" s="434" t="s">
        <v>373</v>
      </c>
      <c r="F81" s="39"/>
      <c r="G81" s="300" t="str">
        <f t="shared" si="2"/>
        <v/>
      </c>
      <c r="H81" s="303" t="s">
        <v>1913</v>
      </c>
      <c r="I81" s="311">
        <v>1</v>
      </c>
      <c r="J81" s="218" t="s">
        <v>1898</v>
      </c>
      <c r="K81" s="362" t="str">
        <f t="shared" si="3"/>
        <v/>
      </c>
      <c r="M81" s="500" t="str">
        <f>非_単位!B149</f>
        <v xml:space="preserve">炭酸ガスの使用に伴い排出されたCO2の量 </v>
      </c>
      <c r="N81" s="500" t="str">
        <f>"非_単位!$C$"&amp;MATCH(M81,非_単位!B:B,0)&amp;":$D$"&amp;MATCH(M81,非_単位!B:B,0)</f>
        <v>非_単位!$C$149:$D$149</v>
      </c>
      <c r="O81" s="500">
        <f>IF(E81="","",VLOOKUP(E81,非_単位補正換算!$B$3:$C$16,2,FALSE))</f>
        <v>1000</v>
      </c>
    </row>
    <row r="82" spans="1:15" ht="20.25" customHeight="1">
      <c r="A82" s="1981"/>
      <c r="B82" s="1971"/>
      <c r="C82" s="1971"/>
      <c r="D82" s="1971"/>
      <c r="E82" s="434" t="s">
        <v>373</v>
      </c>
      <c r="F82" s="39"/>
      <c r="G82" s="300" t="str">
        <f t="shared" si="2"/>
        <v/>
      </c>
      <c r="H82" s="303" t="str">
        <f>E82</f>
        <v>kg</v>
      </c>
      <c r="I82" s="316"/>
      <c r="J82" s="292" t="str">
        <f>IF(E82="","","t-CO2/"&amp;E82)</f>
        <v>t-CO2/kg</v>
      </c>
      <c r="K82" s="362" t="str">
        <f t="shared" si="3"/>
        <v/>
      </c>
      <c r="M82" s="500" t="str">
        <f>非_単位!B150</f>
        <v>その他活動によるCO2排出量1</v>
      </c>
      <c r="N82" s="500" t="str">
        <f>"非_単位!$C$"&amp;MATCH(M82,非_単位!B:B,0)&amp;":$H$"&amp;MATCH(M82,非_単位!B:B,0)</f>
        <v>非_単位!$C$150:$H$150</v>
      </c>
      <c r="O82" s="500">
        <f>IF(E82="","",VLOOKUP(E82,非_単位補正換算!$B$3:$C$16,2,FALSE))</f>
        <v>1000</v>
      </c>
    </row>
    <row r="83" spans="1:15" ht="20.25" customHeight="1">
      <c r="A83" s="1981"/>
      <c r="B83" s="1971"/>
      <c r="C83" s="1971"/>
      <c r="D83" s="1971"/>
      <c r="E83" s="434" t="s">
        <v>373</v>
      </c>
      <c r="F83" s="39"/>
      <c r="G83" s="300" t="str">
        <f t="shared" si="2"/>
        <v/>
      </c>
      <c r="H83" s="303" t="str">
        <f>E83</f>
        <v>kg</v>
      </c>
      <c r="I83" s="316"/>
      <c r="J83" s="292" t="str">
        <f>IF(E83="","","t-CO2/"&amp;E83)</f>
        <v>t-CO2/kg</v>
      </c>
      <c r="K83" s="362" t="str">
        <f t="shared" si="3"/>
        <v/>
      </c>
      <c r="M83" s="500" t="str">
        <f>非_単位!B151</f>
        <v>その他活動によるCO2排出量2</v>
      </c>
      <c r="N83" s="500" t="str">
        <f>"非_単位!$C$"&amp;MATCH(M83,非_単位!B:B,0)&amp;":$H$"&amp;MATCH(M83,非_単位!B:B,0)</f>
        <v>非_単位!$C$151:$H$151</v>
      </c>
      <c r="O83" s="500">
        <f>IF(E83="","",VLOOKUP(E83,非_単位補正換算!$B$3:$C$16,2,FALSE))</f>
        <v>1000</v>
      </c>
    </row>
    <row r="84" spans="1:15" ht="20.25" customHeight="1">
      <c r="A84" s="1981"/>
      <c r="B84" s="1971"/>
      <c r="C84" s="1971"/>
      <c r="D84" s="1971"/>
      <c r="E84" s="434" t="s">
        <v>373</v>
      </c>
      <c r="F84" s="39"/>
      <c r="G84" s="300" t="str">
        <f t="shared" si="2"/>
        <v/>
      </c>
      <c r="H84" s="303" t="str">
        <f>E84</f>
        <v>kg</v>
      </c>
      <c r="I84" s="316"/>
      <c r="J84" s="292" t="str">
        <f>IF(E84="","","t-CO2/"&amp;E84)</f>
        <v>t-CO2/kg</v>
      </c>
      <c r="K84" s="362" t="str">
        <f t="shared" si="3"/>
        <v/>
      </c>
      <c r="M84" s="500" t="str">
        <f>非_単位!B152</f>
        <v>その他活動によるCO2排出量3</v>
      </c>
      <c r="N84" s="500" t="str">
        <f>"非_単位!$C$"&amp;MATCH(M84,非_単位!B:B,0)&amp;":$H$"&amp;MATCH(M84,非_単位!B:B,0)</f>
        <v>非_単位!$C$152:$H$152</v>
      </c>
      <c r="O84" s="500">
        <f>IF(E84="","",VLOOKUP(E84,非_単位補正換算!$B$3:$C$16,2,FALSE))</f>
        <v>1000</v>
      </c>
    </row>
    <row r="85" spans="1:15" ht="28.5" customHeight="1" thickBot="1">
      <c r="A85" s="1981"/>
      <c r="B85" s="1972" t="s">
        <v>149</v>
      </c>
      <c r="C85" s="1374"/>
      <c r="D85" s="1375"/>
      <c r="E85" s="1973"/>
      <c r="F85" s="1973"/>
      <c r="G85" s="1973"/>
      <c r="H85" s="1973"/>
      <c r="I85" s="1973"/>
      <c r="J85" s="1973"/>
      <c r="K85" s="447">
        <f>IF(COUNT($K$6:$K$49,$K$55:$K$84)=0,"",SUM($K$6:$K$49,$K$55:$K$84))</f>
        <v>0</v>
      </c>
    </row>
    <row r="86" spans="1:15" ht="31.5" customHeight="1" thickTop="1">
      <c r="A86" s="1974" t="s">
        <v>270</v>
      </c>
      <c r="B86" s="1677" t="s">
        <v>150</v>
      </c>
      <c r="C86" s="1677"/>
      <c r="D86" s="1677"/>
      <c r="E86" s="50" t="s">
        <v>200</v>
      </c>
      <c r="F86" s="321"/>
      <c r="G86" s="318" t="str">
        <f>IF(F86="","",F86)</f>
        <v/>
      </c>
      <c r="H86" s="53" t="s">
        <v>1920</v>
      </c>
      <c r="I86" s="51">
        <v>28</v>
      </c>
      <c r="J86" s="293" t="s">
        <v>1909</v>
      </c>
      <c r="K86" s="380" t="str">
        <f>IF(G86="","",IF(I86="","",G86*I86))</f>
        <v/>
      </c>
    </row>
    <row r="87" spans="1:15" ht="27.75" customHeight="1">
      <c r="A87" s="1685"/>
      <c r="B87" s="1679" t="s">
        <v>151</v>
      </c>
      <c r="C87" s="1679"/>
      <c r="D87" s="1679"/>
      <c r="E87" s="216" t="s">
        <v>201</v>
      </c>
      <c r="F87" s="322"/>
      <c r="G87" s="319" t="str">
        <f>IF(F87="","",F87)</f>
        <v/>
      </c>
      <c r="H87" s="54" t="s">
        <v>1921</v>
      </c>
      <c r="I87" s="36">
        <v>265</v>
      </c>
      <c r="J87" s="294" t="s">
        <v>1910</v>
      </c>
      <c r="K87" s="362" t="str">
        <f t="shared" ref="K87:K95" si="4">IF(G87="","",IF(I87="","",G87*I87))</f>
        <v/>
      </c>
    </row>
    <row r="88" spans="1:15" ht="20.25" customHeight="1">
      <c r="A88" s="1685"/>
      <c r="B88" s="1818" t="s">
        <v>152</v>
      </c>
      <c r="C88" s="1679"/>
      <c r="D88" s="1679"/>
      <c r="E88" s="46"/>
      <c r="F88" s="323"/>
      <c r="G88" s="55"/>
      <c r="H88" s="55"/>
      <c r="I88" s="1969"/>
      <c r="J88" s="1969"/>
      <c r="K88" s="362" t="str">
        <f>IF(COUNT(K89:K90)=0,"",SUM(K89:K90))</f>
        <v/>
      </c>
    </row>
    <row r="89" spans="1:15" ht="20.25" customHeight="1">
      <c r="A89" s="1685"/>
      <c r="B89" s="1970"/>
      <c r="C89" s="1968"/>
      <c r="D89" s="1968"/>
      <c r="E89" s="36" t="str">
        <f>"t-"&amp;C89</f>
        <v>t-</v>
      </c>
      <c r="F89" s="322"/>
      <c r="G89" s="320" t="str">
        <f>IF(F89="","",F89)</f>
        <v/>
      </c>
      <c r="H89" s="56" t="str">
        <f>E89</f>
        <v>t-</v>
      </c>
      <c r="I89" s="441"/>
      <c r="J89" s="36" t="str">
        <f>"t-CO2/t-"&amp;C89</f>
        <v>t-CO2/t-</v>
      </c>
      <c r="K89" s="362" t="str">
        <f t="shared" si="4"/>
        <v/>
      </c>
    </row>
    <row r="90" spans="1:15" ht="20.25" customHeight="1">
      <c r="A90" s="1685"/>
      <c r="B90" s="1797"/>
      <c r="C90" s="1968"/>
      <c r="D90" s="1968"/>
      <c r="E90" s="36" t="str">
        <f>"t-"&amp;C90</f>
        <v>t-</v>
      </c>
      <c r="F90" s="322"/>
      <c r="G90" s="320" t="str">
        <f>IF(F90="","",F90)</f>
        <v/>
      </c>
      <c r="H90" s="56" t="str">
        <f>E90</f>
        <v>t-</v>
      </c>
      <c r="I90" s="441"/>
      <c r="J90" s="36" t="str">
        <f>"t-CO2/t-"&amp;C90</f>
        <v>t-CO2/t-</v>
      </c>
      <c r="K90" s="362" t="str">
        <f t="shared" si="4"/>
        <v/>
      </c>
    </row>
    <row r="91" spans="1:15" ht="20.25" customHeight="1">
      <c r="A91" s="1685"/>
      <c r="B91" s="1818" t="s">
        <v>153</v>
      </c>
      <c r="C91" s="1679"/>
      <c r="D91" s="1679"/>
      <c r="E91" s="46"/>
      <c r="F91" s="323"/>
      <c r="G91" s="55"/>
      <c r="H91" s="55"/>
      <c r="I91" s="1969"/>
      <c r="J91" s="1969"/>
      <c r="K91" s="362" t="str">
        <f>IF(COUNT(K92:K93)=0,"",SUM(K92:K93))</f>
        <v/>
      </c>
    </row>
    <row r="92" spans="1:15" ht="20.25" customHeight="1">
      <c r="A92" s="1685"/>
      <c r="B92" s="1970"/>
      <c r="C92" s="1968"/>
      <c r="D92" s="1968"/>
      <c r="E92" s="36" t="str">
        <f>"t-"&amp;C92</f>
        <v>t-</v>
      </c>
      <c r="F92" s="322"/>
      <c r="G92" s="320" t="str">
        <f t="shared" ref="G92:G95" si="5">IF(F92="","",F92)</f>
        <v/>
      </c>
      <c r="H92" s="56" t="str">
        <f>E92</f>
        <v>t-</v>
      </c>
      <c r="I92" s="441"/>
      <c r="J92" s="36" t="str">
        <f>"t-CO2/t-"&amp;C92</f>
        <v>t-CO2/t-</v>
      </c>
      <c r="K92" s="362" t="str">
        <f t="shared" si="4"/>
        <v/>
      </c>
    </row>
    <row r="93" spans="1:15" ht="20.25" customHeight="1">
      <c r="A93" s="1685"/>
      <c r="B93" s="1797"/>
      <c r="C93" s="1968"/>
      <c r="D93" s="1968"/>
      <c r="E93" s="36" t="str">
        <f>"t-"&amp;C93</f>
        <v>t-</v>
      </c>
      <c r="F93" s="322"/>
      <c r="G93" s="320" t="str">
        <f t="shared" si="5"/>
        <v/>
      </c>
      <c r="H93" s="56" t="str">
        <f>E93</f>
        <v>t-</v>
      </c>
      <c r="I93" s="441"/>
      <c r="J93" s="36" t="str">
        <f>"t-CO2/t-"&amp;C93</f>
        <v>t-CO2/t-</v>
      </c>
      <c r="K93" s="362" t="str">
        <f t="shared" si="4"/>
        <v/>
      </c>
    </row>
    <row r="94" spans="1:15" ht="31.5" customHeight="1">
      <c r="A94" s="1685"/>
      <c r="B94" s="1679" t="s">
        <v>154</v>
      </c>
      <c r="C94" s="1679"/>
      <c r="D94" s="1679"/>
      <c r="E94" s="216" t="s">
        <v>202</v>
      </c>
      <c r="F94" s="322"/>
      <c r="G94" s="320" t="str">
        <f t="shared" si="5"/>
        <v/>
      </c>
      <c r="H94" s="54" t="s">
        <v>1918</v>
      </c>
      <c r="I94" s="36">
        <v>23500</v>
      </c>
      <c r="J94" s="294" t="s">
        <v>1911</v>
      </c>
      <c r="K94" s="362" t="str">
        <f t="shared" si="4"/>
        <v/>
      </c>
    </row>
    <row r="95" spans="1:15" ht="31.5" customHeight="1">
      <c r="A95" s="1685"/>
      <c r="B95" s="1679" t="s">
        <v>155</v>
      </c>
      <c r="C95" s="1679"/>
      <c r="D95" s="1679"/>
      <c r="E95" s="216" t="s">
        <v>203</v>
      </c>
      <c r="F95" s="322"/>
      <c r="G95" s="320" t="str">
        <f t="shared" si="5"/>
        <v/>
      </c>
      <c r="H95" s="54" t="s">
        <v>1919</v>
      </c>
      <c r="I95" s="36">
        <v>16100</v>
      </c>
      <c r="J95" s="295" t="s">
        <v>1912</v>
      </c>
      <c r="K95" s="362" t="str">
        <f t="shared" si="4"/>
        <v/>
      </c>
    </row>
    <row r="96" spans="1:15" ht="30.75" customHeight="1" thickBot="1">
      <c r="A96" s="1975"/>
      <c r="B96" s="1696" t="s">
        <v>149</v>
      </c>
      <c r="C96" s="1776"/>
      <c r="D96" s="1977"/>
      <c r="E96" s="1976"/>
      <c r="F96" s="1976"/>
      <c r="G96" s="1976"/>
      <c r="H96" s="1976"/>
      <c r="I96" s="1976"/>
      <c r="J96" s="1976"/>
      <c r="K96" s="448" t="str">
        <f>IF(COUNT(K86:K88,K91,K94:K95)=0,"",SUM(K86:K88,K91,K94:K95))</f>
        <v/>
      </c>
    </row>
    <row r="97" spans="1:11" ht="34.5" customHeight="1" thickTop="1" thickBot="1">
      <c r="A97" s="1965" t="s">
        <v>42</v>
      </c>
      <c r="B97" s="1966"/>
      <c r="C97" s="1966"/>
      <c r="D97" s="1966"/>
      <c r="E97" s="1967"/>
      <c r="F97" s="1967"/>
      <c r="G97" s="1967"/>
      <c r="H97" s="1967"/>
      <c r="I97" s="1967"/>
      <c r="J97" s="1967"/>
      <c r="K97" s="449">
        <f>IF(COUNT(K85,K96)=0,"",ROUND(SUM(K85,K96),0))</f>
        <v>0</v>
      </c>
    </row>
    <row r="98" spans="1:11">
      <c r="A98" s="3"/>
      <c r="B98" s="3"/>
      <c r="C98" s="3"/>
      <c r="D98" s="3"/>
      <c r="E98" s="3"/>
      <c r="F98" s="3"/>
      <c r="I98" s="38"/>
      <c r="J98" s="3"/>
      <c r="K98" s="3"/>
    </row>
    <row r="99" spans="1:11">
      <c r="A99" s="3"/>
      <c r="B99" s="3"/>
      <c r="C99" s="3"/>
      <c r="D99" s="3"/>
      <c r="E99" s="3"/>
      <c r="F99" s="3"/>
      <c r="I99" s="38"/>
      <c r="J99" s="3"/>
      <c r="K99" s="3" t="s">
        <v>121</v>
      </c>
    </row>
  </sheetData>
  <sheetProtection algorithmName="SHA-512" hashValue="IPi97pIyXNb4JfOMotNuVeyVm7kRuMYNI8Bt9SYmzPQWzZV8P5pPAO7WMlKd9ku7ZinOsGqoiEwLeil8yLz+BA==" saltValue="9CSFeby4M1F9eR1fogPZSA==" spinCount="100000" sheet="1" objects="1" scenarios="1"/>
  <mergeCells count="128">
    <mergeCell ref="C20:D20"/>
    <mergeCell ref="C21:D21"/>
    <mergeCell ref="B24:D24"/>
    <mergeCell ref="B25:B26"/>
    <mergeCell ref="C25:D25"/>
    <mergeCell ref="C26:D26"/>
    <mergeCell ref="B15:B23"/>
    <mergeCell ref="C22:D22"/>
    <mergeCell ref="J1:K1"/>
    <mergeCell ref="A3:A5"/>
    <mergeCell ref="B3:B5"/>
    <mergeCell ref="C3:D5"/>
    <mergeCell ref="E3:E5"/>
    <mergeCell ref="I3:J5"/>
    <mergeCell ref="K3:K4"/>
    <mergeCell ref="F3:F5"/>
    <mergeCell ref="A6:A49"/>
    <mergeCell ref="B6:B1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3:D23"/>
    <mergeCell ref="B27:B34"/>
    <mergeCell ref="C27:D27"/>
    <mergeCell ref="C28:D28"/>
    <mergeCell ref="C29:D29"/>
    <mergeCell ref="C30:D30"/>
    <mergeCell ref="C31:D31"/>
    <mergeCell ref="C32:D32"/>
    <mergeCell ref="C33:D33"/>
    <mergeCell ref="C34:D34"/>
    <mergeCell ref="B35:D35"/>
    <mergeCell ref="B36:B39"/>
    <mergeCell ref="C36:D36"/>
    <mergeCell ref="C37:D37"/>
    <mergeCell ref="C38:D38"/>
    <mergeCell ref="C39:D39"/>
    <mergeCell ref="B45:D45"/>
    <mergeCell ref="B46:B47"/>
    <mergeCell ref="C46:D46"/>
    <mergeCell ref="C47:D47"/>
    <mergeCell ref="B48:B49"/>
    <mergeCell ref="C48:D48"/>
    <mergeCell ref="C49:D49"/>
    <mergeCell ref="B40:B44"/>
    <mergeCell ref="C40:D40"/>
    <mergeCell ref="C41:D41"/>
    <mergeCell ref="C42:D42"/>
    <mergeCell ref="C43:D43"/>
    <mergeCell ref="C44:D44"/>
    <mergeCell ref="K52:K53"/>
    <mergeCell ref="A55:A85"/>
    <mergeCell ref="B55:B67"/>
    <mergeCell ref="C55:D55"/>
    <mergeCell ref="C56:D56"/>
    <mergeCell ref="C57:D57"/>
    <mergeCell ref="C58:D58"/>
    <mergeCell ref="C59:D59"/>
    <mergeCell ref="C60:D60"/>
    <mergeCell ref="A52:A54"/>
    <mergeCell ref="B52:B54"/>
    <mergeCell ref="C52:D54"/>
    <mergeCell ref="E52:E54"/>
    <mergeCell ref="I52:J54"/>
    <mergeCell ref="C67:D67"/>
    <mergeCell ref="B68:D68"/>
    <mergeCell ref="B69:D69"/>
    <mergeCell ref="B70:B71"/>
    <mergeCell ref="C70:D70"/>
    <mergeCell ref="C71:D71"/>
    <mergeCell ref="C61:D61"/>
    <mergeCell ref="C62:D62"/>
    <mergeCell ref="C63:D63"/>
    <mergeCell ref="C64:D64"/>
    <mergeCell ref="C65:D65"/>
    <mergeCell ref="C66:D66"/>
    <mergeCell ref="B77:D77"/>
    <mergeCell ref="B78:D78"/>
    <mergeCell ref="B79:D79"/>
    <mergeCell ref="B80:D80"/>
    <mergeCell ref="B81:D81"/>
    <mergeCell ref="B95:D95"/>
    <mergeCell ref="B96:D96"/>
    <mergeCell ref="E96:J96"/>
    <mergeCell ref="B82:D82"/>
    <mergeCell ref="B72:B73"/>
    <mergeCell ref="C72:D72"/>
    <mergeCell ref="C73:D73"/>
    <mergeCell ref="B74:B76"/>
    <mergeCell ref="C74:D74"/>
    <mergeCell ref="C75:D75"/>
    <mergeCell ref="C76:D76"/>
    <mergeCell ref="B83:D83"/>
    <mergeCell ref="F52:F54"/>
    <mergeCell ref="N3:N5"/>
    <mergeCell ref="O3:O5"/>
    <mergeCell ref="G3:H5"/>
    <mergeCell ref="G52:H54"/>
    <mergeCell ref="A97:D97"/>
    <mergeCell ref="E97:J97"/>
    <mergeCell ref="C89:D89"/>
    <mergeCell ref="C90:D90"/>
    <mergeCell ref="B91:D91"/>
    <mergeCell ref="I91:J91"/>
    <mergeCell ref="B92:B93"/>
    <mergeCell ref="C92:D92"/>
    <mergeCell ref="C93:D93"/>
    <mergeCell ref="B84:D84"/>
    <mergeCell ref="B85:D85"/>
    <mergeCell ref="E85:J85"/>
    <mergeCell ref="A86:A96"/>
    <mergeCell ref="B86:D86"/>
    <mergeCell ref="B87:D87"/>
    <mergeCell ref="B88:D88"/>
    <mergeCell ref="I88:J88"/>
    <mergeCell ref="B89:B90"/>
    <mergeCell ref="B94:D94"/>
  </mergeCells>
  <phoneticPr fontId="5"/>
  <dataValidations disablePrompts="1" count="8">
    <dataValidation type="list" allowBlank="1" showInputMessage="1" showErrorMessage="1" sqref="IE65585:IE65623 SA65585:SA65623 ABW65585:ABW65623 ALS65585:ALS65623 AVO65585:AVO65623 BFK65585:BFK65623 BPG65585:BPG65623 BZC65585:BZC65623 CIY65585:CIY65623 CSU65585:CSU65623 DCQ65585:DCQ65623 DMM65585:DMM65623 DWI65585:DWI65623 EGE65585:EGE65623 EQA65585:EQA65623 EZW65585:EZW65623 FJS65585:FJS65623 FTO65585:FTO65623 GDK65585:GDK65623 GNG65585:GNG65623 GXC65585:GXC65623 HGY65585:HGY65623 HQU65585:HQU65623 IAQ65585:IAQ65623 IKM65585:IKM65623 IUI65585:IUI65623 JEE65585:JEE65623 JOA65585:JOA65623 JXW65585:JXW65623 KHS65585:KHS65623 KRO65585:KRO65623 LBK65585:LBK65623 LLG65585:LLG65623 LVC65585:LVC65623 MEY65585:MEY65623 MOU65585:MOU65623 MYQ65585:MYQ65623 NIM65585:NIM65623 NSI65585:NSI65623 OCE65585:OCE65623 OMA65585:OMA65623 OVW65585:OVW65623 PFS65585:PFS65623 PPO65585:PPO65623 PZK65585:PZK65623 QJG65585:QJG65623 QTC65585:QTC65623 RCY65585:RCY65623 RMU65585:RMU65623 RWQ65585:RWQ65623 SGM65585:SGM65623 SQI65585:SQI65623 TAE65585:TAE65623 TKA65585:TKA65623 TTW65585:TTW65623 UDS65585:UDS65623 UNO65585:UNO65623 UXK65585:UXK65623 VHG65585:VHG65623 VRC65585:VRC65623 WAY65585:WAY65623 WKU65585:WKU65623 WUQ65585:WUQ65623 IE131121:IE131159 SA131121:SA131159 ABW131121:ABW131159 ALS131121:ALS131159 AVO131121:AVO131159 BFK131121:BFK131159 BPG131121:BPG131159 BZC131121:BZC131159 CIY131121:CIY131159 CSU131121:CSU131159 DCQ131121:DCQ131159 DMM131121:DMM131159 DWI131121:DWI131159 EGE131121:EGE131159 EQA131121:EQA131159 EZW131121:EZW131159 FJS131121:FJS131159 FTO131121:FTO131159 GDK131121:GDK131159 GNG131121:GNG131159 GXC131121:GXC131159 HGY131121:HGY131159 HQU131121:HQU131159 IAQ131121:IAQ131159 IKM131121:IKM131159 IUI131121:IUI131159 JEE131121:JEE131159 JOA131121:JOA131159 JXW131121:JXW131159 KHS131121:KHS131159 KRO131121:KRO131159 LBK131121:LBK131159 LLG131121:LLG131159 LVC131121:LVC131159 MEY131121:MEY131159 MOU131121:MOU131159 MYQ131121:MYQ131159 NIM131121:NIM131159 NSI131121:NSI131159 OCE131121:OCE131159 OMA131121:OMA131159 OVW131121:OVW131159 PFS131121:PFS131159 PPO131121:PPO131159 PZK131121:PZK131159 QJG131121:QJG131159 QTC131121:QTC131159 RCY131121:RCY131159 RMU131121:RMU131159 RWQ131121:RWQ131159 SGM131121:SGM131159 SQI131121:SQI131159 TAE131121:TAE131159 TKA131121:TKA131159 TTW131121:TTW131159 UDS131121:UDS131159 UNO131121:UNO131159 UXK131121:UXK131159 VHG131121:VHG131159 VRC131121:VRC131159 WAY131121:WAY131159 WKU131121:WKU131159 WUQ131121:WUQ131159 IE196657:IE196695 SA196657:SA196695 ABW196657:ABW196695 ALS196657:ALS196695 AVO196657:AVO196695 BFK196657:BFK196695 BPG196657:BPG196695 BZC196657:BZC196695 CIY196657:CIY196695 CSU196657:CSU196695 DCQ196657:DCQ196695 DMM196657:DMM196695 DWI196657:DWI196695 EGE196657:EGE196695 EQA196657:EQA196695 EZW196657:EZW196695 FJS196657:FJS196695 FTO196657:FTO196695 GDK196657:GDK196695 GNG196657:GNG196695 GXC196657:GXC196695 HGY196657:HGY196695 HQU196657:HQU196695 IAQ196657:IAQ196695 IKM196657:IKM196695 IUI196657:IUI196695 JEE196657:JEE196695 JOA196657:JOA196695 JXW196657:JXW196695 KHS196657:KHS196695 KRO196657:KRO196695 LBK196657:LBK196695 LLG196657:LLG196695 LVC196657:LVC196695 MEY196657:MEY196695 MOU196657:MOU196695 MYQ196657:MYQ196695 NIM196657:NIM196695 NSI196657:NSI196695 OCE196657:OCE196695 OMA196657:OMA196695 OVW196657:OVW196695 PFS196657:PFS196695 PPO196657:PPO196695 PZK196657:PZK196695 QJG196657:QJG196695 QTC196657:QTC196695 RCY196657:RCY196695 RMU196657:RMU196695 RWQ196657:RWQ196695 SGM196657:SGM196695 SQI196657:SQI196695 TAE196657:TAE196695 TKA196657:TKA196695 TTW196657:TTW196695 UDS196657:UDS196695 UNO196657:UNO196695 UXK196657:UXK196695 VHG196657:VHG196695 VRC196657:VRC196695 WAY196657:WAY196695 WKU196657:WKU196695 WUQ196657:WUQ196695 IE262193:IE262231 SA262193:SA262231 ABW262193:ABW262231 ALS262193:ALS262231 AVO262193:AVO262231 BFK262193:BFK262231 BPG262193:BPG262231 BZC262193:BZC262231 CIY262193:CIY262231 CSU262193:CSU262231 DCQ262193:DCQ262231 DMM262193:DMM262231 DWI262193:DWI262231 EGE262193:EGE262231 EQA262193:EQA262231 EZW262193:EZW262231 FJS262193:FJS262231 FTO262193:FTO262231 GDK262193:GDK262231 GNG262193:GNG262231 GXC262193:GXC262231 HGY262193:HGY262231 HQU262193:HQU262231 IAQ262193:IAQ262231 IKM262193:IKM262231 IUI262193:IUI262231 JEE262193:JEE262231 JOA262193:JOA262231 JXW262193:JXW262231 KHS262193:KHS262231 KRO262193:KRO262231 LBK262193:LBK262231 LLG262193:LLG262231 LVC262193:LVC262231 MEY262193:MEY262231 MOU262193:MOU262231 MYQ262193:MYQ262231 NIM262193:NIM262231 NSI262193:NSI262231 OCE262193:OCE262231 OMA262193:OMA262231 OVW262193:OVW262231 PFS262193:PFS262231 PPO262193:PPO262231 PZK262193:PZK262231 QJG262193:QJG262231 QTC262193:QTC262231 RCY262193:RCY262231 RMU262193:RMU262231 RWQ262193:RWQ262231 SGM262193:SGM262231 SQI262193:SQI262231 TAE262193:TAE262231 TKA262193:TKA262231 TTW262193:TTW262231 UDS262193:UDS262231 UNO262193:UNO262231 UXK262193:UXK262231 VHG262193:VHG262231 VRC262193:VRC262231 WAY262193:WAY262231 WKU262193:WKU262231 WUQ262193:WUQ262231 IE327729:IE327767 SA327729:SA327767 ABW327729:ABW327767 ALS327729:ALS327767 AVO327729:AVO327767 BFK327729:BFK327767 BPG327729:BPG327767 BZC327729:BZC327767 CIY327729:CIY327767 CSU327729:CSU327767 DCQ327729:DCQ327767 DMM327729:DMM327767 DWI327729:DWI327767 EGE327729:EGE327767 EQA327729:EQA327767 EZW327729:EZW327767 FJS327729:FJS327767 FTO327729:FTO327767 GDK327729:GDK327767 GNG327729:GNG327767 GXC327729:GXC327767 HGY327729:HGY327767 HQU327729:HQU327767 IAQ327729:IAQ327767 IKM327729:IKM327767 IUI327729:IUI327767 JEE327729:JEE327767 JOA327729:JOA327767 JXW327729:JXW327767 KHS327729:KHS327767 KRO327729:KRO327767 LBK327729:LBK327767 LLG327729:LLG327767 LVC327729:LVC327767 MEY327729:MEY327767 MOU327729:MOU327767 MYQ327729:MYQ327767 NIM327729:NIM327767 NSI327729:NSI327767 OCE327729:OCE327767 OMA327729:OMA327767 OVW327729:OVW327767 PFS327729:PFS327767 PPO327729:PPO327767 PZK327729:PZK327767 QJG327729:QJG327767 QTC327729:QTC327767 RCY327729:RCY327767 RMU327729:RMU327767 RWQ327729:RWQ327767 SGM327729:SGM327767 SQI327729:SQI327767 TAE327729:TAE327767 TKA327729:TKA327767 TTW327729:TTW327767 UDS327729:UDS327767 UNO327729:UNO327767 UXK327729:UXK327767 VHG327729:VHG327767 VRC327729:VRC327767 WAY327729:WAY327767 WKU327729:WKU327767 WUQ327729:WUQ327767 IE393265:IE393303 SA393265:SA393303 ABW393265:ABW393303 ALS393265:ALS393303 AVO393265:AVO393303 BFK393265:BFK393303 BPG393265:BPG393303 BZC393265:BZC393303 CIY393265:CIY393303 CSU393265:CSU393303 DCQ393265:DCQ393303 DMM393265:DMM393303 DWI393265:DWI393303 EGE393265:EGE393303 EQA393265:EQA393303 EZW393265:EZW393303 FJS393265:FJS393303 FTO393265:FTO393303 GDK393265:GDK393303 GNG393265:GNG393303 GXC393265:GXC393303 HGY393265:HGY393303 HQU393265:HQU393303 IAQ393265:IAQ393303 IKM393265:IKM393303 IUI393265:IUI393303 JEE393265:JEE393303 JOA393265:JOA393303 JXW393265:JXW393303 KHS393265:KHS393303 KRO393265:KRO393303 LBK393265:LBK393303 LLG393265:LLG393303 LVC393265:LVC393303 MEY393265:MEY393303 MOU393265:MOU393303 MYQ393265:MYQ393303 NIM393265:NIM393303 NSI393265:NSI393303 OCE393265:OCE393303 OMA393265:OMA393303 OVW393265:OVW393303 PFS393265:PFS393303 PPO393265:PPO393303 PZK393265:PZK393303 QJG393265:QJG393303 QTC393265:QTC393303 RCY393265:RCY393303 RMU393265:RMU393303 RWQ393265:RWQ393303 SGM393265:SGM393303 SQI393265:SQI393303 TAE393265:TAE393303 TKA393265:TKA393303 TTW393265:TTW393303 UDS393265:UDS393303 UNO393265:UNO393303 UXK393265:UXK393303 VHG393265:VHG393303 VRC393265:VRC393303 WAY393265:WAY393303 WKU393265:WKU393303 WUQ393265:WUQ393303 IE458801:IE458839 SA458801:SA458839 ABW458801:ABW458839 ALS458801:ALS458839 AVO458801:AVO458839 BFK458801:BFK458839 BPG458801:BPG458839 BZC458801:BZC458839 CIY458801:CIY458839 CSU458801:CSU458839 DCQ458801:DCQ458839 DMM458801:DMM458839 DWI458801:DWI458839 EGE458801:EGE458839 EQA458801:EQA458839 EZW458801:EZW458839 FJS458801:FJS458839 FTO458801:FTO458839 GDK458801:GDK458839 GNG458801:GNG458839 GXC458801:GXC458839 HGY458801:HGY458839 HQU458801:HQU458839 IAQ458801:IAQ458839 IKM458801:IKM458839 IUI458801:IUI458839 JEE458801:JEE458839 JOA458801:JOA458839 JXW458801:JXW458839 KHS458801:KHS458839 KRO458801:KRO458839 LBK458801:LBK458839 LLG458801:LLG458839 LVC458801:LVC458839 MEY458801:MEY458839 MOU458801:MOU458839 MYQ458801:MYQ458839 NIM458801:NIM458839 NSI458801:NSI458839 OCE458801:OCE458839 OMA458801:OMA458839 OVW458801:OVW458839 PFS458801:PFS458839 PPO458801:PPO458839 PZK458801:PZK458839 QJG458801:QJG458839 QTC458801:QTC458839 RCY458801:RCY458839 RMU458801:RMU458839 RWQ458801:RWQ458839 SGM458801:SGM458839 SQI458801:SQI458839 TAE458801:TAE458839 TKA458801:TKA458839 TTW458801:TTW458839 UDS458801:UDS458839 UNO458801:UNO458839 UXK458801:UXK458839 VHG458801:VHG458839 VRC458801:VRC458839 WAY458801:WAY458839 WKU458801:WKU458839 WUQ458801:WUQ458839 IE524337:IE524375 SA524337:SA524375 ABW524337:ABW524375 ALS524337:ALS524375 AVO524337:AVO524375 BFK524337:BFK524375 BPG524337:BPG524375 BZC524337:BZC524375 CIY524337:CIY524375 CSU524337:CSU524375 DCQ524337:DCQ524375 DMM524337:DMM524375 DWI524337:DWI524375 EGE524337:EGE524375 EQA524337:EQA524375 EZW524337:EZW524375 FJS524337:FJS524375 FTO524337:FTO524375 GDK524337:GDK524375 GNG524337:GNG524375 GXC524337:GXC524375 HGY524337:HGY524375 HQU524337:HQU524375 IAQ524337:IAQ524375 IKM524337:IKM524375 IUI524337:IUI524375 JEE524337:JEE524375 JOA524337:JOA524375 JXW524337:JXW524375 KHS524337:KHS524375 KRO524337:KRO524375 LBK524337:LBK524375 LLG524337:LLG524375 LVC524337:LVC524375 MEY524337:MEY524375 MOU524337:MOU524375 MYQ524337:MYQ524375 NIM524337:NIM524375 NSI524337:NSI524375 OCE524337:OCE524375 OMA524337:OMA524375 OVW524337:OVW524375 PFS524337:PFS524375 PPO524337:PPO524375 PZK524337:PZK524375 QJG524337:QJG524375 QTC524337:QTC524375 RCY524337:RCY524375 RMU524337:RMU524375 RWQ524337:RWQ524375 SGM524337:SGM524375 SQI524337:SQI524375 TAE524337:TAE524375 TKA524337:TKA524375 TTW524337:TTW524375 UDS524337:UDS524375 UNO524337:UNO524375 UXK524337:UXK524375 VHG524337:VHG524375 VRC524337:VRC524375 WAY524337:WAY524375 WKU524337:WKU524375 WUQ524337:WUQ524375 IE589873:IE589911 SA589873:SA589911 ABW589873:ABW589911 ALS589873:ALS589911 AVO589873:AVO589911 BFK589873:BFK589911 BPG589873:BPG589911 BZC589873:BZC589911 CIY589873:CIY589911 CSU589873:CSU589911 DCQ589873:DCQ589911 DMM589873:DMM589911 DWI589873:DWI589911 EGE589873:EGE589911 EQA589873:EQA589911 EZW589873:EZW589911 FJS589873:FJS589911 FTO589873:FTO589911 GDK589873:GDK589911 GNG589873:GNG589911 GXC589873:GXC589911 HGY589873:HGY589911 HQU589873:HQU589911 IAQ589873:IAQ589911 IKM589873:IKM589911 IUI589873:IUI589911 JEE589873:JEE589911 JOA589873:JOA589911 JXW589873:JXW589911 KHS589873:KHS589911 KRO589873:KRO589911 LBK589873:LBK589911 LLG589873:LLG589911 LVC589873:LVC589911 MEY589873:MEY589911 MOU589873:MOU589911 MYQ589873:MYQ589911 NIM589873:NIM589911 NSI589873:NSI589911 OCE589873:OCE589911 OMA589873:OMA589911 OVW589873:OVW589911 PFS589873:PFS589911 PPO589873:PPO589911 PZK589873:PZK589911 QJG589873:QJG589911 QTC589873:QTC589911 RCY589873:RCY589911 RMU589873:RMU589911 RWQ589873:RWQ589911 SGM589873:SGM589911 SQI589873:SQI589911 TAE589873:TAE589911 TKA589873:TKA589911 TTW589873:TTW589911 UDS589873:UDS589911 UNO589873:UNO589911 UXK589873:UXK589911 VHG589873:VHG589911 VRC589873:VRC589911 WAY589873:WAY589911 WKU589873:WKU589911 WUQ589873:WUQ589911 IE655409:IE655447 SA655409:SA655447 ABW655409:ABW655447 ALS655409:ALS655447 AVO655409:AVO655447 BFK655409:BFK655447 BPG655409:BPG655447 BZC655409:BZC655447 CIY655409:CIY655447 CSU655409:CSU655447 DCQ655409:DCQ655447 DMM655409:DMM655447 DWI655409:DWI655447 EGE655409:EGE655447 EQA655409:EQA655447 EZW655409:EZW655447 FJS655409:FJS655447 FTO655409:FTO655447 GDK655409:GDK655447 GNG655409:GNG655447 GXC655409:GXC655447 HGY655409:HGY655447 HQU655409:HQU655447 IAQ655409:IAQ655447 IKM655409:IKM655447 IUI655409:IUI655447 JEE655409:JEE655447 JOA655409:JOA655447 JXW655409:JXW655447 KHS655409:KHS655447 KRO655409:KRO655447 LBK655409:LBK655447 LLG655409:LLG655447 LVC655409:LVC655447 MEY655409:MEY655447 MOU655409:MOU655447 MYQ655409:MYQ655447 NIM655409:NIM655447 NSI655409:NSI655447 OCE655409:OCE655447 OMA655409:OMA655447 OVW655409:OVW655447 PFS655409:PFS655447 PPO655409:PPO655447 PZK655409:PZK655447 QJG655409:QJG655447 QTC655409:QTC655447 RCY655409:RCY655447 RMU655409:RMU655447 RWQ655409:RWQ655447 SGM655409:SGM655447 SQI655409:SQI655447 TAE655409:TAE655447 TKA655409:TKA655447 TTW655409:TTW655447 UDS655409:UDS655447 UNO655409:UNO655447 UXK655409:UXK655447 VHG655409:VHG655447 VRC655409:VRC655447 WAY655409:WAY655447 WKU655409:WKU655447 WUQ655409:WUQ655447 IE720945:IE720983 SA720945:SA720983 ABW720945:ABW720983 ALS720945:ALS720983 AVO720945:AVO720983 BFK720945:BFK720983 BPG720945:BPG720983 BZC720945:BZC720983 CIY720945:CIY720983 CSU720945:CSU720983 DCQ720945:DCQ720983 DMM720945:DMM720983 DWI720945:DWI720983 EGE720945:EGE720983 EQA720945:EQA720983 EZW720945:EZW720983 FJS720945:FJS720983 FTO720945:FTO720983 GDK720945:GDK720983 GNG720945:GNG720983 GXC720945:GXC720983 HGY720945:HGY720983 HQU720945:HQU720983 IAQ720945:IAQ720983 IKM720945:IKM720983 IUI720945:IUI720983 JEE720945:JEE720983 JOA720945:JOA720983 JXW720945:JXW720983 KHS720945:KHS720983 KRO720945:KRO720983 LBK720945:LBK720983 LLG720945:LLG720983 LVC720945:LVC720983 MEY720945:MEY720983 MOU720945:MOU720983 MYQ720945:MYQ720983 NIM720945:NIM720983 NSI720945:NSI720983 OCE720945:OCE720983 OMA720945:OMA720983 OVW720945:OVW720983 PFS720945:PFS720983 PPO720945:PPO720983 PZK720945:PZK720983 QJG720945:QJG720983 QTC720945:QTC720983 RCY720945:RCY720983 RMU720945:RMU720983 RWQ720945:RWQ720983 SGM720945:SGM720983 SQI720945:SQI720983 TAE720945:TAE720983 TKA720945:TKA720983 TTW720945:TTW720983 UDS720945:UDS720983 UNO720945:UNO720983 UXK720945:UXK720983 VHG720945:VHG720983 VRC720945:VRC720983 WAY720945:WAY720983 WKU720945:WKU720983 WUQ720945:WUQ720983 IE786481:IE786519 SA786481:SA786519 ABW786481:ABW786519 ALS786481:ALS786519 AVO786481:AVO786519 BFK786481:BFK786519 BPG786481:BPG786519 BZC786481:BZC786519 CIY786481:CIY786519 CSU786481:CSU786519 DCQ786481:DCQ786519 DMM786481:DMM786519 DWI786481:DWI786519 EGE786481:EGE786519 EQA786481:EQA786519 EZW786481:EZW786519 FJS786481:FJS786519 FTO786481:FTO786519 GDK786481:GDK786519 GNG786481:GNG786519 GXC786481:GXC786519 HGY786481:HGY786519 HQU786481:HQU786519 IAQ786481:IAQ786519 IKM786481:IKM786519 IUI786481:IUI786519 JEE786481:JEE786519 JOA786481:JOA786519 JXW786481:JXW786519 KHS786481:KHS786519 KRO786481:KRO786519 LBK786481:LBK786519 LLG786481:LLG786519 LVC786481:LVC786519 MEY786481:MEY786519 MOU786481:MOU786519 MYQ786481:MYQ786519 NIM786481:NIM786519 NSI786481:NSI786519 OCE786481:OCE786519 OMA786481:OMA786519 OVW786481:OVW786519 PFS786481:PFS786519 PPO786481:PPO786519 PZK786481:PZK786519 QJG786481:QJG786519 QTC786481:QTC786519 RCY786481:RCY786519 RMU786481:RMU786519 RWQ786481:RWQ786519 SGM786481:SGM786519 SQI786481:SQI786519 TAE786481:TAE786519 TKA786481:TKA786519 TTW786481:TTW786519 UDS786481:UDS786519 UNO786481:UNO786519 UXK786481:UXK786519 VHG786481:VHG786519 VRC786481:VRC786519 WAY786481:WAY786519 WKU786481:WKU786519 WUQ786481:WUQ786519 IE852017:IE852055 SA852017:SA852055 ABW852017:ABW852055 ALS852017:ALS852055 AVO852017:AVO852055 BFK852017:BFK852055 BPG852017:BPG852055 BZC852017:BZC852055 CIY852017:CIY852055 CSU852017:CSU852055 DCQ852017:DCQ852055 DMM852017:DMM852055 DWI852017:DWI852055 EGE852017:EGE852055 EQA852017:EQA852055 EZW852017:EZW852055 FJS852017:FJS852055 FTO852017:FTO852055 GDK852017:GDK852055 GNG852017:GNG852055 GXC852017:GXC852055 HGY852017:HGY852055 HQU852017:HQU852055 IAQ852017:IAQ852055 IKM852017:IKM852055 IUI852017:IUI852055 JEE852017:JEE852055 JOA852017:JOA852055 JXW852017:JXW852055 KHS852017:KHS852055 KRO852017:KRO852055 LBK852017:LBK852055 LLG852017:LLG852055 LVC852017:LVC852055 MEY852017:MEY852055 MOU852017:MOU852055 MYQ852017:MYQ852055 NIM852017:NIM852055 NSI852017:NSI852055 OCE852017:OCE852055 OMA852017:OMA852055 OVW852017:OVW852055 PFS852017:PFS852055 PPO852017:PPO852055 PZK852017:PZK852055 QJG852017:QJG852055 QTC852017:QTC852055 RCY852017:RCY852055 RMU852017:RMU852055 RWQ852017:RWQ852055 SGM852017:SGM852055 SQI852017:SQI852055 TAE852017:TAE852055 TKA852017:TKA852055 TTW852017:TTW852055 UDS852017:UDS852055 UNO852017:UNO852055 UXK852017:UXK852055 VHG852017:VHG852055 VRC852017:VRC852055 WAY852017:WAY852055 WKU852017:WKU852055 WUQ852017:WUQ852055 IE917553:IE917591 SA917553:SA917591 ABW917553:ABW917591 ALS917553:ALS917591 AVO917553:AVO917591 BFK917553:BFK917591 BPG917553:BPG917591 BZC917553:BZC917591 CIY917553:CIY917591 CSU917553:CSU917591 DCQ917553:DCQ917591 DMM917553:DMM917591 DWI917553:DWI917591 EGE917553:EGE917591 EQA917553:EQA917591 EZW917553:EZW917591 FJS917553:FJS917591 FTO917553:FTO917591 GDK917553:GDK917591 GNG917553:GNG917591 GXC917553:GXC917591 HGY917553:HGY917591 HQU917553:HQU917591 IAQ917553:IAQ917591 IKM917553:IKM917591 IUI917553:IUI917591 JEE917553:JEE917591 JOA917553:JOA917591 JXW917553:JXW917591 KHS917553:KHS917591 KRO917553:KRO917591 LBK917553:LBK917591 LLG917553:LLG917591 LVC917553:LVC917591 MEY917553:MEY917591 MOU917553:MOU917591 MYQ917553:MYQ917591 NIM917553:NIM917591 NSI917553:NSI917591 OCE917553:OCE917591 OMA917553:OMA917591 OVW917553:OVW917591 PFS917553:PFS917591 PPO917553:PPO917591 PZK917553:PZK917591 QJG917553:QJG917591 QTC917553:QTC917591 RCY917553:RCY917591 RMU917553:RMU917591 RWQ917553:RWQ917591 SGM917553:SGM917591 SQI917553:SQI917591 TAE917553:TAE917591 TKA917553:TKA917591 TTW917553:TTW917591 UDS917553:UDS917591 UNO917553:UNO917591 UXK917553:UXK917591 VHG917553:VHG917591 VRC917553:VRC917591 WAY917553:WAY917591 WKU917553:WKU917591 WUQ917553:WUQ917591 IE983089:IE983127 SA983089:SA983127 ABW983089:ABW983127 ALS983089:ALS983127 AVO983089:AVO983127 BFK983089:BFK983127 BPG983089:BPG983127 BZC983089:BZC983127 CIY983089:CIY983127 CSU983089:CSU983127 DCQ983089:DCQ983127 DMM983089:DMM983127 DWI983089:DWI983127 EGE983089:EGE983127 EQA983089:EQA983127 EZW983089:EZW983127 FJS983089:FJS983127 FTO983089:FTO983127 GDK983089:GDK983127 GNG983089:GNG983127 GXC983089:GXC983127 HGY983089:HGY983127 HQU983089:HQU983127 IAQ983089:IAQ983127 IKM983089:IKM983127 IUI983089:IUI983127 JEE983089:JEE983127 JOA983089:JOA983127 JXW983089:JXW983127 KHS983089:KHS983127 KRO983089:KRO983127 LBK983089:LBK983127 LLG983089:LLG983127 LVC983089:LVC983127 MEY983089:MEY983127 MOU983089:MOU983127 MYQ983089:MYQ983127 NIM983089:NIM983127 NSI983089:NSI983127 OCE983089:OCE983127 OMA983089:OMA983127 OVW983089:OVW983127 PFS983089:PFS983127 PPO983089:PPO983127 PZK983089:PZK983127 QJG983089:QJG983127 QTC983089:QTC983127 RCY983089:RCY983127 RMU983089:RMU983127 RWQ983089:RWQ983127 SGM983089:SGM983127 SQI983089:SQI983127 TAE983089:TAE983127 TKA983089:TKA983127 TTW983089:TTW983127 UDS983089:UDS983127 UNO983089:UNO983127 UXK983089:UXK983127 VHG983089:VHG983127 VRC983089:VRC983127 WAY983089:WAY983127 WKU983089:WKU983127 WUQ983089:WUQ983127 IE89:IE90 SA89:SA90 ABW89:ABW90 ALS89:ALS90 AVO89:AVO90 BFK89:BFK90 BPG89:BPG90 BZC89:BZC90 CIY89:CIY90 CSU89:CSU90 DCQ89:DCQ90 DMM89:DMM90 DWI89:DWI90 EGE89:EGE90 EQA89:EQA90 EZW89:EZW90 FJS89:FJS90 FTO89:FTO90 GDK89:GDK90 GNG89:GNG90 GXC89:GXC90 HGY89:HGY90 HQU89:HQU90 IAQ89:IAQ90 IKM89:IKM90 IUI89:IUI90 JEE89:JEE90 JOA89:JOA90 JXW89:JXW90 KHS89:KHS90 KRO89:KRO90 LBK89:LBK90 LLG89:LLG90 LVC89:LVC90 MEY89:MEY90 MOU89:MOU90 MYQ89:MYQ90 NIM89:NIM90 NSI89:NSI90 OCE89:OCE90 OMA89:OMA90 OVW89:OVW90 PFS89:PFS90 PPO89:PPO90 PZK89:PZK90 QJG89:QJG90 QTC89:QTC90 RCY89:RCY90 RMU89:RMU90 RWQ89:RWQ90 SGM89:SGM90 SQI89:SQI90 TAE89:TAE90 TKA89:TKA90 TTW89:TTW90 UDS89:UDS90 UNO89:UNO90 UXK89:UXK90 VHG89:VHG90 VRC89:VRC90 WAY89:WAY90 WKU89:WKU90 WUQ89:WUQ90 IE65625:IE65626 SA65625:SA65626 ABW65625:ABW65626 ALS65625:ALS65626 AVO65625:AVO65626 BFK65625:BFK65626 BPG65625:BPG65626 BZC65625:BZC65626 CIY65625:CIY65626 CSU65625:CSU65626 DCQ65625:DCQ65626 DMM65625:DMM65626 DWI65625:DWI65626 EGE65625:EGE65626 EQA65625:EQA65626 EZW65625:EZW65626 FJS65625:FJS65626 FTO65625:FTO65626 GDK65625:GDK65626 GNG65625:GNG65626 GXC65625:GXC65626 HGY65625:HGY65626 HQU65625:HQU65626 IAQ65625:IAQ65626 IKM65625:IKM65626 IUI65625:IUI65626 JEE65625:JEE65626 JOA65625:JOA65626 JXW65625:JXW65626 KHS65625:KHS65626 KRO65625:KRO65626 LBK65625:LBK65626 LLG65625:LLG65626 LVC65625:LVC65626 MEY65625:MEY65626 MOU65625:MOU65626 MYQ65625:MYQ65626 NIM65625:NIM65626 NSI65625:NSI65626 OCE65625:OCE65626 OMA65625:OMA65626 OVW65625:OVW65626 PFS65625:PFS65626 PPO65625:PPO65626 PZK65625:PZK65626 QJG65625:QJG65626 QTC65625:QTC65626 RCY65625:RCY65626 RMU65625:RMU65626 RWQ65625:RWQ65626 SGM65625:SGM65626 SQI65625:SQI65626 TAE65625:TAE65626 TKA65625:TKA65626 TTW65625:TTW65626 UDS65625:UDS65626 UNO65625:UNO65626 UXK65625:UXK65626 VHG65625:VHG65626 VRC65625:VRC65626 WAY65625:WAY65626 WKU65625:WKU65626 WUQ65625:WUQ65626 IE131161:IE131162 SA131161:SA131162 ABW131161:ABW131162 ALS131161:ALS131162 AVO131161:AVO131162 BFK131161:BFK131162 BPG131161:BPG131162 BZC131161:BZC131162 CIY131161:CIY131162 CSU131161:CSU131162 DCQ131161:DCQ131162 DMM131161:DMM131162 DWI131161:DWI131162 EGE131161:EGE131162 EQA131161:EQA131162 EZW131161:EZW131162 FJS131161:FJS131162 FTO131161:FTO131162 GDK131161:GDK131162 GNG131161:GNG131162 GXC131161:GXC131162 HGY131161:HGY131162 HQU131161:HQU131162 IAQ131161:IAQ131162 IKM131161:IKM131162 IUI131161:IUI131162 JEE131161:JEE131162 JOA131161:JOA131162 JXW131161:JXW131162 KHS131161:KHS131162 KRO131161:KRO131162 LBK131161:LBK131162 LLG131161:LLG131162 LVC131161:LVC131162 MEY131161:MEY131162 MOU131161:MOU131162 MYQ131161:MYQ131162 NIM131161:NIM131162 NSI131161:NSI131162 OCE131161:OCE131162 OMA131161:OMA131162 OVW131161:OVW131162 PFS131161:PFS131162 PPO131161:PPO131162 PZK131161:PZK131162 QJG131161:QJG131162 QTC131161:QTC131162 RCY131161:RCY131162 RMU131161:RMU131162 RWQ131161:RWQ131162 SGM131161:SGM131162 SQI131161:SQI131162 TAE131161:TAE131162 TKA131161:TKA131162 TTW131161:TTW131162 UDS131161:UDS131162 UNO131161:UNO131162 UXK131161:UXK131162 VHG131161:VHG131162 VRC131161:VRC131162 WAY131161:WAY131162 WKU131161:WKU131162 WUQ131161:WUQ131162 IE196697:IE196698 SA196697:SA196698 ABW196697:ABW196698 ALS196697:ALS196698 AVO196697:AVO196698 BFK196697:BFK196698 BPG196697:BPG196698 BZC196697:BZC196698 CIY196697:CIY196698 CSU196697:CSU196698 DCQ196697:DCQ196698 DMM196697:DMM196698 DWI196697:DWI196698 EGE196697:EGE196698 EQA196697:EQA196698 EZW196697:EZW196698 FJS196697:FJS196698 FTO196697:FTO196698 GDK196697:GDK196698 GNG196697:GNG196698 GXC196697:GXC196698 HGY196697:HGY196698 HQU196697:HQU196698 IAQ196697:IAQ196698 IKM196697:IKM196698 IUI196697:IUI196698 JEE196697:JEE196698 JOA196697:JOA196698 JXW196697:JXW196698 KHS196697:KHS196698 KRO196697:KRO196698 LBK196697:LBK196698 LLG196697:LLG196698 LVC196697:LVC196698 MEY196697:MEY196698 MOU196697:MOU196698 MYQ196697:MYQ196698 NIM196697:NIM196698 NSI196697:NSI196698 OCE196697:OCE196698 OMA196697:OMA196698 OVW196697:OVW196698 PFS196697:PFS196698 PPO196697:PPO196698 PZK196697:PZK196698 QJG196697:QJG196698 QTC196697:QTC196698 RCY196697:RCY196698 RMU196697:RMU196698 RWQ196697:RWQ196698 SGM196697:SGM196698 SQI196697:SQI196698 TAE196697:TAE196698 TKA196697:TKA196698 TTW196697:TTW196698 UDS196697:UDS196698 UNO196697:UNO196698 UXK196697:UXK196698 VHG196697:VHG196698 VRC196697:VRC196698 WAY196697:WAY196698 WKU196697:WKU196698 WUQ196697:WUQ196698 IE262233:IE262234 SA262233:SA262234 ABW262233:ABW262234 ALS262233:ALS262234 AVO262233:AVO262234 BFK262233:BFK262234 BPG262233:BPG262234 BZC262233:BZC262234 CIY262233:CIY262234 CSU262233:CSU262234 DCQ262233:DCQ262234 DMM262233:DMM262234 DWI262233:DWI262234 EGE262233:EGE262234 EQA262233:EQA262234 EZW262233:EZW262234 FJS262233:FJS262234 FTO262233:FTO262234 GDK262233:GDK262234 GNG262233:GNG262234 GXC262233:GXC262234 HGY262233:HGY262234 HQU262233:HQU262234 IAQ262233:IAQ262234 IKM262233:IKM262234 IUI262233:IUI262234 JEE262233:JEE262234 JOA262233:JOA262234 JXW262233:JXW262234 KHS262233:KHS262234 KRO262233:KRO262234 LBK262233:LBK262234 LLG262233:LLG262234 LVC262233:LVC262234 MEY262233:MEY262234 MOU262233:MOU262234 MYQ262233:MYQ262234 NIM262233:NIM262234 NSI262233:NSI262234 OCE262233:OCE262234 OMA262233:OMA262234 OVW262233:OVW262234 PFS262233:PFS262234 PPO262233:PPO262234 PZK262233:PZK262234 QJG262233:QJG262234 QTC262233:QTC262234 RCY262233:RCY262234 RMU262233:RMU262234 RWQ262233:RWQ262234 SGM262233:SGM262234 SQI262233:SQI262234 TAE262233:TAE262234 TKA262233:TKA262234 TTW262233:TTW262234 UDS262233:UDS262234 UNO262233:UNO262234 UXK262233:UXK262234 VHG262233:VHG262234 VRC262233:VRC262234 WAY262233:WAY262234 WKU262233:WKU262234 WUQ262233:WUQ262234 IE327769:IE327770 SA327769:SA327770 ABW327769:ABW327770 ALS327769:ALS327770 AVO327769:AVO327770 BFK327769:BFK327770 BPG327769:BPG327770 BZC327769:BZC327770 CIY327769:CIY327770 CSU327769:CSU327770 DCQ327769:DCQ327770 DMM327769:DMM327770 DWI327769:DWI327770 EGE327769:EGE327770 EQA327769:EQA327770 EZW327769:EZW327770 FJS327769:FJS327770 FTO327769:FTO327770 GDK327769:GDK327770 GNG327769:GNG327770 GXC327769:GXC327770 HGY327769:HGY327770 HQU327769:HQU327770 IAQ327769:IAQ327770 IKM327769:IKM327770 IUI327769:IUI327770 JEE327769:JEE327770 JOA327769:JOA327770 JXW327769:JXW327770 KHS327769:KHS327770 KRO327769:KRO327770 LBK327769:LBK327770 LLG327769:LLG327770 LVC327769:LVC327770 MEY327769:MEY327770 MOU327769:MOU327770 MYQ327769:MYQ327770 NIM327769:NIM327770 NSI327769:NSI327770 OCE327769:OCE327770 OMA327769:OMA327770 OVW327769:OVW327770 PFS327769:PFS327770 PPO327769:PPO327770 PZK327769:PZK327770 QJG327769:QJG327770 QTC327769:QTC327770 RCY327769:RCY327770 RMU327769:RMU327770 RWQ327769:RWQ327770 SGM327769:SGM327770 SQI327769:SQI327770 TAE327769:TAE327770 TKA327769:TKA327770 TTW327769:TTW327770 UDS327769:UDS327770 UNO327769:UNO327770 UXK327769:UXK327770 VHG327769:VHG327770 VRC327769:VRC327770 WAY327769:WAY327770 WKU327769:WKU327770 WUQ327769:WUQ327770 IE393305:IE393306 SA393305:SA393306 ABW393305:ABW393306 ALS393305:ALS393306 AVO393305:AVO393306 BFK393305:BFK393306 BPG393305:BPG393306 BZC393305:BZC393306 CIY393305:CIY393306 CSU393305:CSU393306 DCQ393305:DCQ393306 DMM393305:DMM393306 DWI393305:DWI393306 EGE393305:EGE393306 EQA393305:EQA393306 EZW393305:EZW393306 FJS393305:FJS393306 FTO393305:FTO393306 GDK393305:GDK393306 GNG393305:GNG393306 GXC393305:GXC393306 HGY393305:HGY393306 HQU393305:HQU393306 IAQ393305:IAQ393306 IKM393305:IKM393306 IUI393305:IUI393306 JEE393305:JEE393306 JOA393305:JOA393306 JXW393305:JXW393306 KHS393305:KHS393306 KRO393305:KRO393306 LBK393305:LBK393306 LLG393305:LLG393306 LVC393305:LVC393306 MEY393305:MEY393306 MOU393305:MOU393306 MYQ393305:MYQ393306 NIM393305:NIM393306 NSI393305:NSI393306 OCE393305:OCE393306 OMA393305:OMA393306 OVW393305:OVW393306 PFS393305:PFS393306 PPO393305:PPO393306 PZK393305:PZK393306 QJG393305:QJG393306 QTC393305:QTC393306 RCY393305:RCY393306 RMU393305:RMU393306 RWQ393305:RWQ393306 SGM393305:SGM393306 SQI393305:SQI393306 TAE393305:TAE393306 TKA393305:TKA393306 TTW393305:TTW393306 UDS393305:UDS393306 UNO393305:UNO393306 UXK393305:UXK393306 VHG393305:VHG393306 VRC393305:VRC393306 WAY393305:WAY393306 WKU393305:WKU393306 WUQ393305:WUQ393306 IE458841:IE458842 SA458841:SA458842 ABW458841:ABW458842 ALS458841:ALS458842 AVO458841:AVO458842 BFK458841:BFK458842 BPG458841:BPG458842 BZC458841:BZC458842 CIY458841:CIY458842 CSU458841:CSU458842 DCQ458841:DCQ458842 DMM458841:DMM458842 DWI458841:DWI458842 EGE458841:EGE458842 EQA458841:EQA458842 EZW458841:EZW458842 FJS458841:FJS458842 FTO458841:FTO458842 GDK458841:GDK458842 GNG458841:GNG458842 GXC458841:GXC458842 HGY458841:HGY458842 HQU458841:HQU458842 IAQ458841:IAQ458842 IKM458841:IKM458842 IUI458841:IUI458842 JEE458841:JEE458842 JOA458841:JOA458842 JXW458841:JXW458842 KHS458841:KHS458842 KRO458841:KRO458842 LBK458841:LBK458842 LLG458841:LLG458842 LVC458841:LVC458842 MEY458841:MEY458842 MOU458841:MOU458842 MYQ458841:MYQ458842 NIM458841:NIM458842 NSI458841:NSI458842 OCE458841:OCE458842 OMA458841:OMA458842 OVW458841:OVW458842 PFS458841:PFS458842 PPO458841:PPO458842 PZK458841:PZK458842 QJG458841:QJG458842 QTC458841:QTC458842 RCY458841:RCY458842 RMU458841:RMU458842 RWQ458841:RWQ458842 SGM458841:SGM458842 SQI458841:SQI458842 TAE458841:TAE458842 TKA458841:TKA458842 TTW458841:TTW458842 UDS458841:UDS458842 UNO458841:UNO458842 UXK458841:UXK458842 VHG458841:VHG458842 VRC458841:VRC458842 WAY458841:WAY458842 WKU458841:WKU458842 WUQ458841:WUQ458842 IE524377:IE524378 SA524377:SA524378 ABW524377:ABW524378 ALS524377:ALS524378 AVO524377:AVO524378 BFK524377:BFK524378 BPG524377:BPG524378 BZC524377:BZC524378 CIY524377:CIY524378 CSU524377:CSU524378 DCQ524377:DCQ524378 DMM524377:DMM524378 DWI524377:DWI524378 EGE524377:EGE524378 EQA524377:EQA524378 EZW524377:EZW524378 FJS524377:FJS524378 FTO524377:FTO524378 GDK524377:GDK524378 GNG524377:GNG524378 GXC524377:GXC524378 HGY524377:HGY524378 HQU524377:HQU524378 IAQ524377:IAQ524378 IKM524377:IKM524378 IUI524377:IUI524378 JEE524377:JEE524378 JOA524377:JOA524378 JXW524377:JXW524378 KHS524377:KHS524378 KRO524377:KRO524378 LBK524377:LBK524378 LLG524377:LLG524378 LVC524377:LVC524378 MEY524377:MEY524378 MOU524377:MOU524378 MYQ524377:MYQ524378 NIM524377:NIM524378 NSI524377:NSI524378 OCE524377:OCE524378 OMA524377:OMA524378 OVW524377:OVW524378 PFS524377:PFS524378 PPO524377:PPO524378 PZK524377:PZK524378 QJG524377:QJG524378 QTC524377:QTC524378 RCY524377:RCY524378 RMU524377:RMU524378 RWQ524377:RWQ524378 SGM524377:SGM524378 SQI524377:SQI524378 TAE524377:TAE524378 TKA524377:TKA524378 TTW524377:TTW524378 UDS524377:UDS524378 UNO524377:UNO524378 UXK524377:UXK524378 VHG524377:VHG524378 VRC524377:VRC524378 WAY524377:WAY524378 WKU524377:WKU524378 WUQ524377:WUQ524378 IE589913:IE589914 SA589913:SA589914 ABW589913:ABW589914 ALS589913:ALS589914 AVO589913:AVO589914 BFK589913:BFK589914 BPG589913:BPG589914 BZC589913:BZC589914 CIY589913:CIY589914 CSU589913:CSU589914 DCQ589913:DCQ589914 DMM589913:DMM589914 DWI589913:DWI589914 EGE589913:EGE589914 EQA589913:EQA589914 EZW589913:EZW589914 FJS589913:FJS589914 FTO589913:FTO589914 GDK589913:GDK589914 GNG589913:GNG589914 GXC589913:GXC589914 HGY589913:HGY589914 HQU589913:HQU589914 IAQ589913:IAQ589914 IKM589913:IKM589914 IUI589913:IUI589914 JEE589913:JEE589914 JOA589913:JOA589914 JXW589913:JXW589914 KHS589913:KHS589914 KRO589913:KRO589914 LBK589913:LBK589914 LLG589913:LLG589914 LVC589913:LVC589914 MEY589913:MEY589914 MOU589913:MOU589914 MYQ589913:MYQ589914 NIM589913:NIM589914 NSI589913:NSI589914 OCE589913:OCE589914 OMA589913:OMA589914 OVW589913:OVW589914 PFS589913:PFS589914 PPO589913:PPO589914 PZK589913:PZK589914 QJG589913:QJG589914 QTC589913:QTC589914 RCY589913:RCY589914 RMU589913:RMU589914 RWQ589913:RWQ589914 SGM589913:SGM589914 SQI589913:SQI589914 TAE589913:TAE589914 TKA589913:TKA589914 TTW589913:TTW589914 UDS589913:UDS589914 UNO589913:UNO589914 UXK589913:UXK589914 VHG589913:VHG589914 VRC589913:VRC589914 WAY589913:WAY589914 WKU589913:WKU589914 WUQ589913:WUQ589914 IE655449:IE655450 SA655449:SA655450 ABW655449:ABW655450 ALS655449:ALS655450 AVO655449:AVO655450 BFK655449:BFK655450 BPG655449:BPG655450 BZC655449:BZC655450 CIY655449:CIY655450 CSU655449:CSU655450 DCQ655449:DCQ655450 DMM655449:DMM655450 DWI655449:DWI655450 EGE655449:EGE655450 EQA655449:EQA655450 EZW655449:EZW655450 FJS655449:FJS655450 FTO655449:FTO655450 GDK655449:GDK655450 GNG655449:GNG655450 GXC655449:GXC655450 HGY655449:HGY655450 HQU655449:HQU655450 IAQ655449:IAQ655450 IKM655449:IKM655450 IUI655449:IUI655450 JEE655449:JEE655450 JOA655449:JOA655450 JXW655449:JXW655450 KHS655449:KHS655450 KRO655449:KRO655450 LBK655449:LBK655450 LLG655449:LLG655450 LVC655449:LVC655450 MEY655449:MEY655450 MOU655449:MOU655450 MYQ655449:MYQ655450 NIM655449:NIM655450 NSI655449:NSI655450 OCE655449:OCE655450 OMA655449:OMA655450 OVW655449:OVW655450 PFS655449:PFS655450 PPO655449:PPO655450 PZK655449:PZK655450 QJG655449:QJG655450 QTC655449:QTC655450 RCY655449:RCY655450 RMU655449:RMU655450 RWQ655449:RWQ655450 SGM655449:SGM655450 SQI655449:SQI655450 TAE655449:TAE655450 TKA655449:TKA655450 TTW655449:TTW655450 UDS655449:UDS655450 UNO655449:UNO655450 UXK655449:UXK655450 VHG655449:VHG655450 VRC655449:VRC655450 WAY655449:WAY655450 WKU655449:WKU655450 WUQ655449:WUQ655450 IE720985:IE720986 SA720985:SA720986 ABW720985:ABW720986 ALS720985:ALS720986 AVO720985:AVO720986 BFK720985:BFK720986 BPG720985:BPG720986 BZC720985:BZC720986 CIY720985:CIY720986 CSU720985:CSU720986 DCQ720985:DCQ720986 DMM720985:DMM720986 DWI720985:DWI720986 EGE720985:EGE720986 EQA720985:EQA720986 EZW720985:EZW720986 FJS720985:FJS720986 FTO720985:FTO720986 GDK720985:GDK720986 GNG720985:GNG720986 GXC720985:GXC720986 HGY720985:HGY720986 HQU720985:HQU720986 IAQ720985:IAQ720986 IKM720985:IKM720986 IUI720985:IUI720986 JEE720985:JEE720986 JOA720985:JOA720986 JXW720985:JXW720986 KHS720985:KHS720986 KRO720985:KRO720986 LBK720985:LBK720986 LLG720985:LLG720986 LVC720985:LVC720986 MEY720985:MEY720986 MOU720985:MOU720986 MYQ720985:MYQ720986 NIM720985:NIM720986 NSI720985:NSI720986 OCE720985:OCE720986 OMA720985:OMA720986 OVW720985:OVW720986 PFS720985:PFS720986 PPO720985:PPO720986 PZK720985:PZK720986 QJG720985:QJG720986 QTC720985:QTC720986 RCY720985:RCY720986 RMU720985:RMU720986 RWQ720985:RWQ720986 SGM720985:SGM720986 SQI720985:SQI720986 TAE720985:TAE720986 TKA720985:TKA720986 TTW720985:TTW720986 UDS720985:UDS720986 UNO720985:UNO720986 UXK720985:UXK720986 VHG720985:VHG720986 VRC720985:VRC720986 WAY720985:WAY720986 WKU720985:WKU720986 WUQ720985:WUQ720986 IE786521:IE786522 SA786521:SA786522 ABW786521:ABW786522 ALS786521:ALS786522 AVO786521:AVO786522 BFK786521:BFK786522 BPG786521:BPG786522 BZC786521:BZC786522 CIY786521:CIY786522 CSU786521:CSU786522 DCQ786521:DCQ786522 DMM786521:DMM786522 DWI786521:DWI786522 EGE786521:EGE786522 EQA786521:EQA786522 EZW786521:EZW786522 FJS786521:FJS786522 FTO786521:FTO786522 GDK786521:GDK786522 GNG786521:GNG786522 GXC786521:GXC786522 HGY786521:HGY786522 HQU786521:HQU786522 IAQ786521:IAQ786522 IKM786521:IKM786522 IUI786521:IUI786522 JEE786521:JEE786522 JOA786521:JOA786522 JXW786521:JXW786522 KHS786521:KHS786522 KRO786521:KRO786522 LBK786521:LBK786522 LLG786521:LLG786522 LVC786521:LVC786522 MEY786521:MEY786522 MOU786521:MOU786522 MYQ786521:MYQ786522 NIM786521:NIM786522 NSI786521:NSI786522 OCE786521:OCE786522 OMA786521:OMA786522 OVW786521:OVW786522 PFS786521:PFS786522 PPO786521:PPO786522 PZK786521:PZK786522 QJG786521:QJG786522 QTC786521:QTC786522 RCY786521:RCY786522 RMU786521:RMU786522 RWQ786521:RWQ786522 SGM786521:SGM786522 SQI786521:SQI786522 TAE786521:TAE786522 TKA786521:TKA786522 TTW786521:TTW786522 UDS786521:UDS786522 UNO786521:UNO786522 UXK786521:UXK786522 VHG786521:VHG786522 VRC786521:VRC786522 WAY786521:WAY786522 WKU786521:WKU786522 WUQ786521:WUQ786522 IE852057:IE852058 SA852057:SA852058 ABW852057:ABW852058 ALS852057:ALS852058 AVO852057:AVO852058 BFK852057:BFK852058 BPG852057:BPG852058 BZC852057:BZC852058 CIY852057:CIY852058 CSU852057:CSU852058 DCQ852057:DCQ852058 DMM852057:DMM852058 DWI852057:DWI852058 EGE852057:EGE852058 EQA852057:EQA852058 EZW852057:EZW852058 FJS852057:FJS852058 FTO852057:FTO852058 GDK852057:GDK852058 GNG852057:GNG852058 GXC852057:GXC852058 HGY852057:HGY852058 HQU852057:HQU852058 IAQ852057:IAQ852058 IKM852057:IKM852058 IUI852057:IUI852058 JEE852057:JEE852058 JOA852057:JOA852058 JXW852057:JXW852058 KHS852057:KHS852058 KRO852057:KRO852058 LBK852057:LBK852058 LLG852057:LLG852058 LVC852057:LVC852058 MEY852057:MEY852058 MOU852057:MOU852058 MYQ852057:MYQ852058 NIM852057:NIM852058 NSI852057:NSI852058 OCE852057:OCE852058 OMA852057:OMA852058 OVW852057:OVW852058 PFS852057:PFS852058 PPO852057:PPO852058 PZK852057:PZK852058 QJG852057:QJG852058 QTC852057:QTC852058 RCY852057:RCY852058 RMU852057:RMU852058 RWQ852057:RWQ852058 SGM852057:SGM852058 SQI852057:SQI852058 TAE852057:TAE852058 TKA852057:TKA852058 TTW852057:TTW852058 UDS852057:UDS852058 UNO852057:UNO852058 UXK852057:UXK852058 VHG852057:VHG852058 VRC852057:VRC852058 WAY852057:WAY852058 WKU852057:WKU852058 WUQ852057:WUQ852058 IE917593:IE917594 SA917593:SA917594 ABW917593:ABW917594 ALS917593:ALS917594 AVO917593:AVO917594 BFK917593:BFK917594 BPG917593:BPG917594 BZC917593:BZC917594 CIY917593:CIY917594 CSU917593:CSU917594 DCQ917593:DCQ917594 DMM917593:DMM917594 DWI917593:DWI917594 EGE917593:EGE917594 EQA917593:EQA917594 EZW917593:EZW917594 FJS917593:FJS917594 FTO917593:FTO917594 GDK917593:GDK917594 GNG917593:GNG917594 GXC917593:GXC917594 HGY917593:HGY917594 HQU917593:HQU917594 IAQ917593:IAQ917594 IKM917593:IKM917594 IUI917593:IUI917594 JEE917593:JEE917594 JOA917593:JOA917594 JXW917593:JXW917594 KHS917593:KHS917594 KRO917593:KRO917594 LBK917593:LBK917594 LLG917593:LLG917594 LVC917593:LVC917594 MEY917593:MEY917594 MOU917593:MOU917594 MYQ917593:MYQ917594 NIM917593:NIM917594 NSI917593:NSI917594 OCE917593:OCE917594 OMA917593:OMA917594 OVW917593:OVW917594 PFS917593:PFS917594 PPO917593:PPO917594 PZK917593:PZK917594 QJG917593:QJG917594 QTC917593:QTC917594 RCY917593:RCY917594 RMU917593:RMU917594 RWQ917593:RWQ917594 SGM917593:SGM917594 SQI917593:SQI917594 TAE917593:TAE917594 TKA917593:TKA917594 TTW917593:TTW917594 UDS917593:UDS917594 UNO917593:UNO917594 UXK917593:UXK917594 VHG917593:VHG917594 VRC917593:VRC917594 WAY917593:WAY917594 WKU917593:WKU917594 WUQ917593:WUQ917594 IE983129:IE983130 SA983129:SA983130 ABW983129:ABW983130 ALS983129:ALS983130 AVO983129:AVO983130 BFK983129:BFK983130 BPG983129:BPG983130 BZC983129:BZC983130 CIY983129:CIY983130 CSU983129:CSU983130 DCQ983129:DCQ983130 DMM983129:DMM983130 DWI983129:DWI983130 EGE983129:EGE983130 EQA983129:EQA983130 EZW983129:EZW983130 FJS983129:FJS983130 FTO983129:FTO983130 GDK983129:GDK983130 GNG983129:GNG983130 GXC983129:GXC983130 HGY983129:HGY983130 HQU983129:HQU983130 IAQ983129:IAQ983130 IKM983129:IKM983130 IUI983129:IUI983130 JEE983129:JEE983130 JOA983129:JOA983130 JXW983129:JXW983130 KHS983129:KHS983130 KRO983129:KRO983130 LBK983129:LBK983130 LLG983129:LLG983130 LVC983129:LVC983130 MEY983129:MEY983130 MOU983129:MOU983130 MYQ983129:MYQ983130 NIM983129:NIM983130 NSI983129:NSI983130 OCE983129:OCE983130 OMA983129:OMA983130 OVW983129:OVW983130 PFS983129:PFS983130 PPO983129:PPO983130 PZK983129:PZK983130 QJG983129:QJG983130 QTC983129:QTC983130 RCY983129:RCY983130 RMU983129:RMU983130 RWQ983129:RWQ983130 SGM983129:SGM983130 SQI983129:SQI983130 TAE983129:TAE983130 TKA983129:TKA983130 TTW983129:TTW983130 UDS983129:UDS983130 UNO983129:UNO983130 UXK983129:UXK983130 VHG983129:VHG983130 VRC983129:VRC983130 WAY983129:WAY983130 WKU983129:WKU983130 WUQ983129:WUQ983130 SA92:SA95 ABW92:ABW95 ALS92:ALS95 AVO92:AVO95 BFK92:BFK95 BPG92:BPG95 BZC92:BZC95 CIY92:CIY95 CSU92:CSU95 DCQ92:DCQ95 DMM92:DMM95 DWI92:DWI95 EGE92:EGE95 EQA92:EQA95 EZW92:EZW95 FJS92:FJS95 FTO92:FTO95 GDK92:GDK95 GNG92:GNG95 GXC92:GXC95 HGY92:HGY95 HQU92:HQU95 IAQ92:IAQ95 IKM92:IKM95 IUI92:IUI95 JEE92:JEE95 JOA92:JOA95 JXW92:JXW95 KHS92:KHS95 KRO92:KRO95 LBK92:LBK95 LLG92:LLG95 LVC92:LVC95 MEY92:MEY95 MOU92:MOU95 MYQ92:MYQ95 NIM92:NIM95 NSI92:NSI95 OCE92:OCE95 OMA92:OMA95 OVW92:OVW95 PFS92:PFS95 PPO92:PPO95 PZK92:PZK95 QJG92:QJG95 QTC92:QTC95 RCY92:RCY95 RMU92:RMU95 RWQ92:RWQ95 SGM92:SGM95 SQI92:SQI95 TAE92:TAE95 TKA92:TKA95 TTW92:TTW95 UDS92:UDS95 UNO92:UNO95 UXK92:UXK95 VHG92:VHG95 VRC92:VRC95 WAY92:WAY95 WKU92:WKU95 WUQ92:WUQ95 IE65628:IE65630 SA65628:SA65630 ABW65628:ABW65630 ALS65628:ALS65630 AVO65628:AVO65630 BFK65628:BFK65630 BPG65628:BPG65630 BZC65628:BZC65630 CIY65628:CIY65630 CSU65628:CSU65630 DCQ65628:DCQ65630 DMM65628:DMM65630 DWI65628:DWI65630 EGE65628:EGE65630 EQA65628:EQA65630 EZW65628:EZW65630 FJS65628:FJS65630 FTO65628:FTO65630 GDK65628:GDK65630 GNG65628:GNG65630 GXC65628:GXC65630 HGY65628:HGY65630 HQU65628:HQU65630 IAQ65628:IAQ65630 IKM65628:IKM65630 IUI65628:IUI65630 JEE65628:JEE65630 JOA65628:JOA65630 JXW65628:JXW65630 KHS65628:KHS65630 KRO65628:KRO65630 LBK65628:LBK65630 LLG65628:LLG65630 LVC65628:LVC65630 MEY65628:MEY65630 MOU65628:MOU65630 MYQ65628:MYQ65630 NIM65628:NIM65630 NSI65628:NSI65630 OCE65628:OCE65630 OMA65628:OMA65630 OVW65628:OVW65630 PFS65628:PFS65630 PPO65628:PPO65630 PZK65628:PZK65630 QJG65628:QJG65630 QTC65628:QTC65630 RCY65628:RCY65630 RMU65628:RMU65630 RWQ65628:RWQ65630 SGM65628:SGM65630 SQI65628:SQI65630 TAE65628:TAE65630 TKA65628:TKA65630 TTW65628:TTW65630 UDS65628:UDS65630 UNO65628:UNO65630 UXK65628:UXK65630 VHG65628:VHG65630 VRC65628:VRC65630 WAY65628:WAY65630 WKU65628:WKU65630 WUQ65628:WUQ65630 IE131164:IE131166 SA131164:SA131166 ABW131164:ABW131166 ALS131164:ALS131166 AVO131164:AVO131166 BFK131164:BFK131166 BPG131164:BPG131166 BZC131164:BZC131166 CIY131164:CIY131166 CSU131164:CSU131166 DCQ131164:DCQ131166 DMM131164:DMM131166 DWI131164:DWI131166 EGE131164:EGE131166 EQA131164:EQA131166 EZW131164:EZW131166 FJS131164:FJS131166 FTO131164:FTO131166 GDK131164:GDK131166 GNG131164:GNG131166 GXC131164:GXC131166 HGY131164:HGY131166 HQU131164:HQU131166 IAQ131164:IAQ131166 IKM131164:IKM131166 IUI131164:IUI131166 JEE131164:JEE131166 JOA131164:JOA131166 JXW131164:JXW131166 KHS131164:KHS131166 KRO131164:KRO131166 LBK131164:LBK131166 LLG131164:LLG131166 LVC131164:LVC131166 MEY131164:MEY131166 MOU131164:MOU131166 MYQ131164:MYQ131166 NIM131164:NIM131166 NSI131164:NSI131166 OCE131164:OCE131166 OMA131164:OMA131166 OVW131164:OVW131166 PFS131164:PFS131166 PPO131164:PPO131166 PZK131164:PZK131166 QJG131164:QJG131166 QTC131164:QTC131166 RCY131164:RCY131166 RMU131164:RMU131166 RWQ131164:RWQ131166 SGM131164:SGM131166 SQI131164:SQI131166 TAE131164:TAE131166 TKA131164:TKA131166 TTW131164:TTW131166 UDS131164:UDS131166 UNO131164:UNO131166 UXK131164:UXK131166 VHG131164:VHG131166 VRC131164:VRC131166 WAY131164:WAY131166 WKU131164:WKU131166 WUQ131164:WUQ131166 IE196700:IE196702 SA196700:SA196702 ABW196700:ABW196702 ALS196700:ALS196702 AVO196700:AVO196702 BFK196700:BFK196702 BPG196700:BPG196702 BZC196700:BZC196702 CIY196700:CIY196702 CSU196700:CSU196702 DCQ196700:DCQ196702 DMM196700:DMM196702 DWI196700:DWI196702 EGE196700:EGE196702 EQA196700:EQA196702 EZW196700:EZW196702 FJS196700:FJS196702 FTO196700:FTO196702 GDK196700:GDK196702 GNG196700:GNG196702 GXC196700:GXC196702 HGY196700:HGY196702 HQU196700:HQU196702 IAQ196700:IAQ196702 IKM196700:IKM196702 IUI196700:IUI196702 JEE196700:JEE196702 JOA196700:JOA196702 JXW196700:JXW196702 KHS196700:KHS196702 KRO196700:KRO196702 LBK196700:LBK196702 LLG196700:LLG196702 LVC196700:LVC196702 MEY196700:MEY196702 MOU196700:MOU196702 MYQ196700:MYQ196702 NIM196700:NIM196702 NSI196700:NSI196702 OCE196700:OCE196702 OMA196700:OMA196702 OVW196700:OVW196702 PFS196700:PFS196702 PPO196700:PPO196702 PZK196700:PZK196702 QJG196700:QJG196702 QTC196700:QTC196702 RCY196700:RCY196702 RMU196700:RMU196702 RWQ196700:RWQ196702 SGM196700:SGM196702 SQI196700:SQI196702 TAE196700:TAE196702 TKA196700:TKA196702 TTW196700:TTW196702 UDS196700:UDS196702 UNO196700:UNO196702 UXK196700:UXK196702 VHG196700:VHG196702 VRC196700:VRC196702 WAY196700:WAY196702 WKU196700:WKU196702 WUQ196700:WUQ196702 IE262236:IE262238 SA262236:SA262238 ABW262236:ABW262238 ALS262236:ALS262238 AVO262236:AVO262238 BFK262236:BFK262238 BPG262236:BPG262238 BZC262236:BZC262238 CIY262236:CIY262238 CSU262236:CSU262238 DCQ262236:DCQ262238 DMM262236:DMM262238 DWI262236:DWI262238 EGE262236:EGE262238 EQA262236:EQA262238 EZW262236:EZW262238 FJS262236:FJS262238 FTO262236:FTO262238 GDK262236:GDK262238 GNG262236:GNG262238 GXC262236:GXC262238 HGY262236:HGY262238 HQU262236:HQU262238 IAQ262236:IAQ262238 IKM262236:IKM262238 IUI262236:IUI262238 JEE262236:JEE262238 JOA262236:JOA262238 JXW262236:JXW262238 KHS262236:KHS262238 KRO262236:KRO262238 LBK262236:LBK262238 LLG262236:LLG262238 LVC262236:LVC262238 MEY262236:MEY262238 MOU262236:MOU262238 MYQ262236:MYQ262238 NIM262236:NIM262238 NSI262236:NSI262238 OCE262236:OCE262238 OMA262236:OMA262238 OVW262236:OVW262238 PFS262236:PFS262238 PPO262236:PPO262238 PZK262236:PZK262238 QJG262236:QJG262238 QTC262236:QTC262238 RCY262236:RCY262238 RMU262236:RMU262238 RWQ262236:RWQ262238 SGM262236:SGM262238 SQI262236:SQI262238 TAE262236:TAE262238 TKA262236:TKA262238 TTW262236:TTW262238 UDS262236:UDS262238 UNO262236:UNO262238 UXK262236:UXK262238 VHG262236:VHG262238 VRC262236:VRC262238 WAY262236:WAY262238 WKU262236:WKU262238 WUQ262236:WUQ262238 IE327772:IE327774 SA327772:SA327774 ABW327772:ABW327774 ALS327772:ALS327774 AVO327772:AVO327774 BFK327772:BFK327774 BPG327772:BPG327774 BZC327772:BZC327774 CIY327772:CIY327774 CSU327772:CSU327774 DCQ327772:DCQ327774 DMM327772:DMM327774 DWI327772:DWI327774 EGE327772:EGE327774 EQA327772:EQA327774 EZW327772:EZW327774 FJS327772:FJS327774 FTO327772:FTO327774 GDK327772:GDK327774 GNG327772:GNG327774 GXC327772:GXC327774 HGY327772:HGY327774 HQU327772:HQU327774 IAQ327772:IAQ327774 IKM327772:IKM327774 IUI327772:IUI327774 JEE327772:JEE327774 JOA327772:JOA327774 JXW327772:JXW327774 KHS327772:KHS327774 KRO327772:KRO327774 LBK327772:LBK327774 LLG327772:LLG327774 LVC327772:LVC327774 MEY327772:MEY327774 MOU327772:MOU327774 MYQ327772:MYQ327774 NIM327772:NIM327774 NSI327772:NSI327774 OCE327772:OCE327774 OMA327772:OMA327774 OVW327772:OVW327774 PFS327772:PFS327774 PPO327772:PPO327774 PZK327772:PZK327774 QJG327772:QJG327774 QTC327772:QTC327774 RCY327772:RCY327774 RMU327772:RMU327774 RWQ327772:RWQ327774 SGM327772:SGM327774 SQI327772:SQI327774 TAE327772:TAE327774 TKA327772:TKA327774 TTW327772:TTW327774 UDS327772:UDS327774 UNO327772:UNO327774 UXK327772:UXK327774 VHG327772:VHG327774 VRC327772:VRC327774 WAY327772:WAY327774 WKU327772:WKU327774 WUQ327772:WUQ327774 IE393308:IE393310 SA393308:SA393310 ABW393308:ABW393310 ALS393308:ALS393310 AVO393308:AVO393310 BFK393308:BFK393310 BPG393308:BPG393310 BZC393308:BZC393310 CIY393308:CIY393310 CSU393308:CSU393310 DCQ393308:DCQ393310 DMM393308:DMM393310 DWI393308:DWI393310 EGE393308:EGE393310 EQA393308:EQA393310 EZW393308:EZW393310 FJS393308:FJS393310 FTO393308:FTO393310 GDK393308:GDK393310 GNG393308:GNG393310 GXC393308:GXC393310 HGY393308:HGY393310 HQU393308:HQU393310 IAQ393308:IAQ393310 IKM393308:IKM393310 IUI393308:IUI393310 JEE393308:JEE393310 JOA393308:JOA393310 JXW393308:JXW393310 KHS393308:KHS393310 KRO393308:KRO393310 LBK393308:LBK393310 LLG393308:LLG393310 LVC393308:LVC393310 MEY393308:MEY393310 MOU393308:MOU393310 MYQ393308:MYQ393310 NIM393308:NIM393310 NSI393308:NSI393310 OCE393308:OCE393310 OMA393308:OMA393310 OVW393308:OVW393310 PFS393308:PFS393310 PPO393308:PPO393310 PZK393308:PZK393310 QJG393308:QJG393310 QTC393308:QTC393310 RCY393308:RCY393310 RMU393308:RMU393310 RWQ393308:RWQ393310 SGM393308:SGM393310 SQI393308:SQI393310 TAE393308:TAE393310 TKA393308:TKA393310 TTW393308:TTW393310 UDS393308:UDS393310 UNO393308:UNO393310 UXK393308:UXK393310 VHG393308:VHG393310 VRC393308:VRC393310 WAY393308:WAY393310 WKU393308:WKU393310 WUQ393308:WUQ393310 IE458844:IE458846 SA458844:SA458846 ABW458844:ABW458846 ALS458844:ALS458846 AVO458844:AVO458846 BFK458844:BFK458846 BPG458844:BPG458846 BZC458844:BZC458846 CIY458844:CIY458846 CSU458844:CSU458846 DCQ458844:DCQ458846 DMM458844:DMM458846 DWI458844:DWI458846 EGE458844:EGE458846 EQA458844:EQA458846 EZW458844:EZW458846 FJS458844:FJS458846 FTO458844:FTO458846 GDK458844:GDK458846 GNG458844:GNG458846 GXC458844:GXC458846 HGY458844:HGY458846 HQU458844:HQU458846 IAQ458844:IAQ458846 IKM458844:IKM458846 IUI458844:IUI458846 JEE458844:JEE458846 JOA458844:JOA458846 JXW458844:JXW458846 KHS458844:KHS458846 KRO458844:KRO458846 LBK458844:LBK458846 LLG458844:LLG458846 LVC458844:LVC458846 MEY458844:MEY458846 MOU458844:MOU458846 MYQ458844:MYQ458846 NIM458844:NIM458846 NSI458844:NSI458846 OCE458844:OCE458846 OMA458844:OMA458846 OVW458844:OVW458846 PFS458844:PFS458846 PPO458844:PPO458846 PZK458844:PZK458846 QJG458844:QJG458846 QTC458844:QTC458846 RCY458844:RCY458846 RMU458844:RMU458846 RWQ458844:RWQ458846 SGM458844:SGM458846 SQI458844:SQI458846 TAE458844:TAE458846 TKA458844:TKA458846 TTW458844:TTW458846 UDS458844:UDS458846 UNO458844:UNO458846 UXK458844:UXK458846 VHG458844:VHG458846 VRC458844:VRC458846 WAY458844:WAY458846 WKU458844:WKU458846 WUQ458844:WUQ458846 IE524380:IE524382 SA524380:SA524382 ABW524380:ABW524382 ALS524380:ALS524382 AVO524380:AVO524382 BFK524380:BFK524382 BPG524380:BPG524382 BZC524380:BZC524382 CIY524380:CIY524382 CSU524380:CSU524382 DCQ524380:DCQ524382 DMM524380:DMM524382 DWI524380:DWI524382 EGE524380:EGE524382 EQA524380:EQA524382 EZW524380:EZW524382 FJS524380:FJS524382 FTO524380:FTO524382 GDK524380:GDK524382 GNG524380:GNG524382 GXC524380:GXC524382 HGY524380:HGY524382 HQU524380:HQU524382 IAQ524380:IAQ524382 IKM524380:IKM524382 IUI524380:IUI524382 JEE524380:JEE524382 JOA524380:JOA524382 JXW524380:JXW524382 KHS524380:KHS524382 KRO524380:KRO524382 LBK524380:LBK524382 LLG524380:LLG524382 LVC524380:LVC524382 MEY524380:MEY524382 MOU524380:MOU524382 MYQ524380:MYQ524382 NIM524380:NIM524382 NSI524380:NSI524382 OCE524380:OCE524382 OMA524380:OMA524382 OVW524380:OVW524382 PFS524380:PFS524382 PPO524380:PPO524382 PZK524380:PZK524382 QJG524380:QJG524382 QTC524380:QTC524382 RCY524380:RCY524382 RMU524380:RMU524382 RWQ524380:RWQ524382 SGM524380:SGM524382 SQI524380:SQI524382 TAE524380:TAE524382 TKA524380:TKA524382 TTW524380:TTW524382 UDS524380:UDS524382 UNO524380:UNO524382 UXK524380:UXK524382 VHG524380:VHG524382 VRC524380:VRC524382 WAY524380:WAY524382 WKU524380:WKU524382 WUQ524380:WUQ524382 IE589916:IE589918 SA589916:SA589918 ABW589916:ABW589918 ALS589916:ALS589918 AVO589916:AVO589918 BFK589916:BFK589918 BPG589916:BPG589918 BZC589916:BZC589918 CIY589916:CIY589918 CSU589916:CSU589918 DCQ589916:DCQ589918 DMM589916:DMM589918 DWI589916:DWI589918 EGE589916:EGE589918 EQA589916:EQA589918 EZW589916:EZW589918 FJS589916:FJS589918 FTO589916:FTO589918 GDK589916:GDK589918 GNG589916:GNG589918 GXC589916:GXC589918 HGY589916:HGY589918 HQU589916:HQU589918 IAQ589916:IAQ589918 IKM589916:IKM589918 IUI589916:IUI589918 JEE589916:JEE589918 JOA589916:JOA589918 JXW589916:JXW589918 KHS589916:KHS589918 KRO589916:KRO589918 LBK589916:LBK589918 LLG589916:LLG589918 LVC589916:LVC589918 MEY589916:MEY589918 MOU589916:MOU589918 MYQ589916:MYQ589918 NIM589916:NIM589918 NSI589916:NSI589918 OCE589916:OCE589918 OMA589916:OMA589918 OVW589916:OVW589918 PFS589916:PFS589918 PPO589916:PPO589918 PZK589916:PZK589918 QJG589916:QJG589918 QTC589916:QTC589918 RCY589916:RCY589918 RMU589916:RMU589918 RWQ589916:RWQ589918 SGM589916:SGM589918 SQI589916:SQI589918 TAE589916:TAE589918 TKA589916:TKA589918 TTW589916:TTW589918 UDS589916:UDS589918 UNO589916:UNO589918 UXK589916:UXK589918 VHG589916:VHG589918 VRC589916:VRC589918 WAY589916:WAY589918 WKU589916:WKU589918 WUQ589916:WUQ589918 IE655452:IE655454 SA655452:SA655454 ABW655452:ABW655454 ALS655452:ALS655454 AVO655452:AVO655454 BFK655452:BFK655454 BPG655452:BPG655454 BZC655452:BZC655454 CIY655452:CIY655454 CSU655452:CSU655454 DCQ655452:DCQ655454 DMM655452:DMM655454 DWI655452:DWI655454 EGE655452:EGE655454 EQA655452:EQA655454 EZW655452:EZW655454 FJS655452:FJS655454 FTO655452:FTO655454 GDK655452:GDK655454 GNG655452:GNG655454 GXC655452:GXC655454 HGY655452:HGY655454 HQU655452:HQU655454 IAQ655452:IAQ655454 IKM655452:IKM655454 IUI655452:IUI655454 JEE655452:JEE655454 JOA655452:JOA655454 JXW655452:JXW655454 KHS655452:KHS655454 KRO655452:KRO655454 LBK655452:LBK655454 LLG655452:LLG655454 LVC655452:LVC655454 MEY655452:MEY655454 MOU655452:MOU655454 MYQ655452:MYQ655454 NIM655452:NIM655454 NSI655452:NSI655454 OCE655452:OCE655454 OMA655452:OMA655454 OVW655452:OVW655454 PFS655452:PFS655454 PPO655452:PPO655454 PZK655452:PZK655454 QJG655452:QJG655454 QTC655452:QTC655454 RCY655452:RCY655454 RMU655452:RMU655454 RWQ655452:RWQ655454 SGM655452:SGM655454 SQI655452:SQI655454 TAE655452:TAE655454 TKA655452:TKA655454 TTW655452:TTW655454 UDS655452:UDS655454 UNO655452:UNO655454 UXK655452:UXK655454 VHG655452:VHG655454 VRC655452:VRC655454 WAY655452:WAY655454 WKU655452:WKU655454 WUQ655452:WUQ655454 IE720988:IE720990 SA720988:SA720990 ABW720988:ABW720990 ALS720988:ALS720990 AVO720988:AVO720990 BFK720988:BFK720990 BPG720988:BPG720990 BZC720988:BZC720990 CIY720988:CIY720990 CSU720988:CSU720990 DCQ720988:DCQ720990 DMM720988:DMM720990 DWI720988:DWI720990 EGE720988:EGE720990 EQA720988:EQA720990 EZW720988:EZW720990 FJS720988:FJS720990 FTO720988:FTO720990 GDK720988:GDK720990 GNG720988:GNG720990 GXC720988:GXC720990 HGY720988:HGY720990 HQU720988:HQU720990 IAQ720988:IAQ720990 IKM720988:IKM720990 IUI720988:IUI720990 JEE720988:JEE720990 JOA720988:JOA720990 JXW720988:JXW720990 KHS720988:KHS720990 KRO720988:KRO720990 LBK720988:LBK720990 LLG720988:LLG720990 LVC720988:LVC720990 MEY720988:MEY720990 MOU720988:MOU720990 MYQ720988:MYQ720990 NIM720988:NIM720990 NSI720988:NSI720990 OCE720988:OCE720990 OMA720988:OMA720990 OVW720988:OVW720990 PFS720988:PFS720990 PPO720988:PPO720990 PZK720988:PZK720990 QJG720988:QJG720990 QTC720988:QTC720990 RCY720988:RCY720990 RMU720988:RMU720990 RWQ720988:RWQ720990 SGM720988:SGM720990 SQI720988:SQI720990 TAE720988:TAE720990 TKA720988:TKA720990 TTW720988:TTW720990 UDS720988:UDS720990 UNO720988:UNO720990 UXK720988:UXK720990 VHG720988:VHG720990 VRC720988:VRC720990 WAY720988:WAY720990 WKU720988:WKU720990 WUQ720988:WUQ720990 IE786524:IE786526 SA786524:SA786526 ABW786524:ABW786526 ALS786524:ALS786526 AVO786524:AVO786526 BFK786524:BFK786526 BPG786524:BPG786526 BZC786524:BZC786526 CIY786524:CIY786526 CSU786524:CSU786526 DCQ786524:DCQ786526 DMM786524:DMM786526 DWI786524:DWI786526 EGE786524:EGE786526 EQA786524:EQA786526 EZW786524:EZW786526 FJS786524:FJS786526 FTO786524:FTO786526 GDK786524:GDK786526 GNG786524:GNG786526 GXC786524:GXC786526 HGY786524:HGY786526 HQU786524:HQU786526 IAQ786524:IAQ786526 IKM786524:IKM786526 IUI786524:IUI786526 JEE786524:JEE786526 JOA786524:JOA786526 JXW786524:JXW786526 KHS786524:KHS786526 KRO786524:KRO786526 LBK786524:LBK786526 LLG786524:LLG786526 LVC786524:LVC786526 MEY786524:MEY786526 MOU786524:MOU786526 MYQ786524:MYQ786526 NIM786524:NIM786526 NSI786524:NSI786526 OCE786524:OCE786526 OMA786524:OMA786526 OVW786524:OVW786526 PFS786524:PFS786526 PPO786524:PPO786526 PZK786524:PZK786526 QJG786524:QJG786526 QTC786524:QTC786526 RCY786524:RCY786526 RMU786524:RMU786526 RWQ786524:RWQ786526 SGM786524:SGM786526 SQI786524:SQI786526 TAE786524:TAE786526 TKA786524:TKA786526 TTW786524:TTW786526 UDS786524:UDS786526 UNO786524:UNO786526 UXK786524:UXK786526 VHG786524:VHG786526 VRC786524:VRC786526 WAY786524:WAY786526 WKU786524:WKU786526 WUQ786524:WUQ786526 IE852060:IE852062 SA852060:SA852062 ABW852060:ABW852062 ALS852060:ALS852062 AVO852060:AVO852062 BFK852060:BFK852062 BPG852060:BPG852062 BZC852060:BZC852062 CIY852060:CIY852062 CSU852060:CSU852062 DCQ852060:DCQ852062 DMM852060:DMM852062 DWI852060:DWI852062 EGE852060:EGE852062 EQA852060:EQA852062 EZW852060:EZW852062 FJS852060:FJS852062 FTO852060:FTO852062 GDK852060:GDK852062 GNG852060:GNG852062 GXC852060:GXC852062 HGY852060:HGY852062 HQU852060:HQU852062 IAQ852060:IAQ852062 IKM852060:IKM852062 IUI852060:IUI852062 JEE852060:JEE852062 JOA852060:JOA852062 JXW852060:JXW852062 KHS852060:KHS852062 KRO852060:KRO852062 LBK852060:LBK852062 LLG852060:LLG852062 LVC852060:LVC852062 MEY852060:MEY852062 MOU852060:MOU852062 MYQ852060:MYQ852062 NIM852060:NIM852062 NSI852060:NSI852062 OCE852060:OCE852062 OMA852060:OMA852062 OVW852060:OVW852062 PFS852060:PFS852062 PPO852060:PPO852062 PZK852060:PZK852062 QJG852060:QJG852062 QTC852060:QTC852062 RCY852060:RCY852062 RMU852060:RMU852062 RWQ852060:RWQ852062 SGM852060:SGM852062 SQI852060:SQI852062 TAE852060:TAE852062 TKA852060:TKA852062 TTW852060:TTW852062 UDS852060:UDS852062 UNO852060:UNO852062 UXK852060:UXK852062 VHG852060:VHG852062 VRC852060:VRC852062 WAY852060:WAY852062 WKU852060:WKU852062 WUQ852060:WUQ852062 IE917596:IE917598 SA917596:SA917598 ABW917596:ABW917598 ALS917596:ALS917598 AVO917596:AVO917598 BFK917596:BFK917598 BPG917596:BPG917598 BZC917596:BZC917598 CIY917596:CIY917598 CSU917596:CSU917598 DCQ917596:DCQ917598 DMM917596:DMM917598 DWI917596:DWI917598 EGE917596:EGE917598 EQA917596:EQA917598 EZW917596:EZW917598 FJS917596:FJS917598 FTO917596:FTO917598 GDK917596:GDK917598 GNG917596:GNG917598 GXC917596:GXC917598 HGY917596:HGY917598 HQU917596:HQU917598 IAQ917596:IAQ917598 IKM917596:IKM917598 IUI917596:IUI917598 JEE917596:JEE917598 JOA917596:JOA917598 JXW917596:JXW917598 KHS917596:KHS917598 KRO917596:KRO917598 LBK917596:LBK917598 LLG917596:LLG917598 LVC917596:LVC917598 MEY917596:MEY917598 MOU917596:MOU917598 MYQ917596:MYQ917598 NIM917596:NIM917598 NSI917596:NSI917598 OCE917596:OCE917598 OMA917596:OMA917598 OVW917596:OVW917598 PFS917596:PFS917598 PPO917596:PPO917598 PZK917596:PZK917598 QJG917596:QJG917598 QTC917596:QTC917598 RCY917596:RCY917598 RMU917596:RMU917598 RWQ917596:RWQ917598 SGM917596:SGM917598 SQI917596:SQI917598 TAE917596:TAE917598 TKA917596:TKA917598 TTW917596:TTW917598 UDS917596:UDS917598 UNO917596:UNO917598 UXK917596:UXK917598 VHG917596:VHG917598 VRC917596:VRC917598 WAY917596:WAY917598 WKU917596:WKU917598 WUQ917596:WUQ917598 IE983132:IE983134 SA983132:SA983134 ABW983132:ABW983134 ALS983132:ALS983134 AVO983132:AVO983134 BFK983132:BFK983134 BPG983132:BPG983134 BZC983132:BZC983134 CIY983132:CIY983134 CSU983132:CSU983134 DCQ983132:DCQ983134 DMM983132:DMM983134 DWI983132:DWI983134 EGE983132:EGE983134 EQA983132:EQA983134 EZW983132:EZW983134 FJS983132:FJS983134 FTO983132:FTO983134 GDK983132:GDK983134 GNG983132:GNG983134 GXC983132:GXC983134 HGY983132:HGY983134 HQU983132:HQU983134 IAQ983132:IAQ983134 IKM983132:IKM983134 IUI983132:IUI983134 JEE983132:JEE983134 JOA983132:JOA983134 JXW983132:JXW983134 KHS983132:KHS983134 KRO983132:KRO983134 LBK983132:LBK983134 LLG983132:LLG983134 LVC983132:LVC983134 MEY983132:MEY983134 MOU983132:MOU983134 MYQ983132:MYQ983134 NIM983132:NIM983134 NSI983132:NSI983134 OCE983132:OCE983134 OMA983132:OMA983134 OVW983132:OVW983134 PFS983132:PFS983134 PPO983132:PPO983134 PZK983132:PZK983134 QJG983132:QJG983134 QTC983132:QTC983134 RCY983132:RCY983134 RMU983132:RMU983134 RWQ983132:RWQ983134 SGM983132:SGM983134 SQI983132:SQI983134 TAE983132:TAE983134 TKA983132:TKA983134 TTW983132:TTW983134 UDS983132:UDS983134 UNO983132:UNO983134 UXK983132:UXK983134 VHG983132:VHG983134 VRC983132:VRC983134 WAY983132:WAY983134 WKU983132:WKU983134 WUQ983132:WUQ983134 IE92:IE95 IE6:IE87 WUQ6:WUQ87 WKU6:WKU87 WAY6:WAY87 VRC6:VRC87 VHG6:VHG87 UXK6:UXK87 UNO6:UNO87 UDS6:UDS87 TTW6:TTW87 TKA6:TKA87 TAE6:TAE87 SQI6:SQI87 SGM6:SGM87 RWQ6:RWQ87 RMU6:RMU87 RCY6:RCY87 QTC6:QTC87 QJG6:QJG87 PZK6:PZK87 PPO6:PPO87 PFS6:PFS87 OVW6:OVW87 OMA6:OMA87 OCE6:OCE87 NSI6:NSI87 NIM6:NIM87 MYQ6:MYQ87 MOU6:MOU87 MEY6:MEY87 LVC6:LVC87 LLG6:LLG87 LBK6:LBK87 KRO6:KRO87 KHS6:KHS87 JXW6:JXW87 JOA6:JOA87 JEE6:JEE87 IUI6:IUI87 IKM6:IKM87 IAQ6:IAQ87 HQU6:HQU87 HGY6:HGY87 GXC6:GXC87 GNG6:GNG87 GDK6:GDK87 FTO6:FTO87 FJS6:FJS87 EZW6:EZW87 EQA6:EQA87 EGE6:EGE87 DWI6:DWI87 DMM6:DMM87 DCQ6:DCQ87 CSU6:CSU87 CIY6:CIY87 BZC6:BZC87 BPG6:BPG87 BFK6:BFK87 AVO6:AVO87 ALS6:ALS87 ABW6:ABW87 SA6:SA87" xr:uid="{00000000-0002-0000-0A00-000000000000}">
      <formula1>"転記,自動"</formula1>
    </dataValidation>
    <dataValidation type="list" allowBlank="1" showInputMessage="1" showErrorMessage="1" sqref="ID65585:ID65623 RZ65585:RZ65623 ABV65585:ABV65623 ALR65585:ALR65623 AVN65585:AVN65623 BFJ65585:BFJ65623 BPF65585:BPF65623 BZB65585:BZB65623 CIX65585:CIX65623 CST65585:CST65623 DCP65585:DCP65623 DML65585:DML65623 DWH65585:DWH65623 EGD65585:EGD65623 EPZ65585:EPZ65623 EZV65585:EZV65623 FJR65585:FJR65623 FTN65585:FTN65623 GDJ65585:GDJ65623 GNF65585:GNF65623 GXB65585:GXB65623 HGX65585:HGX65623 HQT65585:HQT65623 IAP65585:IAP65623 IKL65585:IKL65623 IUH65585:IUH65623 JED65585:JED65623 JNZ65585:JNZ65623 JXV65585:JXV65623 KHR65585:KHR65623 KRN65585:KRN65623 LBJ65585:LBJ65623 LLF65585:LLF65623 LVB65585:LVB65623 MEX65585:MEX65623 MOT65585:MOT65623 MYP65585:MYP65623 NIL65585:NIL65623 NSH65585:NSH65623 OCD65585:OCD65623 OLZ65585:OLZ65623 OVV65585:OVV65623 PFR65585:PFR65623 PPN65585:PPN65623 PZJ65585:PZJ65623 QJF65585:QJF65623 QTB65585:QTB65623 RCX65585:RCX65623 RMT65585:RMT65623 RWP65585:RWP65623 SGL65585:SGL65623 SQH65585:SQH65623 TAD65585:TAD65623 TJZ65585:TJZ65623 TTV65585:TTV65623 UDR65585:UDR65623 UNN65585:UNN65623 UXJ65585:UXJ65623 VHF65585:VHF65623 VRB65585:VRB65623 WAX65585:WAX65623 WKT65585:WKT65623 WUP65585:WUP65623 ID131121:ID131159 RZ131121:RZ131159 ABV131121:ABV131159 ALR131121:ALR131159 AVN131121:AVN131159 BFJ131121:BFJ131159 BPF131121:BPF131159 BZB131121:BZB131159 CIX131121:CIX131159 CST131121:CST131159 DCP131121:DCP131159 DML131121:DML131159 DWH131121:DWH131159 EGD131121:EGD131159 EPZ131121:EPZ131159 EZV131121:EZV131159 FJR131121:FJR131159 FTN131121:FTN131159 GDJ131121:GDJ131159 GNF131121:GNF131159 GXB131121:GXB131159 HGX131121:HGX131159 HQT131121:HQT131159 IAP131121:IAP131159 IKL131121:IKL131159 IUH131121:IUH131159 JED131121:JED131159 JNZ131121:JNZ131159 JXV131121:JXV131159 KHR131121:KHR131159 KRN131121:KRN131159 LBJ131121:LBJ131159 LLF131121:LLF131159 LVB131121:LVB131159 MEX131121:MEX131159 MOT131121:MOT131159 MYP131121:MYP131159 NIL131121:NIL131159 NSH131121:NSH131159 OCD131121:OCD131159 OLZ131121:OLZ131159 OVV131121:OVV131159 PFR131121:PFR131159 PPN131121:PPN131159 PZJ131121:PZJ131159 QJF131121:QJF131159 QTB131121:QTB131159 RCX131121:RCX131159 RMT131121:RMT131159 RWP131121:RWP131159 SGL131121:SGL131159 SQH131121:SQH131159 TAD131121:TAD131159 TJZ131121:TJZ131159 TTV131121:TTV131159 UDR131121:UDR131159 UNN131121:UNN131159 UXJ131121:UXJ131159 VHF131121:VHF131159 VRB131121:VRB131159 WAX131121:WAX131159 WKT131121:WKT131159 WUP131121:WUP131159 ID196657:ID196695 RZ196657:RZ196695 ABV196657:ABV196695 ALR196657:ALR196695 AVN196657:AVN196695 BFJ196657:BFJ196695 BPF196657:BPF196695 BZB196657:BZB196695 CIX196657:CIX196695 CST196657:CST196695 DCP196657:DCP196695 DML196657:DML196695 DWH196657:DWH196695 EGD196657:EGD196695 EPZ196657:EPZ196695 EZV196657:EZV196695 FJR196657:FJR196695 FTN196657:FTN196695 GDJ196657:GDJ196695 GNF196657:GNF196695 GXB196657:GXB196695 HGX196657:HGX196695 HQT196657:HQT196695 IAP196657:IAP196695 IKL196657:IKL196695 IUH196657:IUH196695 JED196657:JED196695 JNZ196657:JNZ196695 JXV196657:JXV196695 KHR196657:KHR196695 KRN196657:KRN196695 LBJ196657:LBJ196695 LLF196657:LLF196695 LVB196657:LVB196695 MEX196657:MEX196695 MOT196657:MOT196695 MYP196657:MYP196695 NIL196657:NIL196695 NSH196657:NSH196695 OCD196657:OCD196695 OLZ196657:OLZ196695 OVV196657:OVV196695 PFR196657:PFR196695 PPN196657:PPN196695 PZJ196657:PZJ196695 QJF196657:QJF196695 QTB196657:QTB196695 RCX196657:RCX196695 RMT196657:RMT196695 RWP196657:RWP196695 SGL196657:SGL196695 SQH196657:SQH196695 TAD196657:TAD196695 TJZ196657:TJZ196695 TTV196657:TTV196695 UDR196657:UDR196695 UNN196657:UNN196695 UXJ196657:UXJ196695 VHF196657:VHF196695 VRB196657:VRB196695 WAX196657:WAX196695 WKT196657:WKT196695 WUP196657:WUP196695 ID262193:ID262231 RZ262193:RZ262231 ABV262193:ABV262231 ALR262193:ALR262231 AVN262193:AVN262231 BFJ262193:BFJ262231 BPF262193:BPF262231 BZB262193:BZB262231 CIX262193:CIX262231 CST262193:CST262231 DCP262193:DCP262231 DML262193:DML262231 DWH262193:DWH262231 EGD262193:EGD262231 EPZ262193:EPZ262231 EZV262193:EZV262231 FJR262193:FJR262231 FTN262193:FTN262231 GDJ262193:GDJ262231 GNF262193:GNF262231 GXB262193:GXB262231 HGX262193:HGX262231 HQT262193:HQT262231 IAP262193:IAP262231 IKL262193:IKL262231 IUH262193:IUH262231 JED262193:JED262231 JNZ262193:JNZ262231 JXV262193:JXV262231 KHR262193:KHR262231 KRN262193:KRN262231 LBJ262193:LBJ262231 LLF262193:LLF262231 LVB262193:LVB262231 MEX262193:MEX262231 MOT262193:MOT262231 MYP262193:MYP262231 NIL262193:NIL262231 NSH262193:NSH262231 OCD262193:OCD262231 OLZ262193:OLZ262231 OVV262193:OVV262231 PFR262193:PFR262231 PPN262193:PPN262231 PZJ262193:PZJ262231 QJF262193:QJF262231 QTB262193:QTB262231 RCX262193:RCX262231 RMT262193:RMT262231 RWP262193:RWP262231 SGL262193:SGL262231 SQH262193:SQH262231 TAD262193:TAD262231 TJZ262193:TJZ262231 TTV262193:TTV262231 UDR262193:UDR262231 UNN262193:UNN262231 UXJ262193:UXJ262231 VHF262193:VHF262231 VRB262193:VRB262231 WAX262193:WAX262231 WKT262193:WKT262231 WUP262193:WUP262231 ID327729:ID327767 RZ327729:RZ327767 ABV327729:ABV327767 ALR327729:ALR327767 AVN327729:AVN327767 BFJ327729:BFJ327767 BPF327729:BPF327767 BZB327729:BZB327767 CIX327729:CIX327767 CST327729:CST327767 DCP327729:DCP327767 DML327729:DML327767 DWH327729:DWH327767 EGD327729:EGD327767 EPZ327729:EPZ327767 EZV327729:EZV327767 FJR327729:FJR327767 FTN327729:FTN327767 GDJ327729:GDJ327767 GNF327729:GNF327767 GXB327729:GXB327767 HGX327729:HGX327767 HQT327729:HQT327767 IAP327729:IAP327767 IKL327729:IKL327767 IUH327729:IUH327767 JED327729:JED327767 JNZ327729:JNZ327767 JXV327729:JXV327767 KHR327729:KHR327767 KRN327729:KRN327767 LBJ327729:LBJ327767 LLF327729:LLF327767 LVB327729:LVB327767 MEX327729:MEX327767 MOT327729:MOT327767 MYP327729:MYP327767 NIL327729:NIL327767 NSH327729:NSH327767 OCD327729:OCD327767 OLZ327729:OLZ327767 OVV327729:OVV327767 PFR327729:PFR327767 PPN327729:PPN327767 PZJ327729:PZJ327767 QJF327729:QJF327767 QTB327729:QTB327767 RCX327729:RCX327767 RMT327729:RMT327767 RWP327729:RWP327767 SGL327729:SGL327767 SQH327729:SQH327767 TAD327729:TAD327767 TJZ327729:TJZ327767 TTV327729:TTV327767 UDR327729:UDR327767 UNN327729:UNN327767 UXJ327729:UXJ327767 VHF327729:VHF327767 VRB327729:VRB327767 WAX327729:WAX327767 WKT327729:WKT327767 WUP327729:WUP327767 ID393265:ID393303 RZ393265:RZ393303 ABV393265:ABV393303 ALR393265:ALR393303 AVN393265:AVN393303 BFJ393265:BFJ393303 BPF393265:BPF393303 BZB393265:BZB393303 CIX393265:CIX393303 CST393265:CST393303 DCP393265:DCP393303 DML393265:DML393303 DWH393265:DWH393303 EGD393265:EGD393303 EPZ393265:EPZ393303 EZV393265:EZV393303 FJR393265:FJR393303 FTN393265:FTN393303 GDJ393265:GDJ393303 GNF393265:GNF393303 GXB393265:GXB393303 HGX393265:HGX393303 HQT393265:HQT393303 IAP393265:IAP393303 IKL393265:IKL393303 IUH393265:IUH393303 JED393265:JED393303 JNZ393265:JNZ393303 JXV393265:JXV393303 KHR393265:KHR393303 KRN393265:KRN393303 LBJ393265:LBJ393303 LLF393265:LLF393303 LVB393265:LVB393303 MEX393265:MEX393303 MOT393265:MOT393303 MYP393265:MYP393303 NIL393265:NIL393303 NSH393265:NSH393303 OCD393265:OCD393303 OLZ393265:OLZ393303 OVV393265:OVV393303 PFR393265:PFR393303 PPN393265:PPN393303 PZJ393265:PZJ393303 QJF393265:QJF393303 QTB393265:QTB393303 RCX393265:RCX393303 RMT393265:RMT393303 RWP393265:RWP393303 SGL393265:SGL393303 SQH393265:SQH393303 TAD393265:TAD393303 TJZ393265:TJZ393303 TTV393265:TTV393303 UDR393265:UDR393303 UNN393265:UNN393303 UXJ393265:UXJ393303 VHF393265:VHF393303 VRB393265:VRB393303 WAX393265:WAX393303 WKT393265:WKT393303 WUP393265:WUP393303 ID458801:ID458839 RZ458801:RZ458839 ABV458801:ABV458839 ALR458801:ALR458839 AVN458801:AVN458839 BFJ458801:BFJ458839 BPF458801:BPF458839 BZB458801:BZB458839 CIX458801:CIX458839 CST458801:CST458839 DCP458801:DCP458839 DML458801:DML458839 DWH458801:DWH458839 EGD458801:EGD458839 EPZ458801:EPZ458839 EZV458801:EZV458839 FJR458801:FJR458839 FTN458801:FTN458839 GDJ458801:GDJ458839 GNF458801:GNF458839 GXB458801:GXB458839 HGX458801:HGX458839 HQT458801:HQT458839 IAP458801:IAP458839 IKL458801:IKL458839 IUH458801:IUH458839 JED458801:JED458839 JNZ458801:JNZ458839 JXV458801:JXV458839 KHR458801:KHR458839 KRN458801:KRN458839 LBJ458801:LBJ458839 LLF458801:LLF458839 LVB458801:LVB458839 MEX458801:MEX458839 MOT458801:MOT458839 MYP458801:MYP458839 NIL458801:NIL458839 NSH458801:NSH458839 OCD458801:OCD458839 OLZ458801:OLZ458839 OVV458801:OVV458839 PFR458801:PFR458839 PPN458801:PPN458839 PZJ458801:PZJ458839 QJF458801:QJF458839 QTB458801:QTB458839 RCX458801:RCX458839 RMT458801:RMT458839 RWP458801:RWP458839 SGL458801:SGL458839 SQH458801:SQH458839 TAD458801:TAD458839 TJZ458801:TJZ458839 TTV458801:TTV458839 UDR458801:UDR458839 UNN458801:UNN458839 UXJ458801:UXJ458839 VHF458801:VHF458839 VRB458801:VRB458839 WAX458801:WAX458839 WKT458801:WKT458839 WUP458801:WUP458839 ID524337:ID524375 RZ524337:RZ524375 ABV524337:ABV524375 ALR524337:ALR524375 AVN524337:AVN524375 BFJ524337:BFJ524375 BPF524337:BPF524375 BZB524337:BZB524375 CIX524337:CIX524375 CST524337:CST524375 DCP524337:DCP524375 DML524337:DML524375 DWH524337:DWH524375 EGD524337:EGD524375 EPZ524337:EPZ524375 EZV524337:EZV524375 FJR524337:FJR524375 FTN524337:FTN524375 GDJ524337:GDJ524375 GNF524337:GNF524375 GXB524337:GXB524375 HGX524337:HGX524375 HQT524337:HQT524375 IAP524337:IAP524375 IKL524337:IKL524375 IUH524337:IUH524375 JED524337:JED524375 JNZ524337:JNZ524375 JXV524337:JXV524375 KHR524337:KHR524375 KRN524337:KRN524375 LBJ524337:LBJ524375 LLF524337:LLF524375 LVB524337:LVB524375 MEX524337:MEX524375 MOT524337:MOT524375 MYP524337:MYP524375 NIL524337:NIL524375 NSH524337:NSH524375 OCD524337:OCD524375 OLZ524337:OLZ524375 OVV524337:OVV524375 PFR524337:PFR524375 PPN524337:PPN524375 PZJ524337:PZJ524375 QJF524337:QJF524375 QTB524337:QTB524375 RCX524337:RCX524375 RMT524337:RMT524375 RWP524337:RWP524375 SGL524337:SGL524375 SQH524337:SQH524375 TAD524337:TAD524375 TJZ524337:TJZ524375 TTV524337:TTV524375 UDR524337:UDR524375 UNN524337:UNN524375 UXJ524337:UXJ524375 VHF524337:VHF524375 VRB524337:VRB524375 WAX524337:WAX524375 WKT524337:WKT524375 WUP524337:WUP524375 ID589873:ID589911 RZ589873:RZ589911 ABV589873:ABV589911 ALR589873:ALR589911 AVN589873:AVN589911 BFJ589873:BFJ589911 BPF589873:BPF589911 BZB589873:BZB589911 CIX589873:CIX589911 CST589873:CST589911 DCP589873:DCP589911 DML589873:DML589911 DWH589873:DWH589911 EGD589873:EGD589911 EPZ589873:EPZ589911 EZV589873:EZV589911 FJR589873:FJR589911 FTN589873:FTN589911 GDJ589873:GDJ589911 GNF589873:GNF589911 GXB589873:GXB589911 HGX589873:HGX589911 HQT589873:HQT589911 IAP589873:IAP589911 IKL589873:IKL589911 IUH589873:IUH589911 JED589873:JED589911 JNZ589873:JNZ589911 JXV589873:JXV589911 KHR589873:KHR589911 KRN589873:KRN589911 LBJ589873:LBJ589911 LLF589873:LLF589911 LVB589873:LVB589911 MEX589873:MEX589911 MOT589873:MOT589911 MYP589873:MYP589911 NIL589873:NIL589911 NSH589873:NSH589911 OCD589873:OCD589911 OLZ589873:OLZ589911 OVV589873:OVV589911 PFR589873:PFR589911 PPN589873:PPN589911 PZJ589873:PZJ589911 QJF589873:QJF589911 QTB589873:QTB589911 RCX589873:RCX589911 RMT589873:RMT589911 RWP589873:RWP589911 SGL589873:SGL589911 SQH589873:SQH589911 TAD589873:TAD589911 TJZ589873:TJZ589911 TTV589873:TTV589911 UDR589873:UDR589911 UNN589873:UNN589911 UXJ589873:UXJ589911 VHF589873:VHF589911 VRB589873:VRB589911 WAX589873:WAX589911 WKT589873:WKT589911 WUP589873:WUP589911 ID655409:ID655447 RZ655409:RZ655447 ABV655409:ABV655447 ALR655409:ALR655447 AVN655409:AVN655447 BFJ655409:BFJ655447 BPF655409:BPF655447 BZB655409:BZB655447 CIX655409:CIX655447 CST655409:CST655447 DCP655409:DCP655447 DML655409:DML655447 DWH655409:DWH655447 EGD655409:EGD655447 EPZ655409:EPZ655447 EZV655409:EZV655447 FJR655409:FJR655447 FTN655409:FTN655447 GDJ655409:GDJ655447 GNF655409:GNF655447 GXB655409:GXB655447 HGX655409:HGX655447 HQT655409:HQT655447 IAP655409:IAP655447 IKL655409:IKL655447 IUH655409:IUH655447 JED655409:JED655447 JNZ655409:JNZ655447 JXV655409:JXV655447 KHR655409:KHR655447 KRN655409:KRN655447 LBJ655409:LBJ655447 LLF655409:LLF655447 LVB655409:LVB655447 MEX655409:MEX655447 MOT655409:MOT655447 MYP655409:MYP655447 NIL655409:NIL655447 NSH655409:NSH655447 OCD655409:OCD655447 OLZ655409:OLZ655447 OVV655409:OVV655447 PFR655409:PFR655447 PPN655409:PPN655447 PZJ655409:PZJ655447 QJF655409:QJF655447 QTB655409:QTB655447 RCX655409:RCX655447 RMT655409:RMT655447 RWP655409:RWP655447 SGL655409:SGL655447 SQH655409:SQH655447 TAD655409:TAD655447 TJZ655409:TJZ655447 TTV655409:TTV655447 UDR655409:UDR655447 UNN655409:UNN655447 UXJ655409:UXJ655447 VHF655409:VHF655447 VRB655409:VRB655447 WAX655409:WAX655447 WKT655409:WKT655447 WUP655409:WUP655447 ID720945:ID720983 RZ720945:RZ720983 ABV720945:ABV720983 ALR720945:ALR720983 AVN720945:AVN720983 BFJ720945:BFJ720983 BPF720945:BPF720983 BZB720945:BZB720983 CIX720945:CIX720983 CST720945:CST720983 DCP720945:DCP720983 DML720945:DML720983 DWH720945:DWH720983 EGD720945:EGD720983 EPZ720945:EPZ720983 EZV720945:EZV720983 FJR720945:FJR720983 FTN720945:FTN720983 GDJ720945:GDJ720983 GNF720945:GNF720983 GXB720945:GXB720983 HGX720945:HGX720983 HQT720945:HQT720983 IAP720945:IAP720983 IKL720945:IKL720983 IUH720945:IUH720983 JED720945:JED720983 JNZ720945:JNZ720983 JXV720945:JXV720983 KHR720945:KHR720983 KRN720945:KRN720983 LBJ720945:LBJ720983 LLF720945:LLF720983 LVB720945:LVB720983 MEX720945:MEX720983 MOT720945:MOT720983 MYP720945:MYP720983 NIL720945:NIL720983 NSH720945:NSH720983 OCD720945:OCD720983 OLZ720945:OLZ720983 OVV720945:OVV720983 PFR720945:PFR720983 PPN720945:PPN720983 PZJ720945:PZJ720983 QJF720945:QJF720983 QTB720945:QTB720983 RCX720945:RCX720983 RMT720945:RMT720983 RWP720945:RWP720983 SGL720945:SGL720983 SQH720945:SQH720983 TAD720945:TAD720983 TJZ720945:TJZ720983 TTV720945:TTV720983 UDR720945:UDR720983 UNN720945:UNN720983 UXJ720945:UXJ720983 VHF720945:VHF720983 VRB720945:VRB720983 WAX720945:WAX720983 WKT720945:WKT720983 WUP720945:WUP720983 ID786481:ID786519 RZ786481:RZ786519 ABV786481:ABV786519 ALR786481:ALR786519 AVN786481:AVN786519 BFJ786481:BFJ786519 BPF786481:BPF786519 BZB786481:BZB786519 CIX786481:CIX786519 CST786481:CST786519 DCP786481:DCP786519 DML786481:DML786519 DWH786481:DWH786519 EGD786481:EGD786519 EPZ786481:EPZ786519 EZV786481:EZV786519 FJR786481:FJR786519 FTN786481:FTN786519 GDJ786481:GDJ786519 GNF786481:GNF786519 GXB786481:GXB786519 HGX786481:HGX786519 HQT786481:HQT786519 IAP786481:IAP786519 IKL786481:IKL786519 IUH786481:IUH786519 JED786481:JED786519 JNZ786481:JNZ786519 JXV786481:JXV786519 KHR786481:KHR786519 KRN786481:KRN786519 LBJ786481:LBJ786519 LLF786481:LLF786519 LVB786481:LVB786519 MEX786481:MEX786519 MOT786481:MOT786519 MYP786481:MYP786519 NIL786481:NIL786519 NSH786481:NSH786519 OCD786481:OCD786519 OLZ786481:OLZ786519 OVV786481:OVV786519 PFR786481:PFR786519 PPN786481:PPN786519 PZJ786481:PZJ786519 QJF786481:QJF786519 QTB786481:QTB786519 RCX786481:RCX786519 RMT786481:RMT786519 RWP786481:RWP786519 SGL786481:SGL786519 SQH786481:SQH786519 TAD786481:TAD786519 TJZ786481:TJZ786519 TTV786481:TTV786519 UDR786481:UDR786519 UNN786481:UNN786519 UXJ786481:UXJ786519 VHF786481:VHF786519 VRB786481:VRB786519 WAX786481:WAX786519 WKT786481:WKT786519 WUP786481:WUP786519 ID852017:ID852055 RZ852017:RZ852055 ABV852017:ABV852055 ALR852017:ALR852055 AVN852017:AVN852055 BFJ852017:BFJ852055 BPF852017:BPF852055 BZB852017:BZB852055 CIX852017:CIX852055 CST852017:CST852055 DCP852017:DCP852055 DML852017:DML852055 DWH852017:DWH852055 EGD852017:EGD852055 EPZ852017:EPZ852055 EZV852017:EZV852055 FJR852017:FJR852055 FTN852017:FTN852055 GDJ852017:GDJ852055 GNF852017:GNF852055 GXB852017:GXB852055 HGX852017:HGX852055 HQT852017:HQT852055 IAP852017:IAP852055 IKL852017:IKL852055 IUH852017:IUH852055 JED852017:JED852055 JNZ852017:JNZ852055 JXV852017:JXV852055 KHR852017:KHR852055 KRN852017:KRN852055 LBJ852017:LBJ852055 LLF852017:LLF852055 LVB852017:LVB852055 MEX852017:MEX852055 MOT852017:MOT852055 MYP852017:MYP852055 NIL852017:NIL852055 NSH852017:NSH852055 OCD852017:OCD852055 OLZ852017:OLZ852055 OVV852017:OVV852055 PFR852017:PFR852055 PPN852017:PPN852055 PZJ852017:PZJ852055 QJF852017:QJF852055 QTB852017:QTB852055 RCX852017:RCX852055 RMT852017:RMT852055 RWP852017:RWP852055 SGL852017:SGL852055 SQH852017:SQH852055 TAD852017:TAD852055 TJZ852017:TJZ852055 TTV852017:TTV852055 UDR852017:UDR852055 UNN852017:UNN852055 UXJ852017:UXJ852055 VHF852017:VHF852055 VRB852017:VRB852055 WAX852017:WAX852055 WKT852017:WKT852055 WUP852017:WUP852055 ID917553:ID917591 RZ917553:RZ917591 ABV917553:ABV917591 ALR917553:ALR917591 AVN917553:AVN917591 BFJ917553:BFJ917591 BPF917553:BPF917591 BZB917553:BZB917591 CIX917553:CIX917591 CST917553:CST917591 DCP917553:DCP917591 DML917553:DML917591 DWH917553:DWH917591 EGD917553:EGD917591 EPZ917553:EPZ917591 EZV917553:EZV917591 FJR917553:FJR917591 FTN917553:FTN917591 GDJ917553:GDJ917591 GNF917553:GNF917591 GXB917553:GXB917591 HGX917553:HGX917591 HQT917553:HQT917591 IAP917553:IAP917591 IKL917553:IKL917591 IUH917553:IUH917591 JED917553:JED917591 JNZ917553:JNZ917591 JXV917553:JXV917591 KHR917553:KHR917591 KRN917553:KRN917591 LBJ917553:LBJ917591 LLF917553:LLF917591 LVB917553:LVB917591 MEX917553:MEX917591 MOT917553:MOT917591 MYP917553:MYP917591 NIL917553:NIL917591 NSH917553:NSH917591 OCD917553:OCD917591 OLZ917553:OLZ917591 OVV917553:OVV917591 PFR917553:PFR917591 PPN917553:PPN917591 PZJ917553:PZJ917591 QJF917553:QJF917591 QTB917553:QTB917591 RCX917553:RCX917591 RMT917553:RMT917591 RWP917553:RWP917591 SGL917553:SGL917591 SQH917553:SQH917591 TAD917553:TAD917591 TJZ917553:TJZ917591 TTV917553:TTV917591 UDR917553:UDR917591 UNN917553:UNN917591 UXJ917553:UXJ917591 VHF917553:VHF917591 VRB917553:VRB917591 WAX917553:WAX917591 WKT917553:WKT917591 WUP917553:WUP917591 ID983089:ID983127 RZ983089:RZ983127 ABV983089:ABV983127 ALR983089:ALR983127 AVN983089:AVN983127 BFJ983089:BFJ983127 BPF983089:BPF983127 BZB983089:BZB983127 CIX983089:CIX983127 CST983089:CST983127 DCP983089:DCP983127 DML983089:DML983127 DWH983089:DWH983127 EGD983089:EGD983127 EPZ983089:EPZ983127 EZV983089:EZV983127 FJR983089:FJR983127 FTN983089:FTN983127 GDJ983089:GDJ983127 GNF983089:GNF983127 GXB983089:GXB983127 HGX983089:HGX983127 HQT983089:HQT983127 IAP983089:IAP983127 IKL983089:IKL983127 IUH983089:IUH983127 JED983089:JED983127 JNZ983089:JNZ983127 JXV983089:JXV983127 KHR983089:KHR983127 KRN983089:KRN983127 LBJ983089:LBJ983127 LLF983089:LLF983127 LVB983089:LVB983127 MEX983089:MEX983127 MOT983089:MOT983127 MYP983089:MYP983127 NIL983089:NIL983127 NSH983089:NSH983127 OCD983089:OCD983127 OLZ983089:OLZ983127 OVV983089:OVV983127 PFR983089:PFR983127 PPN983089:PPN983127 PZJ983089:PZJ983127 QJF983089:QJF983127 QTB983089:QTB983127 RCX983089:RCX983127 RMT983089:RMT983127 RWP983089:RWP983127 SGL983089:SGL983127 SQH983089:SQH983127 TAD983089:TAD983127 TJZ983089:TJZ983127 TTV983089:TTV983127 UDR983089:UDR983127 UNN983089:UNN983127 UXJ983089:UXJ983127 VHF983089:VHF983127 VRB983089:VRB983127 WAX983089:WAX983127 WKT983089:WKT983127 WUP983089:WUP983127 ID89:ID90 RZ89:RZ90 ABV89:ABV90 ALR89:ALR90 AVN89:AVN90 BFJ89:BFJ90 BPF89:BPF90 BZB89:BZB90 CIX89:CIX90 CST89:CST90 DCP89:DCP90 DML89:DML90 DWH89:DWH90 EGD89:EGD90 EPZ89:EPZ90 EZV89:EZV90 FJR89:FJR90 FTN89:FTN90 GDJ89:GDJ90 GNF89:GNF90 GXB89:GXB90 HGX89:HGX90 HQT89:HQT90 IAP89:IAP90 IKL89:IKL90 IUH89:IUH90 JED89:JED90 JNZ89:JNZ90 JXV89:JXV90 KHR89:KHR90 KRN89:KRN90 LBJ89:LBJ90 LLF89:LLF90 LVB89:LVB90 MEX89:MEX90 MOT89:MOT90 MYP89:MYP90 NIL89:NIL90 NSH89:NSH90 OCD89:OCD90 OLZ89:OLZ90 OVV89:OVV90 PFR89:PFR90 PPN89:PPN90 PZJ89:PZJ90 QJF89:QJF90 QTB89:QTB90 RCX89:RCX90 RMT89:RMT90 RWP89:RWP90 SGL89:SGL90 SQH89:SQH90 TAD89:TAD90 TJZ89:TJZ90 TTV89:TTV90 UDR89:UDR90 UNN89:UNN90 UXJ89:UXJ90 VHF89:VHF90 VRB89:VRB90 WAX89:WAX90 WKT89:WKT90 WUP89:WUP90 ID65625:ID65626 RZ65625:RZ65626 ABV65625:ABV65626 ALR65625:ALR65626 AVN65625:AVN65626 BFJ65625:BFJ65626 BPF65625:BPF65626 BZB65625:BZB65626 CIX65625:CIX65626 CST65625:CST65626 DCP65625:DCP65626 DML65625:DML65626 DWH65625:DWH65626 EGD65625:EGD65626 EPZ65625:EPZ65626 EZV65625:EZV65626 FJR65625:FJR65626 FTN65625:FTN65626 GDJ65625:GDJ65626 GNF65625:GNF65626 GXB65625:GXB65626 HGX65625:HGX65626 HQT65625:HQT65626 IAP65625:IAP65626 IKL65625:IKL65626 IUH65625:IUH65626 JED65625:JED65626 JNZ65625:JNZ65626 JXV65625:JXV65626 KHR65625:KHR65626 KRN65625:KRN65626 LBJ65625:LBJ65626 LLF65625:LLF65626 LVB65625:LVB65626 MEX65625:MEX65626 MOT65625:MOT65626 MYP65625:MYP65626 NIL65625:NIL65626 NSH65625:NSH65626 OCD65625:OCD65626 OLZ65625:OLZ65626 OVV65625:OVV65626 PFR65625:PFR65626 PPN65625:PPN65626 PZJ65625:PZJ65626 QJF65625:QJF65626 QTB65625:QTB65626 RCX65625:RCX65626 RMT65625:RMT65626 RWP65625:RWP65626 SGL65625:SGL65626 SQH65625:SQH65626 TAD65625:TAD65626 TJZ65625:TJZ65626 TTV65625:TTV65626 UDR65625:UDR65626 UNN65625:UNN65626 UXJ65625:UXJ65626 VHF65625:VHF65626 VRB65625:VRB65626 WAX65625:WAX65626 WKT65625:WKT65626 WUP65625:WUP65626 ID131161:ID131162 RZ131161:RZ131162 ABV131161:ABV131162 ALR131161:ALR131162 AVN131161:AVN131162 BFJ131161:BFJ131162 BPF131161:BPF131162 BZB131161:BZB131162 CIX131161:CIX131162 CST131161:CST131162 DCP131161:DCP131162 DML131161:DML131162 DWH131161:DWH131162 EGD131161:EGD131162 EPZ131161:EPZ131162 EZV131161:EZV131162 FJR131161:FJR131162 FTN131161:FTN131162 GDJ131161:GDJ131162 GNF131161:GNF131162 GXB131161:GXB131162 HGX131161:HGX131162 HQT131161:HQT131162 IAP131161:IAP131162 IKL131161:IKL131162 IUH131161:IUH131162 JED131161:JED131162 JNZ131161:JNZ131162 JXV131161:JXV131162 KHR131161:KHR131162 KRN131161:KRN131162 LBJ131161:LBJ131162 LLF131161:LLF131162 LVB131161:LVB131162 MEX131161:MEX131162 MOT131161:MOT131162 MYP131161:MYP131162 NIL131161:NIL131162 NSH131161:NSH131162 OCD131161:OCD131162 OLZ131161:OLZ131162 OVV131161:OVV131162 PFR131161:PFR131162 PPN131161:PPN131162 PZJ131161:PZJ131162 QJF131161:QJF131162 QTB131161:QTB131162 RCX131161:RCX131162 RMT131161:RMT131162 RWP131161:RWP131162 SGL131161:SGL131162 SQH131161:SQH131162 TAD131161:TAD131162 TJZ131161:TJZ131162 TTV131161:TTV131162 UDR131161:UDR131162 UNN131161:UNN131162 UXJ131161:UXJ131162 VHF131161:VHF131162 VRB131161:VRB131162 WAX131161:WAX131162 WKT131161:WKT131162 WUP131161:WUP131162 ID196697:ID196698 RZ196697:RZ196698 ABV196697:ABV196698 ALR196697:ALR196698 AVN196697:AVN196698 BFJ196697:BFJ196698 BPF196697:BPF196698 BZB196697:BZB196698 CIX196697:CIX196698 CST196697:CST196698 DCP196697:DCP196698 DML196697:DML196698 DWH196697:DWH196698 EGD196697:EGD196698 EPZ196697:EPZ196698 EZV196697:EZV196698 FJR196697:FJR196698 FTN196697:FTN196698 GDJ196697:GDJ196698 GNF196697:GNF196698 GXB196697:GXB196698 HGX196697:HGX196698 HQT196697:HQT196698 IAP196697:IAP196698 IKL196697:IKL196698 IUH196697:IUH196698 JED196697:JED196698 JNZ196697:JNZ196698 JXV196697:JXV196698 KHR196697:KHR196698 KRN196697:KRN196698 LBJ196697:LBJ196698 LLF196697:LLF196698 LVB196697:LVB196698 MEX196697:MEX196698 MOT196697:MOT196698 MYP196697:MYP196698 NIL196697:NIL196698 NSH196697:NSH196698 OCD196697:OCD196698 OLZ196697:OLZ196698 OVV196697:OVV196698 PFR196697:PFR196698 PPN196697:PPN196698 PZJ196697:PZJ196698 QJF196697:QJF196698 QTB196697:QTB196698 RCX196697:RCX196698 RMT196697:RMT196698 RWP196697:RWP196698 SGL196697:SGL196698 SQH196697:SQH196698 TAD196697:TAD196698 TJZ196697:TJZ196698 TTV196697:TTV196698 UDR196697:UDR196698 UNN196697:UNN196698 UXJ196697:UXJ196698 VHF196697:VHF196698 VRB196697:VRB196698 WAX196697:WAX196698 WKT196697:WKT196698 WUP196697:WUP196698 ID262233:ID262234 RZ262233:RZ262234 ABV262233:ABV262234 ALR262233:ALR262234 AVN262233:AVN262234 BFJ262233:BFJ262234 BPF262233:BPF262234 BZB262233:BZB262234 CIX262233:CIX262234 CST262233:CST262234 DCP262233:DCP262234 DML262233:DML262234 DWH262233:DWH262234 EGD262233:EGD262234 EPZ262233:EPZ262234 EZV262233:EZV262234 FJR262233:FJR262234 FTN262233:FTN262234 GDJ262233:GDJ262234 GNF262233:GNF262234 GXB262233:GXB262234 HGX262233:HGX262234 HQT262233:HQT262234 IAP262233:IAP262234 IKL262233:IKL262234 IUH262233:IUH262234 JED262233:JED262234 JNZ262233:JNZ262234 JXV262233:JXV262234 KHR262233:KHR262234 KRN262233:KRN262234 LBJ262233:LBJ262234 LLF262233:LLF262234 LVB262233:LVB262234 MEX262233:MEX262234 MOT262233:MOT262234 MYP262233:MYP262234 NIL262233:NIL262234 NSH262233:NSH262234 OCD262233:OCD262234 OLZ262233:OLZ262234 OVV262233:OVV262234 PFR262233:PFR262234 PPN262233:PPN262234 PZJ262233:PZJ262234 QJF262233:QJF262234 QTB262233:QTB262234 RCX262233:RCX262234 RMT262233:RMT262234 RWP262233:RWP262234 SGL262233:SGL262234 SQH262233:SQH262234 TAD262233:TAD262234 TJZ262233:TJZ262234 TTV262233:TTV262234 UDR262233:UDR262234 UNN262233:UNN262234 UXJ262233:UXJ262234 VHF262233:VHF262234 VRB262233:VRB262234 WAX262233:WAX262234 WKT262233:WKT262234 WUP262233:WUP262234 ID327769:ID327770 RZ327769:RZ327770 ABV327769:ABV327770 ALR327769:ALR327770 AVN327769:AVN327770 BFJ327769:BFJ327770 BPF327769:BPF327770 BZB327769:BZB327770 CIX327769:CIX327770 CST327769:CST327770 DCP327769:DCP327770 DML327769:DML327770 DWH327769:DWH327770 EGD327769:EGD327770 EPZ327769:EPZ327770 EZV327769:EZV327770 FJR327769:FJR327770 FTN327769:FTN327770 GDJ327769:GDJ327770 GNF327769:GNF327770 GXB327769:GXB327770 HGX327769:HGX327770 HQT327769:HQT327770 IAP327769:IAP327770 IKL327769:IKL327770 IUH327769:IUH327770 JED327769:JED327770 JNZ327769:JNZ327770 JXV327769:JXV327770 KHR327769:KHR327770 KRN327769:KRN327770 LBJ327769:LBJ327770 LLF327769:LLF327770 LVB327769:LVB327770 MEX327769:MEX327770 MOT327769:MOT327770 MYP327769:MYP327770 NIL327769:NIL327770 NSH327769:NSH327770 OCD327769:OCD327770 OLZ327769:OLZ327770 OVV327769:OVV327770 PFR327769:PFR327770 PPN327769:PPN327770 PZJ327769:PZJ327770 QJF327769:QJF327770 QTB327769:QTB327770 RCX327769:RCX327770 RMT327769:RMT327770 RWP327769:RWP327770 SGL327769:SGL327770 SQH327769:SQH327770 TAD327769:TAD327770 TJZ327769:TJZ327770 TTV327769:TTV327770 UDR327769:UDR327770 UNN327769:UNN327770 UXJ327769:UXJ327770 VHF327769:VHF327770 VRB327769:VRB327770 WAX327769:WAX327770 WKT327769:WKT327770 WUP327769:WUP327770 ID393305:ID393306 RZ393305:RZ393306 ABV393305:ABV393306 ALR393305:ALR393306 AVN393305:AVN393306 BFJ393305:BFJ393306 BPF393305:BPF393306 BZB393305:BZB393306 CIX393305:CIX393306 CST393305:CST393306 DCP393305:DCP393306 DML393305:DML393306 DWH393305:DWH393306 EGD393305:EGD393306 EPZ393305:EPZ393306 EZV393305:EZV393306 FJR393305:FJR393306 FTN393305:FTN393306 GDJ393305:GDJ393306 GNF393305:GNF393306 GXB393305:GXB393306 HGX393305:HGX393306 HQT393305:HQT393306 IAP393305:IAP393306 IKL393305:IKL393306 IUH393305:IUH393306 JED393305:JED393306 JNZ393305:JNZ393306 JXV393305:JXV393306 KHR393305:KHR393306 KRN393305:KRN393306 LBJ393305:LBJ393306 LLF393305:LLF393306 LVB393305:LVB393306 MEX393305:MEX393306 MOT393305:MOT393306 MYP393305:MYP393306 NIL393305:NIL393306 NSH393305:NSH393306 OCD393305:OCD393306 OLZ393305:OLZ393306 OVV393305:OVV393306 PFR393305:PFR393306 PPN393305:PPN393306 PZJ393305:PZJ393306 QJF393305:QJF393306 QTB393305:QTB393306 RCX393305:RCX393306 RMT393305:RMT393306 RWP393305:RWP393306 SGL393305:SGL393306 SQH393305:SQH393306 TAD393305:TAD393306 TJZ393305:TJZ393306 TTV393305:TTV393306 UDR393305:UDR393306 UNN393305:UNN393306 UXJ393305:UXJ393306 VHF393305:VHF393306 VRB393305:VRB393306 WAX393305:WAX393306 WKT393305:WKT393306 WUP393305:WUP393306 ID458841:ID458842 RZ458841:RZ458842 ABV458841:ABV458842 ALR458841:ALR458842 AVN458841:AVN458842 BFJ458841:BFJ458842 BPF458841:BPF458842 BZB458841:BZB458842 CIX458841:CIX458842 CST458841:CST458842 DCP458841:DCP458842 DML458841:DML458842 DWH458841:DWH458842 EGD458841:EGD458842 EPZ458841:EPZ458842 EZV458841:EZV458842 FJR458841:FJR458842 FTN458841:FTN458842 GDJ458841:GDJ458842 GNF458841:GNF458842 GXB458841:GXB458842 HGX458841:HGX458842 HQT458841:HQT458842 IAP458841:IAP458842 IKL458841:IKL458842 IUH458841:IUH458842 JED458841:JED458842 JNZ458841:JNZ458842 JXV458841:JXV458842 KHR458841:KHR458842 KRN458841:KRN458842 LBJ458841:LBJ458842 LLF458841:LLF458842 LVB458841:LVB458842 MEX458841:MEX458842 MOT458841:MOT458842 MYP458841:MYP458842 NIL458841:NIL458842 NSH458841:NSH458842 OCD458841:OCD458842 OLZ458841:OLZ458842 OVV458841:OVV458842 PFR458841:PFR458842 PPN458841:PPN458842 PZJ458841:PZJ458842 QJF458841:QJF458842 QTB458841:QTB458842 RCX458841:RCX458842 RMT458841:RMT458842 RWP458841:RWP458842 SGL458841:SGL458842 SQH458841:SQH458842 TAD458841:TAD458842 TJZ458841:TJZ458842 TTV458841:TTV458842 UDR458841:UDR458842 UNN458841:UNN458842 UXJ458841:UXJ458842 VHF458841:VHF458842 VRB458841:VRB458842 WAX458841:WAX458842 WKT458841:WKT458842 WUP458841:WUP458842 ID524377:ID524378 RZ524377:RZ524378 ABV524377:ABV524378 ALR524377:ALR524378 AVN524377:AVN524378 BFJ524377:BFJ524378 BPF524377:BPF524378 BZB524377:BZB524378 CIX524377:CIX524378 CST524377:CST524378 DCP524377:DCP524378 DML524377:DML524378 DWH524377:DWH524378 EGD524377:EGD524378 EPZ524377:EPZ524378 EZV524377:EZV524378 FJR524377:FJR524378 FTN524377:FTN524378 GDJ524377:GDJ524378 GNF524377:GNF524378 GXB524377:GXB524378 HGX524377:HGX524378 HQT524377:HQT524378 IAP524377:IAP524378 IKL524377:IKL524378 IUH524377:IUH524378 JED524377:JED524378 JNZ524377:JNZ524378 JXV524377:JXV524378 KHR524377:KHR524378 KRN524377:KRN524378 LBJ524377:LBJ524378 LLF524377:LLF524378 LVB524377:LVB524378 MEX524377:MEX524378 MOT524377:MOT524378 MYP524377:MYP524378 NIL524377:NIL524378 NSH524377:NSH524378 OCD524377:OCD524378 OLZ524377:OLZ524378 OVV524377:OVV524378 PFR524377:PFR524378 PPN524377:PPN524378 PZJ524377:PZJ524378 QJF524377:QJF524378 QTB524377:QTB524378 RCX524377:RCX524378 RMT524377:RMT524378 RWP524377:RWP524378 SGL524377:SGL524378 SQH524377:SQH524378 TAD524377:TAD524378 TJZ524377:TJZ524378 TTV524377:TTV524378 UDR524377:UDR524378 UNN524377:UNN524378 UXJ524377:UXJ524378 VHF524377:VHF524378 VRB524377:VRB524378 WAX524377:WAX524378 WKT524377:WKT524378 WUP524377:WUP524378 ID589913:ID589914 RZ589913:RZ589914 ABV589913:ABV589914 ALR589913:ALR589914 AVN589913:AVN589914 BFJ589913:BFJ589914 BPF589913:BPF589914 BZB589913:BZB589914 CIX589913:CIX589914 CST589913:CST589914 DCP589913:DCP589914 DML589913:DML589914 DWH589913:DWH589914 EGD589913:EGD589914 EPZ589913:EPZ589914 EZV589913:EZV589914 FJR589913:FJR589914 FTN589913:FTN589914 GDJ589913:GDJ589914 GNF589913:GNF589914 GXB589913:GXB589914 HGX589913:HGX589914 HQT589913:HQT589914 IAP589913:IAP589914 IKL589913:IKL589914 IUH589913:IUH589914 JED589913:JED589914 JNZ589913:JNZ589914 JXV589913:JXV589914 KHR589913:KHR589914 KRN589913:KRN589914 LBJ589913:LBJ589914 LLF589913:LLF589914 LVB589913:LVB589914 MEX589913:MEX589914 MOT589913:MOT589914 MYP589913:MYP589914 NIL589913:NIL589914 NSH589913:NSH589914 OCD589913:OCD589914 OLZ589913:OLZ589914 OVV589913:OVV589914 PFR589913:PFR589914 PPN589913:PPN589914 PZJ589913:PZJ589914 QJF589913:QJF589914 QTB589913:QTB589914 RCX589913:RCX589914 RMT589913:RMT589914 RWP589913:RWP589914 SGL589913:SGL589914 SQH589913:SQH589914 TAD589913:TAD589914 TJZ589913:TJZ589914 TTV589913:TTV589914 UDR589913:UDR589914 UNN589913:UNN589914 UXJ589913:UXJ589914 VHF589913:VHF589914 VRB589913:VRB589914 WAX589913:WAX589914 WKT589913:WKT589914 WUP589913:WUP589914 ID655449:ID655450 RZ655449:RZ655450 ABV655449:ABV655450 ALR655449:ALR655450 AVN655449:AVN655450 BFJ655449:BFJ655450 BPF655449:BPF655450 BZB655449:BZB655450 CIX655449:CIX655450 CST655449:CST655450 DCP655449:DCP655450 DML655449:DML655450 DWH655449:DWH655450 EGD655449:EGD655450 EPZ655449:EPZ655450 EZV655449:EZV655450 FJR655449:FJR655450 FTN655449:FTN655450 GDJ655449:GDJ655450 GNF655449:GNF655450 GXB655449:GXB655450 HGX655449:HGX655450 HQT655449:HQT655450 IAP655449:IAP655450 IKL655449:IKL655450 IUH655449:IUH655450 JED655449:JED655450 JNZ655449:JNZ655450 JXV655449:JXV655450 KHR655449:KHR655450 KRN655449:KRN655450 LBJ655449:LBJ655450 LLF655449:LLF655450 LVB655449:LVB655450 MEX655449:MEX655450 MOT655449:MOT655450 MYP655449:MYP655450 NIL655449:NIL655450 NSH655449:NSH655450 OCD655449:OCD655450 OLZ655449:OLZ655450 OVV655449:OVV655450 PFR655449:PFR655450 PPN655449:PPN655450 PZJ655449:PZJ655450 QJF655449:QJF655450 QTB655449:QTB655450 RCX655449:RCX655450 RMT655449:RMT655450 RWP655449:RWP655450 SGL655449:SGL655450 SQH655449:SQH655450 TAD655449:TAD655450 TJZ655449:TJZ655450 TTV655449:TTV655450 UDR655449:UDR655450 UNN655449:UNN655450 UXJ655449:UXJ655450 VHF655449:VHF655450 VRB655449:VRB655450 WAX655449:WAX655450 WKT655449:WKT655450 WUP655449:WUP655450 ID720985:ID720986 RZ720985:RZ720986 ABV720985:ABV720986 ALR720985:ALR720986 AVN720985:AVN720986 BFJ720985:BFJ720986 BPF720985:BPF720986 BZB720985:BZB720986 CIX720985:CIX720986 CST720985:CST720986 DCP720985:DCP720986 DML720985:DML720986 DWH720985:DWH720986 EGD720985:EGD720986 EPZ720985:EPZ720986 EZV720985:EZV720986 FJR720985:FJR720986 FTN720985:FTN720986 GDJ720985:GDJ720986 GNF720985:GNF720986 GXB720985:GXB720986 HGX720985:HGX720986 HQT720985:HQT720986 IAP720985:IAP720986 IKL720985:IKL720986 IUH720985:IUH720986 JED720985:JED720986 JNZ720985:JNZ720986 JXV720985:JXV720986 KHR720985:KHR720986 KRN720985:KRN720986 LBJ720985:LBJ720986 LLF720985:LLF720986 LVB720985:LVB720986 MEX720985:MEX720986 MOT720985:MOT720986 MYP720985:MYP720986 NIL720985:NIL720986 NSH720985:NSH720986 OCD720985:OCD720986 OLZ720985:OLZ720986 OVV720985:OVV720986 PFR720985:PFR720986 PPN720985:PPN720986 PZJ720985:PZJ720986 QJF720985:QJF720986 QTB720985:QTB720986 RCX720985:RCX720986 RMT720985:RMT720986 RWP720985:RWP720986 SGL720985:SGL720986 SQH720985:SQH720986 TAD720985:TAD720986 TJZ720985:TJZ720986 TTV720985:TTV720986 UDR720985:UDR720986 UNN720985:UNN720986 UXJ720985:UXJ720986 VHF720985:VHF720986 VRB720985:VRB720986 WAX720985:WAX720986 WKT720985:WKT720986 WUP720985:WUP720986 ID786521:ID786522 RZ786521:RZ786522 ABV786521:ABV786522 ALR786521:ALR786522 AVN786521:AVN786522 BFJ786521:BFJ786522 BPF786521:BPF786522 BZB786521:BZB786522 CIX786521:CIX786522 CST786521:CST786522 DCP786521:DCP786522 DML786521:DML786522 DWH786521:DWH786522 EGD786521:EGD786522 EPZ786521:EPZ786522 EZV786521:EZV786522 FJR786521:FJR786522 FTN786521:FTN786522 GDJ786521:GDJ786522 GNF786521:GNF786522 GXB786521:GXB786522 HGX786521:HGX786522 HQT786521:HQT786522 IAP786521:IAP786522 IKL786521:IKL786522 IUH786521:IUH786522 JED786521:JED786522 JNZ786521:JNZ786522 JXV786521:JXV786522 KHR786521:KHR786522 KRN786521:KRN786522 LBJ786521:LBJ786522 LLF786521:LLF786522 LVB786521:LVB786522 MEX786521:MEX786522 MOT786521:MOT786522 MYP786521:MYP786522 NIL786521:NIL786522 NSH786521:NSH786522 OCD786521:OCD786522 OLZ786521:OLZ786522 OVV786521:OVV786522 PFR786521:PFR786522 PPN786521:PPN786522 PZJ786521:PZJ786522 QJF786521:QJF786522 QTB786521:QTB786522 RCX786521:RCX786522 RMT786521:RMT786522 RWP786521:RWP786522 SGL786521:SGL786522 SQH786521:SQH786522 TAD786521:TAD786522 TJZ786521:TJZ786522 TTV786521:TTV786522 UDR786521:UDR786522 UNN786521:UNN786522 UXJ786521:UXJ786522 VHF786521:VHF786522 VRB786521:VRB786522 WAX786521:WAX786522 WKT786521:WKT786522 WUP786521:WUP786522 ID852057:ID852058 RZ852057:RZ852058 ABV852057:ABV852058 ALR852057:ALR852058 AVN852057:AVN852058 BFJ852057:BFJ852058 BPF852057:BPF852058 BZB852057:BZB852058 CIX852057:CIX852058 CST852057:CST852058 DCP852057:DCP852058 DML852057:DML852058 DWH852057:DWH852058 EGD852057:EGD852058 EPZ852057:EPZ852058 EZV852057:EZV852058 FJR852057:FJR852058 FTN852057:FTN852058 GDJ852057:GDJ852058 GNF852057:GNF852058 GXB852057:GXB852058 HGX852057:HGX852058 HQT852057:HQT852058 IAP852057:IAP852058 IKL852057:IKL852058 IUH852057:IUH852058 JED852057:JED852058 JNZ852057:JNZ852058 JXV852057:JXV852058 KHR852057:KHR852058 KRN852057:KRN852058 LBJ852057:LBJ852058 LLF852057:LLF852058 LVB852057:LVB852058 MEX852057:MEX852058 MOT852057:MOT852058 MYP852057:MYP852058 NIL852057:NIL852058 NSH852057:NSH852058 OCD852057:OCD852058 OLZ852057:OLZ852058 OVV852057:OVV852058 PFR852057:PFR852058 PPN852057:PPN852058 PZJ852057:PZJ852058 QJF852057:QJF852058 QTB852057:QTB852058 RCX852057:RCX852058 RMT852057:RMT852058 RWP852057:RWP852058 SGL852057:SGL852058 SQH852057:SQH852058 TAD852057:TAD852058 TJZ852057:TJZ852058 TTV852057:TTV852058 UDR852057:UDR852058 UNN852057:UNN852058 UXJ852057:UXJ852058 VHF852057:VHF852058 VRB852057:VRB852058 WAX852057:WAX852058 WKT852057:WKT852058 WUP852057:WUP852058 ID917593:ID917594 RZ917593:RZ917594 ABV917593:ABV917594 ALR917593:ALR917594 AVN917593:AVN917594 BFJ917593:BFJ917594 BPF917593:BPF917594 BZB917593:BZB917594 CIX917593:CIX917594 CST917593:CST917594 DCP917593:DCP917594 DML917593:DML917594 DWH917593:DWH917594 EGD917593:EGD917594 EPZ917593:EPZ917594 EZV917593:EZV917594 FJR917593:FJR917594 FTN917593:FTN917594 GDJ917593:GDJ917594 GNF917593:GNF917594 GXB917593:GXB917594 HGX917593:HGX917594 HQT917593:HQT917594 IAP917593:IAP917594 IKL917593:IKL917594 IUH917593:IUH917594 JED917593:JED917594 JNZ917593:JNZ917594 JXV917593:JXV917594 KHR917593:KHR917594 KRN917593:KRN917594 LBJ917593:LBJ917594 LLF917593:LLF917594 LVB917593:LVB917594 MEX917593:MEX917594 MOT917593:MOT917594 MYP917593:MYP917594 NIL917593:NIL917594 NSH917593:NSH917594 OCD917593:OCD917594 OLZ917593:OLZ917594 OVV917593:OVV917594 PFR917593:PFR917594 PPN917593:PPN917594 PZJ917593:PZJ917594 QJF917593:QJF917594 QTB917593:QTB917594 RCX917593:RCX917594 RMT917593:RMT917594 RWP917593:RWP917594 SGL917593:SGL917594 SQH917593:SQH917594 TAD917593:TAD917594 TJZ917593:TJZ917594 TTV917593:TTV917594 UDR917593:UDR917594 UNN917593:UNN917594 UXJ917593:UXJ917594 VHF917593:VHF917594 VRB917593:VRB917594 WAX917593:WAX917594 WKT917593:WKT917594 WUP917593:WUP917594 ID983129:ID983130 RZ983129:RZ983130 ABV983129:ABV983130 ALR983129:ALR983130 AVN983129:AVN983130 BFJ983129:BFJ983130 BPF983129:BPF983130 BZB983129:BZB983130 CIX983129:CIX983130 CST983129:CST983130 DCP983129:DCP983130 DML983129:DML983130 DWH983129:DWH983130 EGD983129:EGD983130 EPZ983129:EPZ983130 EZV983129:EZV983130 FJR983129:FJR983130 FTN983129:FTN983130 GDJ983129:GDJ983130 GNF983129:GNF983130 GXB983129:GXB983130 HGX983129:HGX983130 HQT983129:HQT983130 IAP983129:IAP983130 IKL983129:IKL983130 IUH983129:IUH983130 JED983129:JED983130 JNZ983129:JNZ983130 JXV983129:JXV983130 KHR983129:KHR983130 KRN983129:KRN983130 LBJ983129:LBJ983130 LLF983129:LLF983130 LVB983129:LVB983130 MEX983129:MEX983130 MOT983129:MOT983130 MYP983129:MYP983130 NIL983129:NIL983130 NSH983129:NSH983130 OCD983129:OCD983130 OLZ983129:OLZ983130 OVV983129:OVV983130 PFR983129:PFR983130 PPN983129:PPN983130 PZJ983129:PZJ983130 QJF983129:QJF983130 QTB983129:QTB983130 RCX983129:RCX983130 RMT983129:RMT983130 RWP983129:RWP983130 SGL983129:SGL983130 SQH983129:SQH983130 TAD983129:TAD983130 TJZ983129:TJZ983130 TTV983129:TTV983130 UDR983129:UDR983130 UNN983129:UNN983130 UXJ983129:UXJ983130 VHF983129:VHF983130 VRB983129:VRB983130 WAX983129:WAX983130 WKT983129:WKT983130 WUP983129:WUP983130 RZ92:RZ95 ABV92:ABV95 ALR92:ALR95 AVN92:AVN95 BFJ92:BFJ95 BPF92:BPF95 BZB92:BZB95 CIX92:CIX95 CST92:CST95 DCP92:DCP95 DML92:DML95 DWH92:DWH95 EGD92:EGD95 EPZ92:EPZ95 EZV92:EZV95 FJR92:FJR95 FTN92:FTN95 GDJ92:GDJ95 GNF92:GNF95 GXB92:GXB95 HGX92:HGX95 HQT92:HQT95 IAP92:IAP95 IKL92:IKL95 IUH92:IUH95 JED92:JED95 JNZ92:JNZ95 JXV92:JXV95 KHR92:KHR95 KRN92:KRN95 LBJ92:LBJ95 LLF92:LLF95 LVB92:LVB95 MEX92:MEX95 MOT92:MOT95 MYP92:MYP95 NIL92:NIL95 NSH92:NSH95 OCD92:OCD95 OLZ92:OLZ95 OVV92:OVV95 PFR92:PFR95 PPN92:PPN95 PZJ92:PZJ95 QJF92:QJF95 QTB92:QTB95 RCX92:RCX95 RMT92:RMT95 RWP92:RWP95 SGL92:SGL95 SQH92:SQH95 TAD92:TAD95 TJZ92:TJZ95 TTV92:TTV95 UDR92:UDR95 UNN92:UNN95 UXJ92:UXJ95 VHF92:VHF95 VRB92:VRB95 WAX92:WAX95 WKT92:WKT95 WUP92:WUP95 ID65628:ID65630 RZ65628:RZ65630 ABV65628:ABV65630 ALR65628:ALR65630 AVN65628:AVN65630 BFJ65628:BFJ65630 BPF65628:BPF65630 BZB65628:BZB65630 CIX65628:CIX65630 CST65628:CST65630 DCP65628:DCP65630 DML65628:DML65630 DWH65628:DWH65630 EGD65628:EGD65630 EPZ65628:EPZ65630 EZV65628:EZV65630 FJR65628:FJR65630 FTN65628:FTN65630 GDJ65628:GDJ65630 GNF65628:GNF65630 GXB65628:GXB65630 HGX65628:HGX65630 HQT65628:HQT65630 IAP65628:IAP65630 IKL65628:IKL65630 IUH65628:IUH65630 JED65628:JED65630 JNZ65628:JNZ65630 JXV65628:JXV65630 KHR65628:KHR65630 KRN65628:KRN65630 LBJ65628:LBJ65630 LLF65628:LLF65630 LVB65628:LVB65630 MEX65628:MEX65630 MOT65628:MOT65630 MYP65628:MYP65630 NIL65628:NIL65630 NSH65628:NSH65630 OCD65628:OCD65630 OLZ65628:OLZ65630 OVV65628:OVV65630 PFR65628:PFR65630 PPN65628:PPN65630 PZJ65628:PZJ65630 QJF65628:QJF65630 QTB65628:QTB65630 RCX65628:RCX65630 RMT65628:RMT65630 RWP65628:RWP65630 SGL65628:SGL65630 SQH65628:SQH65630 TAD65628:TAD65630 TJZ65628:TJZ65630 TTV65628:TTV65630 UDR65628:UDR65630 UNN65628:UNN65630 UXJ65628:UXJ65630 VHF65628:VHF65630 VRB65628:VRB65630 WAX65628:WAX65630 WKT65628:WKT65630 WUP65628:WUP65630 ID131164:ID131166 RZ131164:RZ131166 ABV131164:ABV131166 ALR131164:ALR131166 AVN131164:AVN131166 BFJ131164:BFJ131166 BPF131164:BPF131166 BZB131164:BZB131166 CIX131164:CIX131166 CST131164:CST131166 DCP131164:DCP131166 DML131164:DML131166 DWH131164:DWH131166 EGD131164:EGD131166 EPZ131164:EPZ131166 EZV131164:EZV131166 FJR131164:FJR131166 FTN131164:FTN131166 GDJ131164:GDJ131166 GNF131164:GNF131166 GXB131164:GXB131166 HGX131164:HGX131166 HQT131164:HQT131166 IAP131164:IAP131166 IKL131164:IKL131166 IUH131164:IUH131166 JED131164:JED131166 JNZ131164:JNZ131166 JXV131164:JXV131166 KHR131164:KHR131166 KRN131164:KRN131166 LBJ131164:LBJ131166 LLF131164:LLF131166 LVB131164:LVB131166 MEX131164:MEX131166 MOT131164:MOT131166 MYP131164:MYP131166 NIL131164:NIL131166 NSH131164:NSH131166 OCD131164:OCD131166 OLZ131164:OLZ131166 OVV131164:OVV131166 PFR131164:PFR131166 PPN131164:PPN131166 PZJ131164:PZJ131166 QJF131164:QJF131166 QTB131164:QTB131166 RCX131164:RCX131166 RMT131164:RMT131166 RWP131164:RWP131166 SGL131164:SGL131166 SQH131164:SQH131166 TAD131164:TAD131166 TJZ131164:TJZ131166 TTV131164:TTV131166 UDR131164:UDR131166 UNN131164:UNN131166 UXJ131164:UXJ131166 VHF131164:VHF131166 VRB131164:VRB131166 WAX131164:WAX131166 WKT131164:WKT131166 WUP131164:WUP131166 ID196700:ID196702 RZ196700:RZ196702 ABV196700:ABV196702 ALR196700:ALR196702 AVN196700:AVN196702 BFJ196700:BFJ196702 BPF196700:BPF196702 BZB196700:BZB196702 CIX196700:CIX196702 CST196700:CST196702 DCP196700:DCP196702 DML196700:DML196702 DWH196700:DWH196702 EGD196700:EGD196702 EPZ196700:EPZ196702 EZV196700:EZV196702 FJR196700:FJR196702 FTN196700:FTN196702 GDJ196700:GDJ196702 GNF196700:GNF196702 GXB196700:GXB196702 HGX196700:HGX196702 HQT196700:HQT196702 IAP196700:IAP196702 IKL196700:IKL196702 IUH196700:IUH196702 JED196700:JED196702 JNZ196700:JNZ196702 JXV196700:JXV196702 KHR196700:KHR196702 KRN196700:KRN196702 LBJ196700:LBJ196702 LLF196700:LLF196702 LVB196700:LVB196702 MEX196700:MEX196702 MOT196700:MOT196702 MYP196700:MYP196702 NIL196700:NIL196702 NSH196700:NSH196702 OCD196700:OCD196702 OLZ196700:OLZ196702 OVV196700:OVV196702 PFR196700:PFR196702 PPN196700:PPN196702 PZJ196700:PZJ196702 QJF196700:QJF196702 QTB196700:QTB196702 RCX196700:RCX196702 RMT196700:RMT196702 RWP196700:RWP196702 SGL196700:SGL196702 SQH196700:SQH196702 TAD196700:TAD196702 TJZ196700:TJZ196702 TTV196700:TTV196702 UDR196700:UDR196702 UNN196700:UNN196702 UXJ196700:UXJ196702 VHF196700:VHF196702 VRB196700:VRB196702 WAX196700:WAX196702 WKT196700:WKT196702 WUP196700:WUP196702 ID262236:ID262238 RZ262236:RZ262238 ABV262236:ABV262238 ALR262236:ALR262238 AVN262236:AVN262238 BFJ262236:BFJ262238 BPF262236:BPF262238 BZB262236:BZB262238 CIX262236:CIX262238 CST262236:CST262238 DCP262236:DCP262238 DML262236:DML262238 DWH262236:DWH262238 EGD262236:EGD262238 EPZ262236:EPZ262238 EZV262236:EZV262238 FJR262236:FJR262238 FTN262236:FTN262238 GDJ262236:GDJ262238 GNF262236:GNF262238 GXB262236:GXB262238 HGX262236:HGX262238 HQT262236:HQT262238 IAP262236:IAP262238 IKL262236:IKL262238 IUH262236:IUH262238 JED262236:JED262238 JNZ262236:JNZ262238 JXV262236:JXV262238 KHR262236:KHR262238 KRN262236:KRN262238 LBJ262236:LBJ262238 LLF262236:LLF262238 LVB262236:LVB262238 MEX262236:MEX262238 MOT262236:MOT262238 MYP262236:MYP262238 NIL262236:NIL262238 NSH262236:NSH262238 OCD262236:OCD262238 OLZ262236:OLZ262238 OVV262236:OVV262238 PFR262236:PFR262238 PPN262236:PPN262238 PZJ262236:PZJ262238 QJF262236:QJF262238 QTB262236:QTB262238 RCX262236:RCX262238 RMT262236:RMT262238 RWP262236:RWP262238 SGL262236:SGL262238 SQH262236:SQH262238 TAD262236:TAD262238 TJZ262236:TJZ262238 TTV262236:TTV262238 UDR262236:UDR262238 UNN262236:UNN262238 UXJ262236:UXJ262238 VHF262236:VHF262238 VRB262236:VRB262238 WAX262236:WAX262238 WKT262236:WKT262238 WUP262236:WUP262238 ID327772:ID327774 RZ327772:RZ327774 ABV327772:ABV327774 ALR327772:ALR327774 AVN327772:AVN327774 BFJ327772:BFJ327774 BPF327772:BPF327774 BZB327772:BZB327774 CIX327772:CIX327774 CST327772:CST327774 DCP327772:DCP327774 DML327772:DML327774 DWH327772:DWH327774 EGD327772:EGD327774 EPZ327772:EPZ327774 EZV327772:EZV327774 FJR327772:FJR327774 FTN327772:FTN327774 GDJ327772:GDJ327774 GNF327772:GNF327774 GXB327772:GXB327774 HGX327772:HGX327774 HQT327772:HQT327774 IAP327772:IAP327774 IKL327772:IKL327774 IUH327772:IUH327774 JED327772:JED327774 JNZ327772:JNZ327774 JXV327772:JXV327774 KHR327772:KHR327774 KRN327772:KRN327774 LBJ327772:LBJ327774 LLF327772:LLF327774 LVB327772:LVB327774 MEX327772:MEX327774 MOT327772:MOT327774 MYP327772:MYP327774 NIL327772:NIL327774 NSH327772:NSH327774 OCD327772:OCD327774 OLZ327772:OLZ327774 OVV327772:OVV327774 PFR327772:PFR327774 PPN327772:PPN327774 PZJ327772:PZJ327774 QJF327772:QJF327774 QTB327772:QTB327774 RCX327772:RCX327774 RMT327772:RMT327774 RWP327772:RWP327774 SGL327772:SGL327774 SQH327772:SQH327774 TAD327772:TAD327774 TJZ327772:TJZ327774 TTV327772:TTV327774 UDR327772:UDR327774 UNN327772:UNN327774 UXJ327772:UXJ327774 VHF327772:VHF327774 VRB327772:VRB327774 WAX327772:WAX327774 WKT327772:WKT327774 WUP327772:WUP327774 ID393308:ID393310 RZ393308:RZ393310 ABV393308:ABV393310 ALR393308:ALR393310 AVN393308:AVN393310 BFJ393308:BFJ393310 BPF393308:BPF393310 BZB393308:BZB393310 CIX393308:CIX393310 CST393308:CST393310 DCP393308:DCP393310 DML393308:DML393310 DWH393308:DWH393310 EGD393308:EGD393310 EPZ393308:EPZ393310 EZV393308:EZV393310 FJR393308:FJR393310 FTN393308:FTN393310 GDJ393308:GDJ393310 GNF393308:GNF393310 GXB393308:GXB393310 HGX393308:HGX393310 HQT393308:HQT393310 IAP393308:IAP393310 IKL393308:IKL393310 IUH393308:IUH393310 JED393308:JED393310 JNZ393308:JNZ393310 JXV393308:JXV393310 KHR393308:KHR393310 KRN393308:KRN393310 LBJ393308:LBJ393310 LLF393308:LLF393310 LVB393308:LVB393310 MEX393308:MEX393310 MOT393308:MOT393310 MYP393308:MYP393310 NIL393308:NIL393310 NSH393308:NSH393310 OCD393308:OCD393310 OLZ393308:OLZ393310 OVV393308:OVV393310 PFR393308:PFR393310 PPN393308:PPN393310 PZJ393308:PZJ393310 QJF393308:QJF393310 QTB393308:QTB393310 RCX393308:RCX393310 RMT393308:RMT393310 RWP393308:RWP393310 SGL393308:SGL393310 SQH393308:SQH393310 TAD393308:TAD393310 TJZ393308:TJZ393310 TTV393308:TTV393310 UDR393308:UDR393310 UNN393308:UNN393310 UXJ393308:UXJ393310 VHF393308:VHF393310 VRB393308:VRB393310 WAX393308:WAX393310 WKT393308:WKT393310 WUP393308:WUP393310 ID458844:ID458846 RZ458844:RZ458846 ABV458844:ABV458846 ALR458844:ALR458846 AVN458844:AVN458846 BFJ458844:BFJ458846 BPF458844:BPF458846 BZB458844:BZB458846 CIX458844:CIX458846 CST458844:CST458846 DCP458844:DCP458846 DML458844:DML458846 DWH458844:DWH458846 EGD458844:EGD458846 EPZ458844:EPZ458846 EZV458844:EZV458846 FJR458844:FJR458846 FTN458844:FTN458846 GDJ458844:GDJ458846 GNF458844:GNF458846 GXB458844:GXB458846 HGX458844:HGX458846 HQT458844:HQT458846 IAP458844:IAP458846 IKL458844:IKL458846 IUH458844:IUH458846 JED458844:JED458846 JNZ458844:JNZ458846 JXV458844:JXV458846 KHR458844:KHR458846 KRN458844:KRN458846 LBJ458844:LBJ458846 LLF458844:LLF458846 LVB458844:LVB458846 MEX458844:MEX458846 MOT458844:MOT458846 MYP458844:MYP458846 NIL458844:NIL458846 NSH458844:NSH458846 OCD458844:OCD458846 OLZ458844:OLZ458846 OVV458844:OVV458846 PFR458844:PFR458846 PPN458844:PPN458846 PZJ458844:PZJ458846 QJF458844:QJF458846 QTB458844:QTB458846 RCX458844:RCX458846 RMT458844:RMT458846 RWP458844:RWP458846 SGL458844:SGL458846 SQH458844:SQH458846 TAD458844:TAD458846 TJZ458844:TJZ458846 TTV458844:TTV458846 UDR458844:UDR458846 UNN458844:UNN458846 UXJ458844:UXJ458846 VHF458844:VHF458846 VRB458844:VRB458846 WAX458844:WAX458846 WKT458844:WKT458846 WUP458844:WUP458846 ID524380:ID524382 RZ524380:RZ524382 ABV524380:ABV524382 ALR524380:ALR524382 AVN524380:AVN524382 BFJ524380:BFJ524382 BPF524380:BPF524382 BZB524380:BZB524382 CIX524380:CIX524382 CST524380:CST524382 DCP524380:DCP524382 DML524380:DML524382 DWH524380:DWH524382 EGD524380:EGD524382 EPZ524380:EPZ524382 EZV524380:EZV524382 FJR524380:FJR524382 FTN524380:FTN524382 GDJ524380:GDJ524382 GNF524380:GNF524382 GXB524380:GXB524382 HGX524380:HGX524382 HQT524380:HQT524382 IAP524380:IAP524382 IKL524380:IKL524382 IUH524380:IUH524382 JED524380:JED524382 JNZ524380:JNZ524382 JXV524380:JXV524382 KHR524380:KHR524382 KRN524380:KRN524382 LBJ524380:LBJ524382 LLF524380:LLF524382 LVB524380:LVB524382 MEX524380:MEX524382 MOT524380:MOT524382 MYP524380:MYP524382 NIL524380:NIL524382 NSH524380:NSH524382 OCD524380:OCD524382 OLZ524380:OLZ524382 OVV524380:OVV524382 PFR524380:PFR524382 PPN524380:PPN524382 PZJ524380:PZJ524382 QJF524380:QJF524382 QTB524380:QTB524382 RCX524380:RCX524382 RMT524380:RMT524382 RWP524380:RWP524382 SGL524380:SGL524382 SQH524380:SQH524382 TAD524380:TAD524382 TJZ524380:TJZ524382 TTV524380:TTV524382 UDR524380:UDR524382 UNN524380:UNN524382 UXJ524380:UXJ524382 VHF524380:VHF524382 VRB524380:VRB524382 WAX524380:WAX524382 WKT524380:WKT524382 WUP524380:WUP524382 ID589916:ID589918 RZ589916:RZ589918 ABV589916:ABV589918 ALR589916:ALR589918 AVN589916:AVN589918 BFJ589916:BFJ589918 BPF589916:BPF589918 BZB589916:BZB589918 CIX589916:CIX589918 CST589916:CST589918 DCP589916:DCP589918 DML589916:DML589918 DWH589916:DWH589918 EGD589916:EGD589918 EPZ589916:EPZ589918 EZV589916:EZV589918 FJR589916:FJR589918 FTN589916:FTN589918 GDJ589916:GDJ589918 GNF589916:GNF589918 GXB589916:GXB589918 HGX589916:HGX589918 HQT589916:HQT589918 IAP589916:IAP589918 IKL589916:IKL589918 IUH589916:IUH589918 JED589916:JED589918 JNZ589916:JNZ589918 JXV589916:JXV589918 KHR589916:KHR589918 KRN589916:KRN589918 LBJ589916:LBJ589918 LLF589916:LLF589918 LVB589916:LVB589918 MEX589916:MEX589918 MOT589916:MOT589918 MYP589916:MYP589918 NIL589916:NIL589918 NSH589916:NSH589918 OCD589916:OCD589918 OLZ589916:OLZ589918 OVV589916:OVV589918 PFR589916:PFR589918 PPN589916:PPN589918 PZJ589916:PZJ589918 QJF589916:QJF589918 QTB589916:QTB589918 RCX589916:RCX589918 RMT589916:RMT589918 RWP589916:RWP589918 SGL589916:SGL589918 SQH589916:SQH589918 TAD589916:TAD589918 TJZ589916:TJZ589918 TTV589916:TTV589918 UDR589916:UDR589918 UNN589916:UNN589918 UXJ589916:UXJ589918 VHF589916:VHF589918 VRB589916:VRB589918 WAX589916:WAX589918 WKT589916:WKT589918 WUP589916:WUP589918 ID655452:ID655454 RZ655452:RZ655454 ABV655452:ABV655454 ALR655452:ALR655454 AVN655452:AVN655454 BFJ655452:BFJ655454 BPF655452:BPF655454 BZB655452:BZB655454 CIX655452:CIX655454 CST655452:CST655454 DCP655452:DCP655454 DML655452:DML655454 DWH655452:DWH655454 EGD655452:EGD655454 EPZ655452:EPZ655454 EZV655452:EZV655454 FJR655452:FJR655454 FTN655452:FTN655454 GDJ655452:GDJ655454 GNF655452:GNF655454 GXB655452:GXB655454 HGX655452:HGX655454 HQT655452:HQT655454 IAP655452:IAP655454 IKL655452:IKL655454 IUH655452:IUH655454 JED655452:JED655454 JNZ655452:JNZ655454 JXV655452:JXV655454 KHR655452:KHR655454 KRN655452:KRN655454 LBJ655452:LBJ655454 LLF655452:LLF655454 LVB655452:LVB655454 MEX655452:MEX655454 MOT655452:MOT655454 MYP655452:MYP655454 NIL655452:NIL655454 NSH655452:NSH655454 OCD655452:OCD655454 OLZ655452:OLZ655454 OVV655452:OVV655454 PFR655452:PFR655454 PPN655452:PPN655454 PZJ655452:PZJ655454 QJF655452:QJF655454 QTB655452:QTB655454 RCX655452:RCX655454 RMT655452:RMT655454 RWP655452:RWP655454 SGL655452:SGL655454 SQH655452:SQH655454 TAD655452:TAD655454 TJZ655452:TJZ655454 TTV655452:TTV655454 UDR655452:UDR655454 UNN655452:UNN655454 UXJ655452:UXJ655454 VHF655452:VHF655454 VRB655452:VRB655454 WAX655452:WAX655454 WKT655452:WKT655454 WUP655452:WUP655454 ID720988:ID720990 RZ720988:RZ720990 ABV720988:ABV720990 ALR720988:ALR720990 AVN720988:AVN720990 BFJ720988:BFJ720990 BPF720988:BPF720990 BZB720988:BZB720990 CIX720988:CIX720990 CST720988:CST720990 DCP720988:DCP720990 DML720988:DML720990 DWH720988:DWH720990 EGD720988:EGD720990 EPZ720988:EPZ720990 EZV720988:EZV720990 FJR720988:FJR720990 FTN720988:FTN720990 GDJ720988:GDJ720990 GNF720988:GNF720990 GXB720988:GXB720990 HGX720988:HGX720990 HQT720988:HQT720990 IAP720988:IAP720990 IKL720988:IKL720990 IUH720988:IUH720990 JED720988:JED720990 JNZ720988:JNZ720990 JXV720988:JXV720990 KHR720988:KHR720990 KRN720988:KRN720990 LBJ720988:LBJ720990 LLF720988:LLF720990 LVB720988:LVB720990 MEX720988:MEX720990 MOT720988:MOT720990 MYP720988:MYP720990 NIL720988:NIL720990 NSH720988:NSH720990 OCD720988:OCD720990 OLZ720988:OLZ720990 OVV720988:OVV720990 PFR720988:PFR720990 PPN720988:PPN720990 PZJ720988:PZJ720990 QJF720988:QJF720990 QTB720988:QTB720990 RCX720988:RCX720990 RMT720988:RMT720990 RWP720988:RWP720990 SGL720988:SGL720990 SQH720988:SQH720990 TAD720988:TAD720990 TJZ720988:TJZ720990 TTV720988:TTV720990 UDR720988:UDR720990 UNN720988:UNN720990 UXJ720988:UXJ720990 VHF720988:VHF720990 VRB720988:VRB720990 WAX720988:WAX720990 WKT720988:WKT720990 WUP720988:WUP720990 ID786524:ID786526 RZ786524:RZ786526 ABV786524:ABV786526 ALR786524:ALR786526 AVN786524:AVN786526 BFJ786524:BFJ786526 BPF786524:BPF786526 BZB786524:BZB786526 CIX786524:CIX786526 CST786524:CST786526 DCP786524:DCP786526 DML786524:DML786526 DWH786524:DWH786526 EGD786524:EGD786526 EPZ786524:EPZ786526 EZV786524:EZV786526 FJR786524:FJR786526 FTN786524:FTN786526 GDJ786524:GDJ786526 GNF786524:GNF786526 GXB786524:GXB786526 HGX786524:HGX786526 HQT786524:HQT786526 IAP786524:IAP786526 IKL786524:IKL786526 IUH786524:IUH786526 JED786524:JED786526 JNZ786524:JNZ786526 JXV786524:JXV786526 KHR786524:KHR786526 KRN786524:KRN786526 LBJ786524:LBJ786526 LLF786524:LLF786526 LVB786524:LVB786526 MEX786524:MEX786526 MOT786524:MOT786526 MYP786524:MYP786526 NIL786524:NIL786526 NSH786524:NSH786526 OCD786524:OCD786526 OLZ786524:OLZ786526 OVV786524:OVV786526 PFR786524:PFR786526 PPN786524:PPN786526 PZJ786524:PZJ786526 QJF786524:QJF786526 QTB786524:QTB786526 RCX786524:RCX786526 RMT786524:RMT786526 RWP786524:RWP786526 SGL786524:SGL786526 SQH786524:SQH786526 TAD786524:TAD786526 TJZ786524:TJZ786526 TTV786524:TTV786526 UDR786524:UDR786526 UNN786524:UNN786526 UXJ786524:UXJ786526 VHF786524:VHF786526 VRB786524:VRB786526 WAX786524:WAX786526 WKT786524:WKT786526 WUP786524:WUP786526 ID852060:ID852062 RZ852060:RZ852062 ABV852060:ABV852062 ALR852060:ALR852062 AVN852060:AVN852062 BFJ852060:BFJ852062 BPF852060:BPF852062 BZB852060:BZB852062 CIX852060:CIX852062 CST852060:CST852062 DCP852060:DCP852062 DML852060:DML852062 DWH852060:DWH852062 EGD852060:EGD852062 EPZ852060:EPZ852062 EZV852060:EZV852062 FJR852060:FJR852062 FTN852060:FTN852062 GDJ852060:GDJ852062 GNF852060:GNF852062 GXB852060:GXB852062 HGX852060:HGX852062 HQT852060:HQT852062 IAP852060:IAP852062 IKL852060:IKL852062 IUH852060:IUH852062 JED852060:JED852062 JNZ852060:JNZ852062 JXV852060:JXV852062 KHR852060:KHR852062 KRN852060:KRN852062 LBJ852060:LBJ852062 LLF852060:LLF852062 LVB852060:LVB852062 MEX852060:MEX852062 MOT852060:MOT852062 MYP852060:MYP852062 NIL852060:NIL852062 NSH852060:NSH852062 OCD852060:OCD852062 OLZ852060:OLZ852062 OVV852060:OVV852062 PFR852060:PFR852062 PPN852060:PPN852062 PZJ852060:PZJ852062 QJF852060:QJF852062 QTB852060:QTB852062 RCX852060:RCX852062 RMT852060:RMT852062 RWP852060:RWP852062 SGL852060:SGL852062 SQH852060:SQH852062 TAD852060:TAD852062 TJZ852060:TJZ852062 TTV852060:TTV852062 UDR852060:UDR852062 UNN852060:UNN852062 UXJ852060:UXJ852062 VHF852060:VHF852062 VRB852060:VRB852062 WAX852060:WAX852062 WKT852060:WKT852062 WUP852060:WUP852062 ID917596:ID917598 RZ917596:RZ917598 ABV917596:ABV917598 ALR917596:ALR917598 AVN917596:AVN917598 BFJ917596:BFJ917598 BPF917596:BPF917598 BZB917596:BZB917598 CIX917596:CIX917598 CST917596:CST917598 DCP917596:DCP917598 DML917596:DML917598 DWH917596:DWH917598 EGD917596:EGD917598 EPZ917596:EPZ917598 EZV917596:EZV917598 FJR917596:FJR917598 FTN917596:FTN917598 GDJ917596:GDJ917598 GNF917596:GNF917598 GXB917596:GXB917598 HGX917596:HGX917598 HQT917596:HQT917598 IAP917596:IAP917598 IKL917596:IKL917598 IUH917596:IUH917598 JED917596:JED917598 JNZ917596:JNZ917598 JXV917596:JXV917598 KHR917596:KHR917598 KRN917596:KRN917598 LBJ917596:LBJ917598 LLF917596:LLF917598 LVB917596:LVB917598 MEX917596:MEX917598 MOT917596:MOT917598 MYP917596:MYP917598 NIL917596:NIL917598 NSH917596:NSH917598 OCD917596:OCD917598 OLZ917596:OLZ917598 OVV917596:OVV917598 PFR917596:PFR917598 PPN917596:PPN917598 PZJ917596:PZJ917598 QJF917596:QJF917598 QTB917596:QTB917598 RCX917596:RCX917598 RMT917596:RMT917598 RWP917596:RWP917598 SGL917596:SGL917598 SQH917596:SQH917598 TAD917596:TAD917598 TJZ917596:TJZ917598 TTV917596:TTV917598 UDR917596:UDR917598 UNN917596:UNN917598 UXJ917596:UXJ917598 VHF917596:VHF917598 VRB917596:VRB917598 WAX917596:WAX917598 WKT917596:WKT917598 WUP917596:WUP917598 ID983132:ID983134 RZ983132:RZ983134 ABV983132:ABV983134 ALR983132:ALR983134 AVN983132:AVN983134 BFJ983132:BFJ983134 BPF983132:BPF983134 BZB983132:BZB983134 CIX983132:CIX983134 CST983132:CST983134 DCP983132:DCP983134 DML983132:DML983134 DWH983132:DWH983134 EGD983132:EGD983134 EPZ983132:EPZ983134 EZV983132:EZV983134 FJR983132:FJR983134 FTN983132:FTN983134 GDJ983132:GDJ983134 GNF983132:GNF983134 GXB983132:GXB983134 HGX983132:HGX983134 HQT983132:HQT983134 IAP983132:IAP983134 IKL983132:IKL983134 IUH983132:IUH983134 JED983132:JED983134 JNZ983132:JNZ983134 JXV983132:JXV983134 KHR983132:KHR983134 KRN983132:KRN983134 LBJ983132:LBJ983134 LLF983132:LLF983134 LVB983132:LVB983134 MEX983132:MEX983134 MOT983132:MOT983134 MYP983132:MYP983134 NIL983132:NIL983134 NSH983132:NSH983134 OCD983132:OCD983134 OLZ983132:OLZ983134 OVV983132:OVV983134 PFR983132:PFR983134 PPN983132:PPN983134 PZJ983132:PZJ983134 QJF983132:QJF983134 QTB983132:QTB983134 RCX983132:RCX983134 RMT983132:RMT983134 RWP983132:RWP983134 SGL983132:SGL983134 SQH983132:SQH983134 TAD983132:TAD983134 TJZ983132:TJZ983134 TTV983132:TTV983134 UDR983132:UDR983134 UNN983132:UNN983134 UXJ983132:UXJ983134 VHF983132:VHF983134 VRB983132:VRB983134 WAX983132:WAX983134 WKT983132:WKT983134 WUP983132:WUP983134 ID92:ID95 ID6:ID87 WUP6:WUP87 WKT6:WKT87 WAX6:WAX87 VRB6:VRB87 VHF6:VHF87 UXJ6:UXJ87 UNN6:UNN87 UDR6:UDR87 TTV6:TTV87 TJZ6:TJZ87 TAD6:TAD87 SQH6:SQH87 SGL6:SGL87 RWP6:RWP87 RMT6:RMT87 RCX6:RCX87 QTB6:QTB87 QJF6:QJF87 PZJ6:PZJ87 PPN6:PPN87 PFR6:PFR87 OVV6:OVV87 OLZ6:OLZ87 OCD6:OCD87 NSH6:NSH87 NIL6:NIL87 MYP6:MYP87 MOT6:MOT87 MEX6:MEX87 LVB6:LVB87 LLF6:LLF87 LBJ6:LBJ87 KRN6:KRN87 KHR6:KHR87 JXV6:JXV87 JNZ6:JNZ87 JED6:JED87 IUH6:IUH87 IKL6:IKL87 IAP6:IAP87 HQT6:HQT87 HGX6:HGX87 GXB6:GXB87 GNF6:GNF87 GDJ6:GDJ87 FTN6:FTN87 FJR6:FJR87 EZV6:EZV87 EPZ6:EPZ87 EGD6:EGD87 DWH6:DWH87 DML6:DML87 DCP6:DCP87 CST6:CST87 CIX6:CIX87 BZB6:BZB87 BPF6:BPF87 BFJ6:BFJ87 AVN6:AVN87 ALR6:ALR87 ABV6:ABV87 RZ6:RZ87" xr:uid="{00000000-0002-0000-0A00-000001000000}">
      <formula1>"有,無"</formula1>
    </dataValidation>
    <dataValidation type="list" allowBlank="1" showInputMessage="1" showErrorMessage="1" sqref="E65585:E65591 IA45:IA81 RW45:RW81 ABS45:ABS81 ALO45:ALO81 AVK45:AVK81 BFG45:BFG81 BPC45:BPC81 BYY45:BYY81 CIU45:CIU81 CSQ45:CSQ81 DCM45:DCM81 DMI45:DMI81 DWE45:DWE81 EGA45:EGA81 EPW45:EPW81 EZS45:EZS81 FJO45:FJO81 FTK45:FTK81 GDG45:GDG81 GNC45:GNC81 GWY45:GWY81 HGU45:HGU81 HQQ45:HQQ81 IAM45:IAM81 IKI45:IKI81 IUE45:IUE81 JEA45:JEA81 JNW45:JNW81 JXS45:JXS81 KHO45:KHO81 KRK45:KRK81 LBG45:LBG81 LLC45:LLC81 LUY45:LUY81 MEU45:MEU81 MOQ45:MOQ81 MYM45:MYM81 NII45:NII81 NSE45:NSE81 OCA45:OCA81 OLW45:OLW81 OVS45:OVS81 PFO45:PFO81 PPK45:PPK81 PZG45:PZG81 QJC45:QJC81 QSY45:QSY81 RCU45:RCU81 RMQ45:RMQ81 RWM45:RWM81 SGI45:SGI81 SQE45:SQE81 TAA45:TAA81 TJW45:TJW81 TTS45:TTS81 UDO45:UDO81 UNK45:UNK81 UXG45:UXG81 VHC45:VHC81 VQY45:VQY81 WAU45:WAU81 WKQ45:WKQ81 WUM45:WUM81 WUM43 IA43 RW43 ABS43 ALO43 AVK43 BFG43 BPC43 BYY43 CIU43 CSQ43 DCM43 DMI43 DWE43 EGA43 EPW43 EZS43 FJO43 FTK43 GDG43 GNC43 GWY43 HGU43 HQQ43 IAM43 IKI43 IUE43 JEA43 JNW43 JXS43 KHO43 KRK43 LBG43 LLC43 LUY43 MEU43 MOQ43 MYM43 NII43 NSE43 OCA43 OLW43 OVS43 PFO43 PPK43 PZG43 QJC43 QSY43 RCU43 RMQ43 RWM43 SGI43 SQE43 TAA43 TJW43 TTS43 UDO43 UNK43 UXG43 VHC43 VQY43 WAU43 WKQ43 WUM983115:WUM983122 WKQ983115:WKQ983122 WAU983115:WAU983122 VQY983115:VQY983122 VHC983115:VHC983122 UXG983115:UXG983122 UNK983115:UNK983122 UDO983115:UDO983122 TTS983115:TTS983122 TJW983115:TJW983122 TAA983115:TAA983122 SQE983115:SQE983122 SGI983115:SGI983122 RWM983115:RWM983122 RMQ983115:RMQ983122 RCU983115:RCU983122 QSY983115:QSY983122 QJC983115:QJC983122 PZG983115:PZG983122 PPK983115:PPK983122 PFO983115:PFO983122 OVS983115:OVS983122 OLW983115:OLW983122 OCA983115:OCA983122 NSE983115:NSE983122 NII983115:NII983122 MYM983115:MYM983122 MOQ983115:MOQ983122 MEU983115:MEU983122 LUY983115:LUY983122 LLC983115:LLC983122 LBG983115:LBG983122 KRK983115:KRK983122 KHO983115:KHO983122 JXS983115:JXS983122 JNW983115:JNW983122 JEA983115:JEA983122 IUE983115:IUE983122 IKI983115:IKI983122 IAM983115:IAM983122 HQQ983115:HQQ983122 HGU983115:HGU983122 GWY983115:GWY983122 GNC983115:GNC983122 GDG983115:GDG983122 FTK983115:FTK983122 FJO983115:FJO983122 EZS983115:EZS983122 EPW983115:EPW983122 EGA983115:EGA983122 DWE983115:DWE983122 DMI983115:DMI983122 DCM983115:DCM983122 CSQ983115:CSQ983122 CIU983115:CIU983122 BYY983115:BYY983122 BPC983115:BPC983122 BFG983115:BFG983122 AVK983115:AVK983122 ALO983115:ALO983122 ABS983115:ABS983122 RW983115:RW983122 IA983115:IA983122 E983115:E983122 WUM917579:WUM917586 WKQ917579:WKQ917586 WAU917579:WAU917586 VQY917579:VQY917586 VHC917579:VHC917586 UXG917579:UXG917586 UNK917579:UNK917586 UDO917579:UDO917586 TTS917579:TTS917586 TJW917579:TJW917586 TAA917579:TAA917586 SQE917579:SQE917586 SGI917579:SGI917586 RWM917579:RWM917586 RMQ917579:RMQ917586 RCU917579:RCU917586 QSY917579:QSY917586 QJC917579:QJC917586 PZG917579:PZG917586 PPK917579:PPK917586 PFO917579:PFO917586 OVS917579:OVS917586 OLW917579:OLW917586 OCA917579:OCA917586 NSE917579:NSE917586 NII917579:NII917586 MYM917579:MYM917586 MOQ917579:MOQ917586 MEU917579:MEU917586 LUY917579:LUY917586 LLC917579:LLC917586 LBG917579:LBG917586 KRK917579:KRK917586 KHO917579:KHO917586 JXS917579:JXS917586 JNW917579:JNW917586 JEA917579:JEA917586 IUE917579:IUE917586 IKI917579:IKI917586 IAM917579:IAM917586 HQQ917579:HQQ917586 HGU917579:HGU917586 GWY917579:GWY917586 GNC917579:GNC917586 GDG917579:GDG917586 FTK917579:FTK917586 FJO917579:FJO917586 EZS917579:EZS917586 EPW917579:EPW917586 EGA917579:EGA917586 DWE917579:DWE917586 DMI917579:DMI917586 DCM917579:DCM917586 CSQ917579:CSQ917586 CIU917579:CIU917586 BYY917579:BYY917586 BPC917579:BPC917586 BFG917579:BFG917586 AVK917579:AVK917586 ALO917579:ALO917586 ABS917579:ABS917586 RW917579:RW917586 IA917579:IA917586 E917579:E917586 WUM852043:WUM852050 WKQ852043:WKQ852050 WAU852043:WAU852050 VQY852043:VQY852050 VHC852043:VHC852050 UXG852043:UXG852050 UNK852043:UNK852050 UDO852043:UDO852050 TTS852043:TTS852050 TJW852043:TJW852050 TAA852043:TAA852050 SQE852043:SQE852050 SGI852043:SGI852050 RWM852043:RWM852050 RMQ852043:RMQ852050 RCU852043:RCU852050 QSY852043:QSY852050 QJC852043:QJC852050 PZG852043:PZG852050 PPK852043:PPK852050 PFO852043:PFO852050 OVS852043:OVS852050 OLW852043:OLW852050 OCA852043:OCA852050 NSE852043:NSE852050 NII852043:NII852050 MYM852043:MYM852050 MOQ852043:MOQ852050 MEU852043:MEU852050 LUY852043:LUY852050 LLC852043:LLC852050 LBG852043:LBG852050 KRK852043:KRK852050 KHO852043:KHO852050 JXS852043:JXS852050 JNW852043:JNW852050 JEA852043:JEA852050 IUE852043:IUE852050 IKI852043:IKI852050 IAM852043:IAM852050 HQQ852043:HQQ852050 HGU852043:HGU852050 GWY852043:GWY852050 GNC852043:GNC852050 GDG852043:GDG852050 FTK852043:FTK852050 FJO852043:FJO852050 EZS852043:EZS852050 EPW852043:EPW852050 EGA852043:EGA852050 DWE852043:DWE852050 DMI852043:DMI852050 DCM852043:DCM852050 CSQ852043:CSQ852050 CIU852043:CIU852050 BYY852043:BYY852050 BPC852043:BPC852050 BFG852043:BFG852050 AVK852043:AVK852050 ALO852043:ALO852050 ABS852043:ABS852050 RW852043:RW852050 IA852043:IA852050 E852043:E852050 WUM786507:WUM786514 WKQ786507:WKQ786514 WAU786507:WAU786514 VQY786507:VQY786514 VHC786507:VHC786514 UXG786507:UXG786514 UNK786507:UNK786514 UDO786507:UDO786514 TTS786507:TTS786514 TJW786507:TJW786514 TAA786507:TAA786514 SQE786507:SQE786514 SGI786507:SGI786514 RWM786507:RWM786514 RMQ786507:RMQ786514 RCU786507:RCU786514 QSY786507:QSY786514 QJC786507:QJC786514 PZG786507:PZG786514 PPK786507:PPK786514 PFO786507:PFO786514 OVS786507:OVS786514 OLW786507:OLW786514 OCA786507:OCA786514 NSE786507:NSE786514 NII786507:NII786514 MYM786507:MYM786514 MOQ786507:MOQ786514 MEU786507:MEU786514 LUY786507:LUY786514 LLC786507:LLC786514 LBG786507:LBG786514 KRK786507:KRK786514 KHO786507:KHO786514 JXS786507:JXS786514 JNW786507:JNW786514 JEA786507:JEA786514 IUE786507:IUE786514 IKI786507:IKI786514 IAM786507:IAM786514 HQQ786507:HQQ786514 HGU786507:HGU786514 GWY786507:GWY786514 GNC786507:GNC786514 GDG786507:GDG786514 FTK786507:FTK786514 FJO786507:FJO786514 EZS786507:EZS786514 EPW786507:EPW786514 EGA786507:EGA786514 DWE786507:DWE786514 DMI786507:DMI786514 DCM786507:DCM786514 CSQ786507:CSQ786514 CIU786507:CIU786514 BYY786507:BYY786514 BPC786507:BPC786514 BFG786507:BFG786514 AVK786507:AVK786514 ALO786507:ALO786514 ABS786507:ABS786514 RW786507:RW786514 IA786507:IA786514 E786507:E786514 WUM720971:WUM720978 WKQ720971:WKQ720978 WAU720971:WAU720978 VQY720971:VQY720978 VHC720971:VHC720978 UXG720971:UXG720978 UNK720971:UNK720978 UDO720971:UDO720978 TTS720971:TTS720978 TJW720971:TJW720978 TAA720971:TAA720978 SQE720971:SQE720978 SGI720971:SGI720978 RWM720971:RWM720978 RMQ720971:RMQ720978 RCU720971:RCU720978 QSY720971:QSY720978 QJC720971:QJC720978 PZG720971:PZG720978 PPK720971:PPK720978 PFO720971:PFO720978 OVS720971:OVS720978 OLW720971:OLW720978 OCA720971:OCA720978 NSE720971:NSE720978 NII720971:NII720978 MYM720971:MYM720978 MOQ720971:MOQ720978 MEU720971:MEU720978 LUY720971:LUY720978 LLC720971:LLC720978 LBG720971:LBG720978 KRK720971:KRK720978 KHO720971:KHO720978 JXS720971:JXS720978 JNW720971:JNW720978 JEA720971:JEA720978 IUE720971:IUE720978 IKI720971:IKI720978 IAM720971:IAM720978 HQQ720971:HQQ720978 HGU720971:HGU720978 GWY720971:GWY720978 GNC720971:GNC720978 GDG720971:GDG720978 FTK720971:FTK720978 FJO720971:FJO720978 EZS720971:EZS720978 EPW720971:EPW720978 EGA720971:EGA720978 DWE720971:DWE720978 DMI720971:DMI720978 DCM720971:DCM720978 CSQ720971:CSQ720978 CIU720971:CIU720978 BYY720971:BYY720978 BPC720971:BPC720978 BFG720971:BFG720978 AVK720971:AVK720978 ALO720971:ALO720978 ABS720971:ABS720978 RW720971:RW720978 IA720971:IA720978 E720971:E720978 WUM655435:WUM655442 WKQ655435:WKQ655442 WAU655435:WAU655442 VQY655435:VQY655442 VHC655435:VHC655442 UXG655435:UXG655442 UNK655435:UNK655442 UDO655435:UDO655442 TTS655435:TTS655442 TJW655435:TJW655442 TAA655435:TAA655442 SQE655435:SQE655442 SGI655435:SGI655442 RWM655435:RWM655442 RMQ655435:RMQ655442 RCU655435:RCU655442 QSY655435:QSY655442 QJC655435:QJC655442 PZG655435:PZG655442 PPK655435:PPK655442 PFO655435:PFO655442 OVS655435:OVS655442 OLW655435:OLW655442 OCA655435:OCA655442 NSE655435:NSE655442 NII655435:NII655442 MYM655435:MYM655442 MOQ655435:MOQ655442 MEU655435:MEU655442 LUY655435:LUY655442 LLC655435:LLC655442 LBG655435:LBG655442 KRK655435:KRK655442 KHO655435:KHO655442 JXS655435:JXS655442 JNW655435:JNW655442 JEA655435:JEA655442 IUE655435:IUE655442 IKI655435:IKI655442 IAM655435:IAM655442 HQQ655435:HQQ655442 HGU655435:HGU655442 GWY655435:GWY655442 GNC655435:GNC655442 GDG655435:GDG655442 FTK655435:FTK655442 FJO655435:FJO655442 EZS655435:EZS655442 EPW655435:EPW655442 EGA655435:EGA655442 DWE655435:DWE655442 DMI655435:DMI655442 DCM655435:DCM655442 CSQ655435:CSQ655442 CIU655435:CIU655442 BYY655435:BYY655442 BPC655435:BPC655442 BFG655435:BFG655442 AVK655435:AVK655442 ALO655435:ALO655442 ABS655435:ABS655442 RW655435:RW655442 IA655435:IA655442 E655435:E655442 WUM589899:WUM589906 WKQ589899:WKQ589906 WAU589899:WAU589906 VQY589899:VQY589906 VHC589899:VHC589906 UXG589899:UXG589906 UNK589899:UNK589906 UDO589899:UDO589906 TTS589899:TTS589906 TJW589899:TJW589906 TAA589899:TAA589906 SQE589899:SQE589906 SGI589899:SGI589906 RWM589899:RWM589906 RMQ589899:RMQ589906 RCU589899:RCU589906 QSY589899:QSY589906 QJC589899:QJC589906 PZG589899:PZG589906 PPK589899:PPK589906 PFO589899:PFO589906 OVS589899:OVS589906 OLW589899:OLW589906 OCA589899:OCA589906 NSE589899:NSE589906 NII589899:NII589906 MYM589899:MYM589906 MOQ589899:MOQ589906 MEU589899:MEU589906 LUY589899:LUY589906 LLC589899:LLC589906 LBG589899:LBG589906 KRK589899:KRK589906 KHO589899:KHO589906 JXS589899:JXS589906 JNW589899:JNW589906 JEA589899:JEA589906 IUE589899:IUE589906 IKI589899:IKI589906 IAM589899:IAM589906 HQQ589899:HQQ589906 HGU589899:HGU589906 GWY589899:GWY589906 GNC589899:GNC589906 GDG589899:GDG589906 FTK589899:FTK589906 FJO589899:FJO589906 EZS589899:EZS589906 EPW589899:EPW589906 EGA589899:EGA589906 DWE589899:DWE589906 DMI589899:DMI589906 DCM589899:DCM589906 CSQ589899:CSQ589906 CIU589899:CIU589906 BYY589899:BYY589906 BPC589899:BPC589906 BFG589899:BFG589906 AVK589899:AVK589906 ALO589899:ALO589906 ABS589899:ABS589906 RW589899:RW589906 IA589899:IA589906 E589899:E589906 WUM524363:WUM524370 WKQ524363:WKQ524370 WAU524363:WAU524370 VQY524363:VQY524370 VHC524363:VHC524370 UXG524363:UXG524370 UNK524363:UNK524370 UDO524363:UDO524370 TTS524363:TTS524370 TJW524363:TJW524370 TAA524363:TAA524370 SQE524363:SQE524370 SGI524363:SGI524370 RWM524363:RWM524370 RMQ524363:RMQ524370 RCU524363:RCU524370 QSY524363:QSY524370 QJC524363:QJC524370 PZG524363:PZG524370 PPK524363:PPK524370 PFO524363:PFO524370 OVS524363:OVS524370 OLW524363:OLW524370 OCA524363:OCA524370 NSE524363:NSE524370 NII524363:NII524370 MYM524363:MYM524370 MOQ524363:MOQ524370 MEU524363:MEU524370 LUY524363:LUY524370 LLC524363:LLC524370 LBG524363:LBG524370 KRK524363:KRK524370 KHO524363:KHO524370 JXS524363:JXS524370 JNW524363:JNW524370 JEA524363:JEA524370 IUE524363:IUE524370 IKI524363:IKI524370 IAM524363:IAM524370 HQQ524363:HQQ524370 HGU524363:HGU524370 GWY524363:GWY524370 GNC524363:GNC524370 GDG524363:GDG524370 FTK524363:FTK524370 FJO524363:FJO524370 EZS524363:EZS524370 EPW524363:EPW524370 EGA524363:EGA524370 DWE524363:DWE524370 DMI524363:DMI524370 DCM524363:DCM524370 CSQ524363:CSQ524370 CIU524363:CIU524370 BYY524363:BYY524370 BPC524363:BPC524370 BFG524363:BFG524370 AVK524363:AVK524370 ALO524363:ALO524370 ABS524363:ABS524370 RW524363:RW524370 IA524363:IA524370 E524363:E524370 WUM458827:WUM458834 WKQ458827:WKQ458834 WAU458827:WAU458834 VQY458827:VQY458834 VHC458827:VHC458834 UXG458827:UXG458834 UNK458827:UNK458834 UDO458827:UDO458834 TTS458827:TTS458834 TJW458827:TJW458834 TAA458827:TAA458834 SQE458827:SQE458834 SGI458827:SGI458834 RWM458827:RWM458834 RMQ458827:RMQ458834 RCU458827:RCU458834 QSY458827:QSY458834 QJC458827:QJC458834 PZG458827:PZG458834 PPK458827:PPK458834 PFO458827:PFO458834 OVS458827:OVS458834 OLW458827:OLW458834 OCA458827:OCA458834 NSE458827:NSE458834 NII458827:NII458834 MYM458827:MYM458834 MOQ458827:MOQ458834 MEU458827:MEU458834 LUY458827:LUY458834 LLC458827:LLC458834 LBG458827:LBG458834 KRK458827:KRK458834 KHO458827:KHO458834 JXS458827:JXS458834 JNW458827:JNW458834 JEA458827:JEA458834 IUE458827:IUE458834 IKI458827:IKI458834 IAM458827:IAM458834 HQQ458827:HQQ458834 HGU458827:HGU458834 GWY458827:GWY458834 GNC458827:GNC458834 GDG458827:GDG458834 FTK458827:FTK458834 FJO458827:FJO458834 EZS458827:EZS458834 EPW458827:EPW458834 EGA458827:EGA458834 DWE458827:DWE458834 DMI458827:DMI458834 DCM458827:DCM458834 CSQ458827:CSQ458834 CIU458827:CIU458834 BYY458827:BYY458834 BPC458827:BPC458834 BFG458827:BFG458834 AVK458827:AVK458834 ALO458827:ALO458834 ABS458827:ABS458834 RW458827:RW458834 IA458827:IA458834 E458827:E458834 WUM393291:WUM393298 WKQ393291:WKQ393298 WAU393291:WAU393298 VQY393291:VQY393298 VHC393291:VHC393298 UXG393291:UXG393298 UNK393291:UNK393298 UDO393291:UDO393298 TTS393291:TTS393298 TJW393291:TJW393298 TAA393291:TAA393298 SQE393291:SQE393298 SGI393291:SGI393298 RWM393291:RWM393298 RMQ393291:RMQ393298 RCU393291:RCU393298 QSY393291:QSY393298 QJC393291:QJC393298 PZG393291:PZG393298 PPK393291:PPK393298 PFO393291:PFO393298 OVS393291:OVS393298 OLW393291:OLW393298 OCA393291:OCA393298 NSE393291:NSE393298 NII393291:NII393298 MYM393291:MYM393298 MOQ393291:MOQ393298 MEU393291:MEU393298 LUY393291:LUY393298 LLC393291:LLC393298 LBG393291:LBG393298 KRK393291:KRK393298 KHO393291:KHO393298 JXS393291:JXS393298 JNW393291:JNW393298 JEA393291:JEA393298 IUE393291:IUE393298 IKI393291:IKI393298 IAM393291:IAM393298 HQQ393291:HQQ393298 HGU393291:HGU393298 GWY393291:GWY393298 GNC393291:GNC393298 GDG393291:GDG393298 FTK393291:FTK393298 FJO393291:FJO393298 EZS393291:EZS393298 EPW393291:EPW393298 EGA393291:EGA393298 DWE393291:DWE393298 DMI393291:DMI393298 DCM393291:DCM393298 CSQ393291:CSQ393298 CIU393291:CIU393298 BYY393291:BYY393298 BPC393291:BPC393298 BFG393291:BFG393298 AVK393291:AVK393298 ALO393291:ALO393298 ABS393291:ABS393298 RW393291:RW393298 IA393291:IA393298 E393291:E393298 WUM327755:WUM327762 WKQ327755:WKQ327762 WAU327755:WAU327762 VQY327755:VQY327762 VHC327755:VHC327762 UXG327755:UXG327762 UNK327755:UNK327762 UDO327755:UDO327762 TTS327755:TTS327762 TJW327755:TJW327762 TAA327755:TAA327762 SQE327755:SQE327762 SGI327755:SGI327762 RWM327755:RWM327762 RMQ327755:RMQ327762 RCU327755:RCU327762 QSY327755:QSY327762 QJC327755:QJC327762 PZG327755:PZG327762 PPK327755:PPK327762 PFO327755:PFO327762 OVS327755:OVS327762 OLW327755:OLW327762 OCA327755:OCA327762 NSE327755:NSE327762 NII327755:NII327762 MYM327755:MYM327762 MOQ327755:MOQ327762 MEU327755:MEU327762 LUY327755:LUY327762 LLC327755:LLC327762 LBG327755:LBG327762 KRK327755:KRK327762 KHO327755:KHO327762 JXS327755:JXS327762 JNW327755:JNW327762 JEA327755:JEA327762 IUE327755:IUE327762 IKI327755:IKI327762 IAM327755:IAM327762 HQQ327755:HQQ327762 HGU327755:HGU327762 GWY327755:GWY327762 GNC327755:GNC327762 GDG327755:GDG327762 FTK327755:FTK327762 FJO327755:FJO327762 EZS327755:EZS327762 EPW327755:EPW327762 EGA327755:EGA327762 DWE327755:DWE327762 DMI327755:DMI327762 DCM327755:DCM327762 CSQ327755:CSQ327762 CIU327755:CIU327762 BYY327755:BYY327762 BPC327755:BPC327762 BFG327755:BFG327762 AVK327755:AVK327762 ALO327755:ALO327762 ABS327755:ABS327762 RW327755:RW327762 IA327755:IA327762 E327755:E327762 WUM262219:WUM262226 WKQ262219:WKQ262226 WAU262219:WAU262226 VQY262219:VQY262226 VHC262219:VHC262226 UXG262219:UXG262226 UNK262219:UNK262226 UDO262219:UDO262226 TTS262219:TTS262226 TJW262219:TJW262226 TAA262219:TAA262226 SQE262219:SQE262226 SGI262219:SGI262226 RWM262219:RWM262226 RMQ262219:RMQ262226 RCU262219:RCU262226 QSY262219:QSY262226 QJC262219:QJC262226 PZG262219:PZG262226 PPK262219:PPK262226 PFO262219:PFO262226 OVS262219:OVS262226 OLW262219:OLW262226 OCA262219:OCA262226 NSE262219:NSE262226 NII262219:NII262226 MYM262219:MYM262226 MOQ262219:MOQ262226 MEU262219:MEU262226 LUY262219:LUY262226 LLC262219:LLC262226 LBG262219:LBG262226 KRK262219:KRK262226 KHO262219:KHO262226 JXS262219:JXS262226 JNW262219:JNW262226 JEA262219:JEA262226 IUE262219:IUE262226 IKI262219:IKI262226 IAM262219:IAM262226 HQQ262219:HQQ262226 HGU262219:HGU262226 GWY262219:GWY262226 GNC262219:GNC262226 GDG262219:GDG262226 FTK262219:FTK262226 FJO262219:FJO262226 EZS262219:EZS262226 EPW262219:EPW262226 EGA262219:EGA262226 DWE262219:DWE262226 DMI262219:DMI262226 DCM262219:DCM262226 CSQ262219:CSQ262226 CIU262219:CIU262226 BYY262219:BYY262226 BPC262219:BPC262226 BFG262219:BFG262226 AVK262219:AVK262226 ALO262219:ALO262226 ABS262219:ABS262226 RW262219:RW262226 IA262219:IA262226 E262219:E262226 WUM196683:WUM196690 WKQ196683:WKQ196690 WAU196683:WAU196690 VQY196683:VQY196690 VHC196683:VHC196690 UXG196683:UXG196690 UNK196683:UNK196690 UDO196683:UDO196690 TTS196683:TTS196690 TJW196683:TJW196690 TAA196683:TAA196690 SQE196683:SQE196690 SGI196683:SGI196690 RWM196683:RWM196690 RMQ196683:RMQ196690 RCU196683:RCU196690 QSY196683:QSY196690 QJC196683:QJC196690 PZG196683:PZG196690 PPK196683:PPK196690 PFO196683:PFO196690 OVS196683:OVS196690 OLW196683:OLW196690 OCA196683:OCA196690 NSE196683:NSE196690 NII196683:NII196690 MYM196683:MYM196690 MOQ196683:MOQ196690 MEU196683:MEU196690 LUY196683:LUY196690 LLC196683:LLC196690 LBG196683:LBG196690 KRK196683:KRK196690 KHO196683:KHO196690 JXS196683:JXS196690 JNW196683:JNW196690 JEA196683:JEA196690 IUE196683:IUE196690 IKI196683:IKI196690 IAM196683:IAM196690 HQQ196683:HQQ196690 HGU196683:HGU196690 GWY196683:GWY196690 GNC196683:GNC196690 GDG196683:GDG196690 FTK196683:FTK196690 FJO196683:FJO196690 EZS196683:EZS196690 EPW196683:EPW196690 EGA196683:EGA196690 DWE196683:DWE196690 DMI196683:DMI196690 DCM196683:DCM196690 CSQ196683:CSQ196690 CIU196683:CIU196690 BYY196683:BYY196690 BPC196683:BPC196690 BFG196683:BFG196690 AVK196683:AVK196690 ALO196683:ALO196690 ABS196683:ABS196690 RW196683:RW196690 IA196683:IA196690 E196683:E196690 WUM131147:WUM131154 WKQ131147:WKQ131154 WAU131147:WAU131154 VQY131147:VQY131154 VHC131147:VHC131154 UXG131147:UXG131154 UNK131147:UNK131154 UDO131147:UDO131154 TTS131147:TTS131154 TJW131147:TJW131154 TAA131147:TAA131154 SQE131147:SQE131154 SGI131147:SGI131154 RWM131147:RWM131154 RMQ131147:RMQ131154 RCU131147:RCU131154 QSY131147:QSY131154 QJC131147:QJC131154 PZG131147:PZG131154 PPK131147:PPK131154 PFO131147:PFO131154 OVS131147:OVS131154 OLW131147:OLW131154 OCA131147:OCA131154 NSE131147:NSE131154 NII131147:NII131154 MYM131147:MYM131154 MOQ131147:MOQ131154 MEU131147:MEU131154 LUY131147:LUY131154 LLC131147:LLC131154 LBG131147:LBG131154 KRK131147:KRK131154 KHO131147:KHO131154 JXS131147:JXS131154 JNW131147:JNW131154 JEA131147:JEA131154 IUE131147:IUE131154 IKI131147:IKI131154 IAM131147:IAM131154 HQQ131147:HQQ131154 HGU131147:HGU131154 GWY131147:GWY131154 GNC131147:GNC131154 GDG131147:GDG131154 FTK131147:FTK131154 FJO131147:FJO131154 EZS131147:EZS131154 EPW131147:EPW131154 EGA131147:EGA131154 DWE131147:DWE131154 DMI131147:DMI131154 DCM131147:DCM131154 CSQ131147:CSQ131154 CIU131147:CIU131154 BYY131147:BYY131154 BPC131147:BPC131154 BFG131147:BFG131154 AVK131147:AVK131154 ALO131147:ALO131154 ABS131147:ABS131154 RW131147:RW131154 IA131147:IA131154 E131147:E131154 WUM65611:WUM65618 WKQ65611:WKQ65618 WAU65611:WAU65618 VQY65611:VQY65618 VHC65611:VHC65618 UXG65611:UXG65618 UNK65611:UNK65618 UDO65611:UDO65618 TTS65611:TTS65618 TJW65611:TJW65618 TAA65611:TAA65618 SQE65611:SQE65618 SGI65611:SGI65618 RWM65611:RWM65618 RMQ65611:RMQ65618 RCU65611:RCU65618 QSY65611:QSY65618 QJC65611:QJC65618 PZG65611:PZG65618 PPK65611:PPK65618 PFO65611:PFO65618 OVS65611:OVS65618 OLW65611:OLW65618 OCA65611:OCA65618 NSE65611:NSE65618 NII65611:NII65618 MYM65611:MYM65618 MOQ65611:MOQ65618 MEU65611:MEU65618 LUY65611:LUY65618 LLC65611:LLC65618 LBG65611:LBG65618 KRK65611:KRK65618 KHO65611:KHO65618 JXS65611:JXS65618 JNW65611:JNW65618 JEA65611:JEA65618 IUE65611:IUE65618 IKI65611:IKI65618 IAM65611:IAM65618 HQQ65611:HQQ65618 HGU65611:HGU65618 GWY65611:GWY65618 GNC65611:GNC65618 GDG65611:GDG65618 FTK65611:FTK65618 FJO65611:FJO65618 EZS65611:EZS65618 EPW65611:EPW65618 EGA65611:EGA65618 DWE65611:DWE65618 DMI65611:DMI65618 DCM65611:DCM65618 CSQ65611:CSQ65618 CIU65611:CIU65618 BYY65611:BYY65618 BPC65611:BPC65618 BFG65611:BFG65618 AVK65611:AVK65618 ALO65611:ALO65618 ABS65611:ABS65618 RW65611:RW65618 IA65611:IA65618 E65611:E65618 WUM983109:WUM983111 WKQ983109:WKQ983111 WAU983109:WAU983111 VQY983109:VQY983111 VHC983109:VHC983111 UXG983109:UXG983111 UNK983109:UNK983111 UDO983109:UDO983111 TTS983109:TTS983111 TJW983109:TJW983111 TAA983109:TAA983111 SQE983109:SQE983111 SGI983109:SGI983111 RWM983109:RWM983111 RMQ983109:RMQ983111 RCU983109:RCU983111 QSY983109:QSY983111 QJC983109:QJC983111 PZG983109:PZG983111 PPK983109:PPK983111 PFO983109:PFO983111 OVS983109:OVS983111 OLW983109:OLW983111 OCA983109:OCA983111 NSE983109:NSE983111 NII983109:NII983111 MYM983109:MYM983111 MOQ983109:MOQ983111 MEU983109:MEU983111 LUY983109:LUY983111 LLC983109:LLC983111 LBG983109:LBG983111 KRK983109:KRK983111 KHO983109:KHO983111 JXS983109:JXS983111 JNW983109:JNW983111 JEA983109:JEA983111 IUE983109:IUE983111 IKI983109:IKI983111 IAM983109:IAM983111 HQQ983109:HQQ983111 HGU983109:HGU983111 GWY983109:GWY983111 GNC983109:GNC983111 GDG983109:GDG983111 FTK983109:FTK983111 FJO983109:FJO983111 EZS983109:EZS983111 EPW983109:EPW983111 EGA983109:EGA983111 DWE983109:DWE983111 DMI983109:DMI983111 DCM983109:DCM983111 CSQ983109:CSQ983111 CIU983109:CIU983111 BYY983109:BYY983111 BPC983109:BPC983111 BFG983109:BFG983111 AVK983109:AVK983111 ALO983109:ALO983111 ABS983109:ABS983111 RW983109:RW983111 IA983109:IA983111 E983109:E983111 WUM917573:WUM917575 WKQ917573:WKQ917575 WAU917573:WAU917575 VQY917573:VQY917575 VHC917573:VHC917575 UXG917573:UXG917575 UNK917573:UNK917575 UDO917573:UDO917575 TTS917573:TTS917575 TJW917573:TJW917575 TAA917573:TAA917575 SQE917573:SQE917575 SGI917573:SGI917575 RWM917573:RWM917575 RMQ917573:RMQ917575 RCU917573:RCU917575 QSY917573:QSY917575 QJC917573:QJC917575 PZG917573:PZG917575 PPK917573:PPK917575 PFO917573:PFO917575 OVS917573:OVS917575 OLW917573:OLW917575 OCA917573:OCA917575 NSE917573:NSE917575 NII917573:NII917575 MYM917573:MYM917575 MOQ917573:MOQ917575 MEU917573:MEU917575 LUY917573:LUY917575 LLC917573:LLC917575 LBG917573:LBG917575 KRK917573:KRK917575 KHO917573:KHO917575 JXS917573:JXS917575 JNW917573:JNW917575 JEA917573:JEA917575 IUE917573:IUE917575 IKI917573:IKI917575 IAM917573:IAM917575 HQQ917573:HQQ917575 HGU917573:HGU917575 GWY917573:GWY917575 GNC917573:GNC917575 GDG917573:GDG917575 FTK917573:FTK917575 FJO917573:FJO917575 EZS917573:EZS917575 EPW917573:EPW917575 EGA917573:EGA917575 DWE917573:DWE917575 DMI917573:DMI917575 DCM917573:DCM917575 CSQ917573:CSQ917575 CIU917573:CIU917575 BYY917573:BYY917575 BPC917573:BPC917575 BFG917573:BFG917575 AVK917573:AVK917575 ALO917573:ALO917575 ABS917573:ABS917575 RW917573:RW917575 IA917573:IA917575 E917573:E917575 WUM852037:WUM852039 WKQ852037:WKQ852039 WAU852037:WAU852039 VQY852037:VQY852039 VHC852037:VHC852039 UXG852037:UXG852039 UNK852037:UNK852039 UDO852037:UDO852039 TTS852037:TTS852039 TJW852037:TJW852039 TAA852037:TAA852039 SQE852037:SQE852039 SGI852037:SGI852039 RWM852037:RWM852039 RMQ852037:RMQ852039 RCU852037:RCU852039 QSY852037:QSY852039 QJC852037:QJC852039 PZG852037:PZG852039 PPK852037:PPK852039 PFO852037:PFO852039 OVS852037:OVS852039 OLW852037:OLW852039 OCA852037:OCA852039 NSE852037:NSE852039 NII852037:NII852039 MYM852037:MYM852039 MOQ852037:MOQ852039 MEU852037:MEU852039 LUY852037:LUY852039 LLC852037:LLC852039 LBG852037:LBG852039 KRK852037:KRK852039 KHO852037:KHO852039 JXS852037:JXS852039 JNW852037:JNW852039 JEA852037:JEA852039 IUE852037:IUE852039 IKI852037:IKI852039 IAM852037:IAM852039 HQQ852037:HQQ852039 HGU852037:HGU852039 GWY852037:GWY852039 GNC852037:GNC852039 GDG852037:GDG852039 FTK852037:FTK852039 FJO852037:FJO852039 EZS852037:EZS852039 EPW852037:EPW852039 EGA852037:EGA852039 DWE852037:DWE852039 DMI852037:DMI852039 DCM852037:DCM852039 CSQ852037:CSQ852039 CIU852037:CIU852039 BYY852037:BYY852039 BPC852037:BPC852039 BFG852037:BFG852039 AVK852037:AVK852039 ALO852037:ALO852039 ABS852037:ABS852039 RW852037:RW852039 IA852037:IA852039 E852037:E852039 WUM786501:WUM786503 WKQ786501:WKQ786503 WAU786501:WAU786503 VQY786501:VQY786503 VHC786501:VHC786503 UXG786501:UXG786503 UNK786501:UNK786503 UDO786501:UDO786503 TTS786501:TTS786503 TJW786501:TJW786503 TAA786501:TAA786503 SQE786501:SQE786503 SGI786501:SGI786503 RWM786501:RWM786503 RMQ786501:RMQ786503 RCU786501:RCU786503 QSY786501:QSY786503 QJC786501:QJC786503 PZG786501:PZG786503 PPK786501:PPK786503 PFO786501:PFO786503 OVS786501:OVS786503 OLW786501:OLW786503 OCA786501:OCA786503 NSE786501:NSE786503 NII786501:NII786503 MYM786501:MYM786503 MOQ786501:MOQ786503 MEU786501:MEU786503 LUY786501:LUY786503 LLC786501:LLC786503 LBG786501:LBG786503 KRK786501:KRK786503 KHO786501:KHO786503 JXS786501:JXS786503 JNW786501:JNW786503 JEA786501:JEA786503 IUE786501:IUE786503 IKI786501:IKI786503 IAM786501:IAM786503 HQQ786501:HQQ786503 HGU786501:HGU786503 GWY786501:GWY786503 GNC786501:GNC786503 GDG786501:GDG786503 FTK786501:FTK786503 FJO786501:FJO786503 EZS786501:EZS786503 EPW786501:EPW786503 EGA786501:EGA786503 DWE786501:DWE786503 DMI786501:DMI786503 DCM786501:DCM786503 CSQ786501:CSQ786503 CIU786501:CIU786503 BYY786501:BYY786503 BPC786501:BPC786503 BFG786501:BFG786503 AVK786501:AVK786503 ALO786501:ALO786503 ABS786501:ABS786503 RW786501:RW786503 IA786501:IA786503 E786501:E786503 WUM720965:WUM720967 WKQ720965:WKQ720967 WAU720965:WAU720967 VQY720965:VQY720967 VHC720965:VHC720967 UXG720965:UXG720967 UNK720965:UNK720967 UDO720965:UDO720967 TTS720965:TTS720967 TJW720965:TJW720967 TAA720965:TAA720967 SQE720965:SQE720967 SGI720965:SGI720967 RWM720965:RWM720967 RMQ720965:RMQ720967 RCU720965:RCU720967 QSY720965:QSY720967 QJC720965:QJC720967 PZG720965:PZG720967 PPK720965:PPK720967 PFO720965:PFO720967 OVS720965:OVS720967 OLW720965:OLW720967 OCA720965:OCA720967 NSE720965:NSE720967 NII720965:NII720967 MYM720965:MYM720967 MOQ720965:MOQ720967 MEU720965:MEU720967 LUY720965:LUY720967 LLC720965:LLC720967 LBG720965:LBG720967 KRK720965:KRK720967 KHO720965:KHO720967 JXS720965:JXS720967 JNW720965:JNW720967 JEA720965:JEA720967 IUE720965:IUE720967 IKI720965:IKI720967 IAM720965:IAM720967 HQQ720965:HQQ720967 HGU720965:HGU720967 GWY720965:GWY720967 GNC720965:GNC720967 GDG720965:GDG720967 FTK720965:FTK720967 FJO720965:FJO720967 EZS720965:EZS720967 EPW720965:EPW720967 EGA720965:EGA720967 DWE720965:DWE720967 DMI720965:DMI720967 DCM720965:DCM720967 CSQ720965:CSQ720967 CIU720965:CIU720967 BYY720965:BYY720967 BPC720965:BPC720967 BFG720965:BFG720967 AVK720965:AVK720967 ALO720965:ALO720967 ABS720965:ABS720967 RW720965:RW720967 IA720965:IA720967 E720965:E720967 WUM655429:WUM655431 WKQ655429:WKQ655431 WAU655429:WAU655431 VQY655429:VQY655431 VHC655429:VHC655431 UXG655429:UXG655431 UNK655429:UNK655431 UDO655429:UDO655431 TTS655429:TTS655431 TJW655429:TJW655431 TAA655429:TAA655431 SQE655429:SQE655431 SGI655429:SGI655431 RWM655429:RWM655431 RMQ655429:RMQ655431 RCU655429:RCU655431 QSY655429:QSY655431 QJC655429:QJC655431 PZG655429:PZG655431 PPK655429:PPK655431 PFO655429:PFO655431 OVS655429:OVS655431 OLW655429:OLW655431 OCA655429:OCA655431 NSE655429:NSE655431 NII655429:NII655431 MYM655429:MYM655431 MOQ655429:MOQ655431 MEU655429:MEU655431 LUY655429:LUY655431 LLC655429:LLC655431 LBG655429:LBG655431 KRK655429:KRK655431 KHO655429:KHO655431 JXS655429:JXS655431 JNW655429:JNW655431 JEA655429:JEA655431 IUE655429:IUE655431 IKI655429:IKI655431 IAM655429:IAM655431 HQQ655429:HQQ655431 HGU655429:HGU655431 GWY655429:GWY655431 GNC655429:GNC655431 GDG655429:GDG655431 FTK655429:FTK655431 FJO655429:FJO655431 EZS655429:EZS655431 EPW655429:EPW655431 EGA655429:EGA655431 DWE655429:DWE655431 DMI655429:DMI655431 DCM655429:DCM655431 CSQ655429:CSQ655431 CIU655429:CIU655431 BYY655429:BYY655431 BPC655429:BPC655431 BFG655429:BFG655431 AVK655429:AVK655431 ALO655429:ALO655431 ABS655429:ABS655431 RW655429:RW655431 IA655429:IA655431 E655429:E655431 WUM589893:WUM589895 WKQ589893:WKQ589895 WAU589893:WAU589895 VQY589893:VQY589895 VHC589893:VHC589895 UXG589893:UXG589895 UNK589893:UNK589895 UDO589893:UDO589895 TTS589893:TTS589895 TJW589893:TJW589895 TAA589893:TAA589895 SQE589893:SQE589895 SGI589893:SGI589895 RWM589893:RWM589895 RMQ589893:RMQ589895 RCU589893:RCU589895 QSY589893:QSY589895 QJC589893:QJC589895 PZG589893:PZG589895 PPK589893:PPK589895 PFO589893:PFO589895 OVS589893:OVS589895 OLW589893:OLW589895 OCA589893:OCA589895 NSE589893:NSE589895 NII589893:NII589895 MYM589893:MYM589895 MOQ589893:MOQ589895 MEU589893:MEU589895 LUY589893:LUY589895 LLC589893:LLC589895 LBG589893:LBG589895 KRK589893:KRK589895 KHO589893:KHO589895 JXS589893:JXS589895 JNW589893:JNW589895 JEA589893:JEA589895 IUE589893:IUE589895 IKI589893:IKI589895 IAM589893:IAM589895 HQQ589893:HQQ589895 HGU589893:HGU589895 GWY589893:GWY589895 GNC589893:GNC589895 GDG589893:GDG589895 FTK589893:FTK589895 FJO589893:FJO589895 EZS589893:EZS589895 EPW589893:EPW589895 EGA589893:EGA589895 DWE589893:DWE589895 DMI589893:DMI589895 DCM589893:DCM589895 CSQ589893:CSQ589895 CIU589893:CIU589895 BYY589893:BYY589895 BPC589893:BPC589895 BFG589893:BFG589895 AVK589893:AVK589895 ALO589893:ALO589895 ABS589893:ABS589895 RW589893:RW589895 IA589893:IA589895 E589893:E589895 WUM524357:WUM524359 WKQ524357:WKQ524359 WAU524357:WAU524359 VQY524357:VQY524359 VHC524357:VHC524359 UXG524357:UXG524359 UNK524357:UNK524359 UDO524357:UDO524359 TTS524357:TTS524359 TJW524357:TJW524359 TAA524357:TAA524359 SQE524357:SQE524359 SGI524357:SGI524359 RWM524357:RWM524359 RMQ524357:RMQ524359 RCU524357:RCU524359 QSY524357:QSY524359 QJC524357:QJC524359 PZG524357:PZG524359 PPK524357:PPK524359 PFO524357:PFO524359 OVS524357:OVS524359 OLW524357:OLW524359 OCA524357:OCA524359 NSE524357:NSE524359 NII524357:NII524359 MYM524357:MYM524359 MOQ524357:MOQ524359 MEU524357:MEU524359 LUY524357:LUY524359 LLC524357:LLC524359 LBG524357:LBG524359 KRK524357:KRK524359 KHO524357:KHO524359 JXS524357:JXS524359 JNW524357:JNW524359 JEA524357:JEA524359 IUE524357:IUE524359 IKI524357:IKI524359 IAM524357:IAM524359 HQQ524357:HQQ524359 HGU524357:HGU524359 GWY524357:GWY524359 GNC524357:GNC524359 GDG524357:GDG524359 FTK524357:FTK524359 FJO524357:FJO524359 EZS524357:EZS524359 EPW524357:EPW524359 EGA524357:EGA524359 DWE524357:DWE524359 DMI524357:DMI524359 DCM524357:DCM524359 CSQ524357:CSQ524359 CIU524357:CIU524359 BYY524357:BYY524359 BPC524357:BPC524359 BFG524357:BFG524359 AVK524357:AVK524359 ALO524357:ALO524359 ABS524357:ABS524359 RW524357:RW524359 IA524357:IA524359 E524357:E524359 WUM458821:WUM458823 WKQ458821:WKQ458823 WAU458821:WAU458823 VQY458821:VQY458823 VHC458821:VHC458823 UXG458821:UXG458823 UNK458821:UNK458823 UDO458821:UDO458823 TTS458821:TTS458823 TJW458821:TJW458823 TAA458821:TAA458823 SQE458821:SQE458823 SGI458821:SGI458823 RWM458821:RWM458823 RMQ458821:RMQ458823 RCU458821:RCU458823 QSY458821:QSY458823 QJC458821:QJC458823 PZG458821:PZG458823 PPK458821:PPK458823 PFO458821:PFO458823 OVS458821:OVS458823 OLW458821:OLW458823 OCA458821:OCA458823 NSE458821:NSE458823 NII458821:NII458823 MYM458821:MYM458823 MOQ458821:MOQ458823 MEU458821:MEU458823 LUY458821:LUY458823 LLC458821:LLC458823 LBG458821:LBG458823 KRK458821:KRK458823 KHO458821:KHO458823 JXS458821:JXS458823 JNW458821:JNW458823 JEA458821:JEA458823 IUE458821:IUE458823 IKI458821:IKI458823 IAM458821:IAM458823 HQQ458821:HQQ458823 HGU458821:HGU458823 GWY458821:GWY458823 GNC458821:GNC458823 GDG458821:GDG458823 FTK458821:FTK458823 FJO458821:FJO458823 EZS458821:EZS458823 EPW458821:EPW458823 EGA458821:EGA458823 DWE458821:DWE458823 DMI458821:DMI458823 DCM458821:DCM458823 CSQ458821:CSQ458823 CIU458821:CIU458823 BYY458821:BYY458823 BPC458821:BPC458823 BFG458821:BFG458823 AVK458821:AVK458823 ALO458821:ALO458823 ABS458821:ABS458823 RW458821:RW458823 IA458821:IA458823 E458821:E458823 WUM393285:WUM393287 WKQ393285:WKQ393287 WAU393285:WAU393287 VQY393285:VQY393287 VHC393285:VHC393287 UXG393285:UXG393287 UNK393285:UNK393287 UDO393285:UDO393287 TTS393285:TTS393287 TJW393285:TJW393287 TAA393285:TAA393287 SQE393285:SQE393287 SGI393285:SGI393287 RWM393285:RWM393287 RMQ393285:RMQ393287 RCU393285:RCU393287 QSY393285:QSY393287 QJC393285:QJC393287 PZG393285:PZG393287 PPK393285:PPK393287 PFO393285:PFO393287 OVS393285:OVS393287 OLW393285:OLW393287 OCA393285:OCA393287 NSE393285:NSE393287 NII393285:NII393287 MYM393285:MYM393287 MOQ393285:MOQ393287 MEU393285:MEU393287 LUY393285:LUY393287 LLC393285:LLC393287 LBG393285:LBG393287 KRK393285:KRK393287 KHO393285:KHO393287 JXS393285:JXS393287 JNW393285:JNW393287 JEA393285:JEA393287 IUE393285:IUE393287 IKI393285:IKI393287 IAM393285:IAM393287 HQQ393285:HQQ393287 HGU393285:HGU393287 GWY393285:GWY393287 GNC393285:GNC393287 GDG393285:GDG393287 FTK393285:FTK393287 FJO393285:FJO393287 EZS393285:EZS393287 EPW393285:EPW393287 EGA393285:EGA393287 DWE393285:DWE393287 DMI393285:DMI393287 DCM393285:DCM393287 CSQ393285:CSQ393287 CIU393285:CIU393287 BYY393285:BYY393287 BPC393285:BPC393287 BFG393285:BFG393287 AVK393285:AVK393287 ALO393285:ALO393287 ABS393285:ABS393287 RW393285:RW393287 IA393285:IA393287 E393285:E393287 WUM327749:WUM327751 WKQ327749:WKQ327751 WAU327749:WAU327751 VQY327749:VQY327751 VHC327749:VHC327751 UXG327749:UXG327751 UNK327749:UNK327751 UDO327749:UDO327751 TTS327749:TTS327751 TJW327749:TJW327751 TAA327749:TAA327751 SQE327749:SQE327751 SGI327749:SGI327751 RWM327749:RWM327751 RMQ327749:RMQ327751 RCU327749:RCU327751 QSY327749:QSY327751 QJC327749:QJC327751 PZG327749:PZG327751 PPK327749:PPK327751 PFO327749:PFO327751 OVS327749:OVS327751 OLW327749:OLW327751 OCA327749:OCA327751 NSE327749:NSE327751 NII327749:NII327751 MYM327749:MYM327751 MOQ327749:MOQ327751 MEU327749:MEU327751 LUY327749:LUY327751 LLC327749:LLC327751 LBG327749:LBG327751 KRK327749:KRK327751 KHO327749:KHO327751 JXS327749:JXS327751 JNW327749:JNW327751 JEA327749:JEA327751 IUE327749:IUE327751 IKI327749:IKI327751 IAM327749:IAM327751 HQQ327749:HQQ327751 HGU327749:HGU327751 GWY327749:GWY327751 GNC327749:GNC327751 GDG327749:GDG327751 FTK327749:FTK327751 FJO327749:FJO327751 EZS327749:EZS327751 EPW327749:EPW327751 EGA327749:EGA327751 DWE327749:DWE327751 DMI327749:DMI327751 DCM327749:DCM327751 CSQ327749:CSQ327751 CIU327749:CIU327751 BYY327749:BYY327751 BPC327749:BPC327751 BFG327749:BFG327751 AVK327749:AVK327751 ALO327749:ALO327751 ABS327749:ABS327751 RW327749:RW327751 IA327749:IA327751 E327749:E327751 WUM262213:WUM262215 WKQ262213:WKQ262215 WAU262213:WAU262215 VQY262213:VQY262215 VHC262213:VHC262215 UXG262213:UXG262215 UNK262213:UNK262215 UDO262213:UDO262215 TTS262213:TTS262215 TJW262213:TJW262215 TAA262213:TAA262215 SQE262213:SQE262215 SGI262213:SGI262215 RWM262213:RWM262215 RMQ262213:RMQ262215 RCU262213:RCU262215 QSY262213:QSY262215 QJC262213:QJC262215 PZG262213:PZG262215 PPK262213:PPK262215 PFO262213:PFO262215 OVS262213:OVS262215 OLW262213:OLW262215 OCA262213:OCA262215 NSE262213:NSE262215 NII262213:NII262215 MYM262213:MYM262215 MOQ262213:MOQ262215 MEU262213:MEU262215 LUY262213:LUY262215 LLC262213:LLC262215 LBG262213:LBG262215 KRK262213:KRK262215 KHO262213:KHO262215 JXS262213:JXS262215 JNW262213:JNW262215 JEA262213:JEA262215 IUE262213:IUE262215 IKI262213:IKI262215 IAM262213:IAM262215 HQQ262213:HQQ262215 HGU262213:HGU262215 GWY262213:GWY262215 GNC262213:GNC262215 GDG262213:GDG262215 FTK262213:FTK262215 FJO262213:FJO262215 EZS262213:EZS262215 EPW262213:EPW262215 EGA262213:EGA262215 DWE262213:DWE262215 DMI262213:DMI262215 DCM262213:DCM262215 CSQ262213:CSQ262215 CIU262213:CIU262215 BYY262213:BYY262215 BPC262213:BPC262215 BFG262213:BFG262215 AVK262213:AVK262215 ALO262213:ALO262215 ABS262213:ABS262215 RW262213:RW262215 IA262213:IA262215 E262213:E262215 WUM196677:WUM196679 WKQ196677:WKQ196679 WAU196677:WAU196679 VQY196677:VQY196679 VHC196677:VHC196679 UXG196677:UXG196679 UNK196677:UNK196679 UDO196677:UDO196679 TTS196677:TTS196679 TJW196677:TJW196679 TAA196677:TAA196679 SQE196677:SQE196679 SGI196677:SGI196679 RWM196677:RWM196679 RMQ196677:RMQ196679 RCU196677:RCU196679 QSY196677:QSY196679 QJC196677:QJC196679 PZG196677:PZG196679 PPK196677:PPK196679 PFO196677:PFO196679 OVS196677:OVS196679 OLW196677:OLW196679 OCA196677:OCA196679 NSE196677:NSE196679 NII196677:NII196679 MYM196677:MYM196679 MOQ196677:MOQ196679 MEU196677:MEU196679 LUY196677:LUY196679 LLC196677:LLC196679 LBG196677:LBG196679 KRK196677:KRK196679 KHO196677:KHO196679 JXS196677:JXS196679 JNW196677:JNW196679 JEA196677:JEA196679 IUE196677:IUE196679 IKI196677:IKI196679 IAM196677:IAM196679 HQQ196677:HQQ196679 HGU196677:HGU196679 GWY196677:GWY196679 GNC196677:GNC196679 GDG196677:GDG196679 FTK196677:FTK196679 FJO196677:FJO196679 EZS196677:EZS196679 EPW196677:EPW196679 EGA196677:EGA196679 DWE196677:DWE196679 DMI196677:DMI196679 DCM196677:DCM196679 CSQ196677:CSQ196679 CIU196677:CIU196679 BYY196677:BYY196679 BPC196677:BPC196679 BFG196677:BFG196679 AVK196677:AVK196679 ALO196677:ALO196679 ABS196677:ABS196679 RW196677:RW196679 IA196677:IA196679 E196677:E196679 WUM131141:WUM131143 WKQ131141:WKQ131143 WAU131141:WAU131143 VQY131141:VQY131143 VHC131141:VHC131143 UXG131141:UXG131143 UNK131141:UNK131143 UDO131141:UDO131143 TTS131141:TTS131143 TJW131141:TJW131143 TAA131141:TAA131143 SQE131141:SQE131143 SGI131141:SGI131143 RWM131141:RWM131143 RMQ131141:RMQ131143 RCU131141:RCU131143 QSY131141:QSY131143 QJC131141:QJC131143 PZG131141:PZG131143 PPK131141:PPK131143 PFO131141:PFO131143 OVS131141:OVS131143 OLW131141:OLW131143 OCA131141:OCA131143 NSE131141:NSE131143 NII131141:NII131143 MYM131141:MYM131143 MOQ131141:MOQ131143 MEU131141:MEU131143 LUY131141:LUY131143 LLC131141:LLC131143 LBG131141:LBG131143 KRK131141:KRK131143 KHO131141:KHO131143 JXS131141:JXS131143 JNW131141:JNW131143 JEA131141:JEA131143 IUE131141:IUE131143 IKI131141:IKI131143 IAM131141:IAM131143 HQQ131141:HQQ131143 HGU131141:HGU131143 GWY131141:GWY131143 GNC131141:GNC131143 GDG131141:GDG131143 FTK131141:FTK131143 FJO131141:FJO131143 EZS131141:EZS131143 EPW131141:EPW131143 EGA131141:EGA131143 DWE131141:DWE131143 DMI131141:DMI131143 DCM131141:DCM131143 CSQ131141:CSQ131143 CIU131141:CIU131143 BYY131141:BYY131143 BPC131141:BPC131143 BFG131141:BFG131143 AVK131141:AVK131143 ALO131141:ALO131143 ABS131141:ABS131143 RW131141:RW131143 IA131141:IA131143 E131141:E131143 WUM65605:WUM65607 WKQ65605:WKQ65607 WAU65605:WAU65607 VQY65605:VQY65607 VHC65605:VHC65607 UXG65605:UXG65607 UNK65605:UNK65607 UDO65605:UDO65607 TTS65605:TTS65607 TJW65605:TJW65607 TAA65605:TAA65607 SQE65605:SQE65607 SGI65605:SGI65607 RWM65605:RWM65607 RMQ65605:RMQ65607 RCU65605:RCU65607 QSY65605:QSY65607 QJC65605:QJC65607 PZG65605:PZG65607 PPK65605:PPK65607 PFO65605:PFO65607 OVS65605:OVS65607 OLW65605:OLW65607 OCA65605:OCA65607 NSE65605:NSE65607 NII65605:NII65607 MYM65605:MYM65607 MOQ65605:MOQ65607 MEU65605:MEU65607 LUY65605:LUY65607 LLC65605:LLC65607 LBG65605:LBG65607 KRK65605:KRK65607 KHO65605:KHO65607 JXS65605:JXS65607 JNW65605:JNW65607 JEA65605:JEA65607 IUE65605:IUE65607 IKI65605:IKI65607 IAM65605:IAM65607 HQQ65605:HQQ65607 HGU65605:HGU65607 GWY65605:GWY65607 GNC65605:GNC65607 GDG65605:GDG65607 FTK65605:FTK65607 FJO65605:FJO65607 EZS65605:EZS65607 EPW65605:EPW65607 EGA65605:EGA65607 DWE65605:DWE65607 DMI65605:DMI65607 DCM65605:DCM65607 CSQ65605:CSQ65607 CIU65605:CIU65607 BYY65605:BYY65607 BPC65605:BPC65607 BFG65605:BFG65607 AVK65605:AVK65607 ALO65605:ALO65607 ABS65605:ABS65607 RW65605:RW65607 IA65605:IA65607 E65605:E65607 WUM983098:WUM983107 WKQ983098:WKQ983107 WAU983098:WAU983107 VQY983098:VQY983107 VHC983098:VHC983107 UXG983098:UXG983107 UNK983098:UNK983107 UDO983098:UDO983107 TTS983098:TTS983107 TJW983098:TJW983107 TAA983098:TAA983107 SQE983098:SQE983107 SGI983098:SGI983107 RWM983098:RWM983107 RMQ983098:RMQ983107 RCU983098:RCU983107 QSY983098:QSY983107 QJC983098:QJC983107 PZG983098:PZG983107 PPK983098:PPK983107 PFO983098:PFO983107 OVS983098:OVS983107 OLW983098:OLW983107 OCA983098:OCA983107 NSE983098:NSE983107 NII983098:NII983107 MYM983098:MYM983107 MOQ983098:MOQ983107 MEU983098:MEU983107 LUY983098:LUY983107 LLC983098:LLC983107 LBG983098:LBG983107 KRK983098:KRK983107 KHO983098:KHO983107 JXS983098:JXS983107 JNW983098:JNW983107 JEA983098:JEA983107 IUE983098:IUE983107 IKI983098:IKI983107 IAM983098:IAM983107 HQQ983098:HQQ983107 HGU983098:HGU983107 GWY983098:GWY983107 GNC983098:GNC983107 GDG983098:GDG983107 FTK983098:FTK983107 FJO983098:FJO983107 EZS983098:EZS983107 EPW983098:EPW983107 EGA983098:EGA983107 DWE983098:DWE983107 DMI983098:DMI983107 DCM983098:DCM983107 CSQ983098:CSQ983107 CIU983098:CIU983107 BYY983098:BYY983107 BPC983098:BPC983107 BFG983098:BFG983107 AVK983098:AVK983107 ALO983098:ALO983107 ABS983098:ABS983107 RW983098:RW983107 IA983098:IA983107 E983098:E983107 WUM917562:WUM917571 WKQ917562:WKQ917571 WAU917562:WAU917571 VQY917562:VQY917571 VHC917562:VHC917571 UXG917562:UXG917571 UNK917562:UNK917571 UDO917562:UDO917571 TTS917562:TTS917571 TJW917562:TJW917571 TAA917562:TAA917571 SQE917562:SQE917571 SGI917562:SGI917571 RWM917562:RWM917571 RMQ917562:RMQ917571 RCU917562:RCU917571 QSY917562:QSY917571 QJC917562:QJC917571 PZG917562:PZG917571 PPK917562:PPK917571 PFO917562:PFO917571 OVS917562:OVS917571 OLW917562:OLW917571 OCA917562:OCA917571 NSE917562:NSE917571 NII917562:NII917571 MYM917562:MYM917571 MOQ917562:MOQ917571 MEU917562:MEU917571 LUY917562:LUY917571 LLC917562:LLC917571 LBG917562:LBG917571 KRK917562:KRK917571 KHO917562:KHO917571 JXS917562:JXS917571 JNW917562:JNW917571 JEA917562:JEA917571 IUE917562:IUE917571 IKI917562:IKI917571 IAM917562:IAM917571 HQQ917562:HQQ917571 HGU917562:HGU917571 GWY917562:GWY917571 GNC917562:GNC917571 GDG917562:GDG917571 FTK917562:FTK917571 FJO917562:FJO917571 EZS917562:EZS917571 EPW917562:EPW917571 EGA917562:EGA917571 DWE917562:DWE917571 DMI917562:DMI917571 DCM917562:DCM917571 CSQ917562:CSQ917571 CIU917562:CIU917571 BYY917562:BYY917571 BPC917562:BPC917571 BFG917562:BFG917571 AVK917562:AVK917571 ALO917562:ALO917571 ABS917562:ABS917571 RW917562:RW917571 IA917562:IA917571 E917562:E917571 WUM852026:WUM852035 WKQ852026:WKQ852035 WAU852026:WAU852035 VQY852026:VQY852035 VHC852026:VHC852035 UXG852026:UXG852035 UNK852026:UNK852035 UDO852026:UDO852035 TTS852026:TTS852035 TJW852026:TJW852035 TAA852026:TAA852035 SQE852026:SQE852035 SGI852026:SGI852035 RWM852026:RWM852035 RMQ852026:RMQ852035 RCU852026:RCU852035 QSY852026:QSY852035 QJC852026:QJC852035 PZG852026:PZG852035 PPK852026:PPK852035 PFO852026:PFO852035 OVS852026:OVS852035 OLW852026:OLW852035 OCA852026:OCA852035 NSE852026:NSE852035 NII852026:NII852035 MYM852026:MYM852035 MOQ852026:MOQ852035 MEU852026:MEU852035 LUY852026:LUY852035 LLC852026:LLC852035 LBG852026:LBG852035 KRK852026:KRK852035 KHO852026:KHO852035 JXS852026:JXS852035 JNW852026:JNW852035 JEA852026:JEA852035 IUE852026:IUE852035 IKI852026:IKI852035 IAM852026:IAM852035 HQQ852026:HQQ852035 HGU852026:HGU852035 GWY852026:GWY852035 GNC852026:GNC852035 GDG852026:GDG852035 FTK852026:FTK852035 FJO852026:FJO852035 EZS852026:EZS852035 EPW852026:EPW852035 EGA852026:EGA852035 DWE852026:DWE852035 DMI852026:DMI852035 DCM852026:DCM852035 CSQ852026:CSQ852035 CIU852026:CIU852035 BYY852026:BYY852035 BPC852026:BPC852035 BFG852026:BFG852035 AVK852026:AVK852035 ALO852026:ALO852035 ABS852026:ABS852035 RW852026:RW852035 IA852026:IA852035 E852026:E852035 WUM786490:WUM786499 WKQ786490:WKQ786499 WAU786490:WAU786499 VQY786490:VQY786499 VHC786490:VHC786499 UXG786490:UXG786499 UNK786490:UNK786499 UDO786490:UDO786499 TTS786490:TTS786499 TJW786490:TJW786499 TAA786490:TAA786499 SQE786490:SQE786499 SGI786490:SGI786499 RWM786490:RWM786499 RMQ786490:RMQ786499 RCU786490:RCU786499 QSY786490:QSY786499 QJC786490:QJC786499 PZG786490:PZG786499 PPK786490:PPK786499 PFO786490:PFO786499 OVS786490:OVS786499 OLW786490:OLW786499 OCA786490:OCA786499 NSE786490:NSE786499 NII786490:NII786499 MYM786490:MYM786499 MOQ786490:MOQ786499 MEU786490:MEU786499 LUY786490:LUY786499 LLC786490:LLC786499 LBG786490:LBG786499 KRK786490:KRK786499 KHO786490:KHO786499 JXS786490:JXS786499 JNW786490:JNW786499 JEA786490:JEA786499 IUE786490:IUE786499 IKI786490:IKI786499 IAM786490:IAM786499 HQQ786490:HQQ786499 HGU786490:HGU786499 GWY786490:GWY786499 GNC786490:GNC786499 GDG786490:GDG786499 FTK786490:FTK786499 FJO786490:FJO786499 EZS786490:EZS786499 EPW786490:EPW786499 EGA786490:EGA786499 DWE786490:DWE786499 DMI786490:DMI786499 DCM786490:DCM786499 CSQ786490:CSQ786499 CIU786490:CIU786499 BYY786490:BYY786499 BPC786490:BPC786499 BFG786490:BFG786499 AVK786490:AVK786499 ALO786490:ALO786499 ABS786490:ABS786499 RW786490:RW786499 IA786490:IA786499 E786490:E786499 WUM720954:WUM720963 WKQ720954:WKQ720963 WAU720954:WAU720963 VQY720954:VQY720963 VHC720954:VHC720963 UXG720954:UXG720963 UNK720954:UNK720963 UDO720954:UDO720963 TTS720954:TTS720963 TJW720954:TJW720963 TAA720954:TAA720963 SQE720954:SQE720963 SGI720954:SGI720963 RWM720954:RWM720963 RMQ720954:RMQ720963 RCU720954:RCU720963 QSY720954:QSY720963 QJC720954:QJC720963 PZG720954:PZG720963 PPK720954:PPK720963 PFO720954:PFO720963 OVS720954:OVS720963 OLW720954:OLW720963 OCA720954:OCA720963 NSE720954:NSE720963 NII720954:NII720963 MYM720954:MYM720963 MOQ720954:MOQ720963 MEU720954:MEU720963 LUY720954:LUY720963 LLC720954:LLC720963 LBG720954:LBG720963 KRK720954:KRK720963 KHO720954:KHO720963 JXS720954:JXS720963 JNW720954:JNW720963 JEA720954:JEA720963 IUE720954:IUE720963 IKI720954:IKI720963 IAM720954:IAM720963 HQQ720954:HQQ720963 HGU720954:HGU720963 GWY720954:GWY720963 GNC720954:GNC720963 GDG720954:GDG720963 FTK720954:FTK720963 FJO720954:FJO720963 EZS720954:EZS720963 EPW720954:EPW720963 EGA720954:EGA720963 DWE720954:DWE720963 DMI720954:DMI720963 DCM720954:DCM720963 CSQ720954:CSQ720963 CIU720954:CIU720963 BYY720954:BYY720963 BPC720954:BPC720963 BFG720954:BFG720963 AVK720954:AVK720963 ALO720954:ALO720963 ABS720954:ABS720963 RW720954:RW720963 IA720954:IA720963 E720954:E720963 WUM655418:WUM655427 WKQ655418:WKQ655427 WAU655418:WAU655427 VQY655418:VQY655427 VHC655418:VHC655427 UXG655418:UXG655427 UNK655418:UNK655427 UDO655418:UDO655427 TTS655418:TTS655427 TJW655418:TJW655427 TAA655418:TAA655427 SQE655418:SQE655427 SGI655418:SGI655427 RWM655418:RWM655427 RMQ655418:RMQ655427 RCU655418:RCU655427 QSY655418:QSY655427 QJC655418:QJC655427 PZG655418:PZG655427 PPK655418:PPK655427 PFO655418:PFO655427 OVS655418:OVS655427 OLW655418:OLW655427 OCA655418:OCA655427 NSE655418:NSE655427 NII655418:NII655427 MYM655418:MYM655427 MOQ655418:MOQ655427 MEU655418:MEU655427 LUY655418:LUY655427 LLC655418:LLC655427 LBG655418:LBG655427 KRK655418:KRK655427 KHO655418:KHO655427 JXS655418:JXS655427 JNW655418:JNW655427 JEA655418:JEA655427 IUE655418:IUE655427 IKI655418:IKI655427 IAM655418:IAM655427 HQQ655418:HQQ655427 HGU655418:HGU655427 GWY655418:GWY655427 GNC655418:GNC655427 GDG655418:GDG655427 FTK655418:FTK655427 FJO655418:FJO655427 EZS655418:EZS655427 EPW655418:EPW655427 EGA655418:EGA655427 DWE655418:DWE655427 DMI655418:DMI655427 DCM655418:DCM655427 CSQ655418:CSQ655427 CIU655418:CIU655427 BYY655418:BYY655427 BPC655418:BPC655427 BFG655418:BFG655427 AVK655418:AVK655427 ALO655418:ALO655427 ABS655418:ABS655427 RW655418:RW655427 IA655418:IA655427 E655418:E655427 WUM589882:WUM589891 WKQ589882:WKQ589891 WAU589882:WAU589891 VQY589882:VQY589891 VHC589882:VHC589891 UXG589882:UXG589891 UNK589882:UNK589891 UDO589882:UDO589891 TTS589882:TTS589891 TJW589882:TJW589891 TAA589882:TAA589891 SQE589882:SQE589891 SGI589882:SGI589891 RWM589882:RWM589891 RMQ589882:RMQ589891 RCU589882:RCU589891 QSY589882:QSY589891 QJC589882:QJC589891 PZG589882:PZG589891 PPK589882:PPK589891 PFO589882:PFO589891 OVS589882:OVS589891 OLW589882:OLW589891 OCA589882:OCA589891 NSE589882:NSE589891 NII589882:NII589891 MYM589882:MYM589891 MOQ589882:MOQ589891 MEU589882:MEU589891 LUY589882:LUY589891 LLC589882:LLC589891 LBG589882:LBG589891 KRK589882:KRK589891 KHO589882:KHO589891 JXS589882:JXS589891 JNW589882:JNW589891 JEA589882:JEA589891 IUE589882:IUE589891 IKI589882:IKI589891 IAM589882:IAM589891 HQQ589882:HQQ589891 HGU589882:HGU589891 GWY589882:GWY589891 GNC589882:GNC589891 GDG589882:GDG589891 FTK589882:FTK589891 FJO589882:FJO589891 EZS589882:EZS589891 EPW589882:EPW589891 EGA589882:EGA589891 DWE589882:DWE589891 DMI589882:DMI589891 DCM589882:DCM589891 CSQ589882:CSQ589891 CIU589882:CIU589891 BYY589882:BYY589891 BPC589882:BPC589891 BFG589882:BFG589891 AVK589882:AVK589891 ALO589882:ALO589891 ABS589882:ABS589891 RW589882:RW589891 IA589882:IA589891 E589882:E589891 WUM524346:WUM524355 WKQ524346:WKQ524355 WAU524346:WAU524355 VQY524346:VQY524355 VHC524346:VHC524355 UXG524346:UXG524355 UNK524346:UNK524355 UDO524346:UDO524355 TTS524346:TTS524355 TJW524346:TJW524355 TAA524346:TAA524355 SQE524346:SQE524355 SGI524346:SGI524355 RWM524346:RWM524355 RMQ524346:RMQ524355 RCU524346:RCU524355 QSY524346:QSY524355 QJC524346:QJC524355 PZG524346:PZG524355 PPK524346:PPK524355 PFO524346:PFO524355 OVS524346:OVS524355 OLW524346:OLW524355 OCA524346:OCA524355 NSE524346:NSE524355 NII524346:NII524355 MYM524346:MYM524355 MOQ524346:MOQ524355 MEU524346:MEU524355 LUY524346:LUY524355 LLC524346:LLC524355 LBG524346:LBG524355 KRK524346:KRK524355 KHO524346:KHO524355 JXS524346:JXS524355 JNW524346:JNW524355 JEA524346:JEA524355 IUE524346:IUE524355 IKI524346:IKI524355 IAM524346:IAM524355 HQQ524346:HQQ524355 HGU524346:HGU524355 GWY524346:GWY524355 GNC524346:GNC524355 GDG524346:GDG524355 FTK524346:FTK524355 FJO524346:FJO524355 EZS524346:EZS524355 EPW524346:EPW524355 EGA524346:EGA524355 DWE524346:DWE524355 DMI524346:DMI524355 DCM524346:DCM524355 CSQ524346:CSQ524355 CIU524346:CIU524355 BYY524346:BYY524355 BPC524346:BPC524355 BFG524346:BFG524355 AVK524346:AVK524355 ALO524346:ALO524355 ABS524346:ABS524355 RW524346:RW524355 IA524346:IA524355 E524346:E524355 WUM458810:WUM458819 WKQ458810:WKQ458819 WAU458810:WAU458819 VQY458810:VQY458819 VHC458810:VHC458819 UXG458810:UXG458819 UNK458810:UNK458819 UDO458810:UDO458819 TTS458810:TTS458819 TJW458810:TJW458819 TAA458810:TAA458819 SQE458810:SQE458819 SGI458810:SGI458819 RWM458810:RWM458819 RMQ458810:RMQ458819 RCU458810:RCU458819 QSY458810:QSY458819 QJC458810:QJC458819 PZG458810:PZG458819 PPK458810:PPK458819 PFO458810:PFO458819 OVS458810:OVS458819 OLW458810:OLW458819 OCA458810:OCA458819 NSE458810:NSE458819 NII458810:NII458819 MYM458810:MYM458819 MOQ458810:MOQ458819 MEU458810:MEU458819 LUY458810:LUY458819 LLC458810:LLC458819 LBG458810:LBG458819 KRK458810:KRK458819 KHO458810:KHO458819 JXS458810:JXS458819 JNW458810:JNW458819 JEA458810:JEA458819 IUE458810:IUE458819 IKI458810:IKI458819 IAM458810:IAM458819 HQQ458810:HQQ458819 HGU458810:HGU458819 GWY458810:GWY458819 GNC458810:GNC458819 GDG458810:GDG458819 FTK458810:FTK458819 FJO458810:FJO458819 EZS458810:EZS458819 EPW458810:EPW458819 EGA458810:EGA458819 DWE458810:DWE458819 DMI458810:DMI458819 DCM458810:DCM458819 CSQ458810:CSQ458819 CIU458810:CIU458819 BYY458810:BYY458819 BPC458810:BPC458819 BFG458810:BFG458819 AVK458810:AVK458819 ALO458810:ALO458819 ABS458810:ABS458819 RW458810:RW458819 IA458810:IA458819 E458810:E458819 WUM393274:WUM393283 WKQ393274:WKQ393283 WAU393274:WAU393283 VQY393274:VQY393283 VHC393274:VHC393283 UXG393274:UXG393283 UNK393274:UNK393283 UDO393274:UDO393283 TTS393274:TTS393283 TJW393274:TJW393283 TAA393274:TAA393283 SQE393274:SQE393283 SGI393274:SGI393283 RWM393274:RWM393283 RMQ393274:RMQ393283 RCU393274:RCU393283 QSY393274:QSY393283 QJC393274:QJC393283 PZG393274:PZG393283 PPK393274:PPK393283 PFO393274:PFO393283 OVS393274:OVS393283 OLW393274:OLW393283 OCA393274:OCA393283 NSE393274:NSE393283 NII393274:NII393283 MYM393274:MYM393283 MOQ393274:MOQ393283 MEU393274:MEU393283 LUY393274:LUY393283 LLC393274:LLC393283 LBG393274:LBG393283 KRK393274:KRK393283 KHO393274:KHO393283 JXS393274:JXS393283 JNW393274:JNW393283 JEA393274:JEA393283 IUE393274:IUE393283 IKI393274:IKI393283 IAM393274:IAM393283 HQQ393274:HQQ393283 HGU393274:HGU393283 GWY393274:GWY393283 GNC393274:GNC393283 GDG393274:GDG393283 FTK393274:FTK393283 FJO393274:FJO393283 EZS393274:EZS393283 EPW393274:EPW393283 EGA393274:EGA393283 DWE393274:DWE393283 DMI393274:DMI393283 DCM393274:DCM393283 CSQ393274:CSQ393283 CIU393274:CIU393283 BYY393274:BYY393283 BPC393274:BPC393283 BFG393274:BFG393283 AVK393274:AVK393283 ALO393274:ALO393283 ABS393274:ABS393283 RW393274:RW393283 IA393274:IA393283 E393274:E393283 WUM327738:WUM327747 WKQ327738:WKQ327747 WAU327738:WAU327747 VQY327738:VQY327747 VHC327738:VHC327747 UXG327738:UXG327747 UNK327738:UNK327747 UDO327738:UDO327747 TTS327738:TTS327747 TJW327738:TJW327747 TAA327738:TAA327747 SQE327738:SQE327747 SGI327738:SGI327747 RWM327738:RWM327747 RMQ327738:RMQ327747 RCU327738:RCU327747 QSY327738:QSY327747 QJC327738:QJC327747 PZG327738:PZG327747 PPK327738:PPK327747 PFO327738:PFO327747 OVS327738:OVS327747 OLW327738:OLW327747 OCA327738:OCA327747 NSE327738:NSE327747 NII327738:NII327747 MYM327738:MYM327747 MOQ327738:MOQ327747 MEU327738:MEU327747 LUY327738:LUY327747 LLC327738:LLC327747 LBG327738:LBG327747 KRK327738:KRK327747 KHO327738:KHO327747 JXS327738:JXS327747 JNW327738:JNW327747 JEA327738:JEA327747 IUE327738:IUE327747 IKI327738:IKI327747 IAM327738:IAM327747 HQQ327738:HQQ327747 HGU327738:HGU327747 GWY327738:GWY327747 GNC327738:GNC327747 GDG327738:GDG327747 FTK327738:FTK327747 FJO327738:FJO327747 EZS327738:EZS327747 EPW327738:EPW327747 EGA327738:EGA327747 DWE327738:DWE327747 DMI327738:DMI327747 DCM327738:DCM327747 CSQ327738:CSQ327747 CIU327738:CIU327747 BYY327738:BYY327747 BPC327738:BPC327747 BFG327738:BFG327747 AVK327738:AVK327747 ALO327738:ALO327747 ABS327738:ABS327747 RW327738:RW327747 IA327738:IA327747 E327738:E327747 WUM262202:WUM262211 WKQ262202:WKQ262211 WAU262202:WAU262211 VQY262202:VQY262211 VHC262202:VHC262211 UXG262202:UXG262211 UNK262202:UNK262211 UDO262202:UDO262211 TTS262202:TTS262211 TJW262202:TJW262211 TAA262202:TAA262211 SQE262202:SQE262211 SGI262202:SGI262211 RWM262202:RWM262211 RMQ262202:RMQ262211 RCU262202:RCU262211 QSY262202:QSY262211 QJC262202:QJC262211 PZG262202:PZG262211 PPK262202:PPK262211 PFO262202:PFO262211 OVS262202:OVS262211 OLW262202:OLW262211 OCA262202:OCA262211 NSE262202:NSE262211 NII262202:NII262211 MYM262202:MYM262211 MOQ262202:MOQ262211 MEU262202:MEU262211 LUY262202:LUY262211 LLC262202:LLC262211 LBG262202:LBG262211 KRK262202:KRK262211 KHO262202:KHO262211 JXS262202:JXS262211 JNW262202:JNW262211 JEA262202:JEA262211 IUE262202:IUE262211 IKI262202:IKI262211 IAM262202:IAM262211 HQQ262202:HQQ262211 HGU262202:HGU262211 GWY262202:GWY262211 GNC262202:GNC262211 GDG262202:GDG262211 FTK262202:FTK262211 FJO262202:FJO262211 EZS262202:EZS262211 EPW262202:EPW262211 EGA262202:EGA262211 DWE262202:DWE262211 DMI262202:DMI262211 DCM262202:DCM262211 CSQ262202:CSQ262211 CIU262202:CIU262211 BYY262202:BYY262211 BPC262202:BPC262211 BFG262202:BFG262211 AVK262202:AVK262211 ALO262202:ALO262211 ABS262202:ABS262211 RW262202:RW262211 IA262202:IA262211 E262202:E262211 WUM196666:WUM196675 WKQ196666:WKQ196675 WAU196666:WAU196675 VQY196666:VQY196675 VHC196666:VHC196675 UXG196666:UXG196675 UNK196666:UNK196675 UDO196666:UDO196675 TTS196666:TTS196675 TJW196666:TJW196675 TAA196666:TAA196675 SQE196666:SQE196675 SGI196666:SGI196675 RWM196666:RWM196675 RMQ196666:RMQ196675 RCU196666:RCU196675 QSY196666:QSY196675 QJC196666:QJC196675 PZG196666:PZG196675 PPK196666:PPK196675 PFO196666:PFO196675 OVS196666:OVS196675 OLW196666:OLW196675 OCA196666:OCA196675 NSE196666:NSE196675 NII196666:NII196675 MYM196666:MYM196675 MOQ196666:MOQ196675 MEU196666:MEU196675 LUY196666:LUY196675 LLC196666:LLC196675 LBG196666:LBG196675 KRK196666:KRK196675 KHO196666:KHO196675 JXS196666:JXS196675 JNW196666:JNW196675 JEA196666:JEA196675 IUE196666:IUE196675 IKI196666:IKI196675 IAM196666:IAM196675 HQQ196666:HQQ196675 HGU196666:HGU196675 GWY196666:GWY196675 GNC196666:GNC196675 GDG196666:GDG196675 FTK196666:FTK196675 FJO196666:FJO196675 EZS196666:EZS196675 EPW196666:EPW196675 EGA196666:EGA196675 DWE196666:DWE196675 DMI196666:DMI196675 DCM196666:DCM196675 CSQ196666:CSQ196675 CIU196666:CIU196675 BYY196666:BYY196675 BPC196666:BPC196675 BFG196666:BFG196675 AVK196666:AVK196675 ALO196666:ALO196675 ABS196666:ABS196675 RW196666:RW196675 IA196666:IA196675 E196666:E196675 WUM131130:WUM131139 WKQ131130:WKQ131139 WAU131130:WAU131139 VQY131130:VQY131139 VHC131130:VHC131139 UXG131130:UXG131139 UNK131130:UNK131139 UDO131130:UDO131139 TTS131130:TTS131139 TJW131130:TJW131139 TAA131130:TAA131139 SQE131130:SQE131139 SGI131130:SGI131139 RWM131130:RWM131139 RMQ131130:RMQ131139 RCU131130:RCU131139 QSY131130:QSY131139 QJC131130:QJC131139 PZG131130:PZG131139 PPK131130:PPK131139 PFO131130:PFO131139 OVS131130:OVS131139 OLW131130:OLW131139 OCA131130:OCA131139 NSE131130:NSE131139 NII131130:NII131139 MYM131130:MYM131139 MOQ131130:MOQ131139 MEU131130:MEU131139 LUY131130:LUY131139 LLC131130:LLC131139 LBG131130:LBG131139 KRK131130:KRK131139 KHO131130:KHO131139 JXS131130:JXS131139 JNW131130:JNW131139 JEA131130:JEA131139 IUE131130:IUE131139 IKI131130:IKI131139 IAM131130:IAM131139 HQQ131130:HQQ131139 HGU131130:HGU131139 GWY131130:GWY131139 GNC131130:GNC131139 GDG131130:GDG131139 FTK131130:FTK131139 FJO131130:FJO131139 EZS131130:EZS131139 EPW131130:EPW131139 EGA131130:EGA131139 DWE131130:DWE131139 DMI131130:DMI131139 DCM131130:DCM131139 CSQ131130:CSQ131139 CIU131130:CIU131139 BYY131130:BYY131139 BPC131130:BPC131139 BFG131130:BFG131139 AVK131130:AVK131139 ALO131130:ALO131139 ABS131130:ABS131139 RW131130:RW131139 IA131130:IA131139 E131130:E131139 WUM65594:WUM65603 WKQ65594:WKQ65603 WAU65594:WAU65603 VQY65594:VQY65603 VHC65594:VHC65603 UXG65594:UXG65603 UNK65594:UNK65603 UDO65594:UDO65603 TTS65594:TTS65603 TJW65594:TJW65603 TAA65594:TAA65603 SQE65594:SQE65603 SGI65594:SGI65603 RWM65594:RWM65603 RMQ65594:RMQ65603 RCU65594:RCU65603 QSY65594:QSY65603 QJC65594:QJC65603 PZG65594:PZG65603 PPK65594:PPK65603 PFO65594:PFO65603 OVS65594:OVS65603 OLW65594:OLW65603 OCA65594:OCA65603 NSE65594:NSE65603 NII65594:NII65603 MYM65594:MYM65603 MOQ65594:MOQ65603 MEU65594:MEU65603 LUY65594:LUY65603 LLC65594:LLC65603 LBG65594:LBG65603 KRK65594:KRK65603 KHO65594:KHO65603 JXS65594:JXS65603 JNW65594:JNW65603 JEA65594:JEA65603 IUE65594:IUE65603 IKI65594:IKI65603 IAM65594:IAM65603 HQQ65594:HQQ65603 HGU65594:HGU65603 GWY65594:GWY65603 GNC65594:GNC65603 GDG65594:GDG65603 FTK65594:FTK65603 FJO65594:FJO65603 EZS65594:EZS65603 EPW65594:EPW65603 EGA65594:EGA65603 DWE65594:DWE65603 DMI65594:DMI65603 DCM65594:DCM65603 CSQ65594:CSQ65603 CIU65594:CIU65603 BYY65594:BYY65603 BPC65594:BPC65603 BFG65594:BFG65603 AVK65594:AVK65603 ALO65594:ALO65603 ABS65594:ABS65603 RW65594:RW65603 IA65594:IA65603 E65594:E65603 WUM983089:WUM983095 WKQ983089:WKQ983095 WAU983089:WAU983095 VQY983089:VQY983095 VHC983089:VHC983095 UXG983089:UXG983095 UNK983089:UNK983095 UDO983089:UDO983095 TTS983089:TTS983095 TJW983089:TJW983095 TAA983089:TAA983095 SQE983089:SQE983095 SGI983089:SGI983095 RWM983089:RWM983095 RMQ983089:RMQ983095 RCU983089:RCU983095 QSY983089:QSY983095 QJC983089:QJC983095 PZG983089:PZG983095 PPK983089:PPK983095 PFO983089:PFO983095 OVS983089:OVS983095 OLW983089:OLW983095 OCA983089:OCA983095 NSE983089:NSE983095 NII983089:NII983095 MYM983089:MYM983095 MOQ983089:MOQ983095 MEU983089:MEU983095 LUY983089:LUY983095 LLC983089:LLC983095 LBG983089:LBG983095 KRK983089:KRK983095 KHO983089:KHO983095 JXS983089:JXS983095 JNW983089:JNW983095 JEA983089:JEA983095 IUE983089:IUE983095 IKI983089:IKI983095 IAM983089:IAM983095 HQQ983089:HQQ983095 HGU983089:HGU983095 GWY983089:GWY983095 GNC983089:GNC983095 GDG983089:GDG983095 FTK983089:FTK983095 FJO983089:FJO983095 EZS983089:EZS983095 EPW983089:EPW983095 EGA983089:EGA983095 DWE983089:DWE983095 DMI983089:DMI983095 DCM983089:DCM983095 CSQ983089:CSQ983095 CIU983089:CIU983095 BYY983089:BYY983095 BPC983089:BPC983095 BFG983089:BFG983095 AVK983089:AVK983095 ALO983089:ALO983095 ABS983089:ABS983095 RW983089:RW983095 IA983089:IA983095 E983089:E983095 WUM917553:WUM917559 WKQ917553:WKQ917559 WAU917553:WAU917559 VQY917553:VQY917559 VHC917553:VHC917559 UXG917553:UXG917559 UNK917553:UNK917559 UDO917553:UDO917559 TTS917553:TTS917559 TJW917553:TJW917559 TAA917553:TAA917559 SQE917553:SQE917559 SGI917553:SGI917559 RWM917553:RWM917559 RMQ917553:RMQ917559 RCU917553:RCU917559 QSY917553:QSY917559 QJC917553:QJC917559 PZG917553:PZG917559 PPK917553:PPK917559 PFO917553:PFO917559 OVS917553:OVS917559 OLW917553:OLW917559 OCA917553:OCA917559 NSE917553:NSE917559 NII917553:NII917559 MYM917553:MYM917559 MOQ917553:MOQ917559 MEU917553:MEU917559 LUY917553:LUY917559 LLC917553:LLC917559 LBG917553:LBG917559 KRK917553:KRK917559 KHO917553:KHO917559 JXS917553:JXS917559 JNW917553:JNW917559 JEA917553:JEA917559 IUE917553:IUE917559 IKI917553:IKI917559 IAM917553:IAM917559 HQQ917553:HQQ917559 HGU917553:HGU917559 GWY917553:GWY917559 GNC917553:GNC917559 GDG917553:GDG917559 FTK917553:FTK917559 FJO917553:FJO917559 EZS917553:EZS917559 EPW917553:EPW917559 EGA917553:EGA917559 DWE917553:DWE917559 DMI917553:DMI917559 DCM917553:DCM917559 CSQ917553:CSQ917559 CIU917553:CIU917559 BYY917553:BYY917559 BPC917553:BPC917559 BFG917553:BFG917559 AVK917553:AVK917559 ALO917553:ALO917559 ABS917553:ABS917559 RW917553:RW917559 IA917553:IA917559 E917553:E917559 WUM852017:WUM852023 WKQ852017:WKQ852023 WAU852017:WAU852023 VQY852017:VQY852023 VHC852017:VHC852023 UXG852017:UXG852023 UNK852017:UNK852023 UDO852017:UDO852023 TTS852017:TTS852023 TJW852017:TJW852023 TAA852017:TAA852023 SQE852017:SQE852023 SGI852017:SGI852023 RWM852017:RWM852023 RMQ852017:RMQ852023 RCU852017:RCU852023 QSY852017:QSY852023 QJC852017:QJC852023 PZG852017:PZG852023 PPK852017:PPK852023 PFO852017:PFO852023 OVS852017:OVS852023 OLW852017:OLW852023 OCA852017:OCA852023 NSE852017:NSE852023 NII852017:NII852023 MYM852017:MYM852023 MOQ852017:MOQ852023 MEU852017:MEU852023 LUY852017:LUY852023 LLC852017:LLC852023 LBG852017:LBG852023 KRK852017:KRK852023 KHO852017:KHO852023 JXS852017:JXS852023 JNW852017:JNW852023 JEA852017:JEA852023 IUE852017:IUE852023 IKI852017:IKI852023 IAM852017:IAM852023 HQQ852017:HQQ852023 HGU852017:HGU852023 GWY852017:GWY852023 GNC852017:GNC852023 GDG852017:GDG852023 FTK852017:FTK852023 FJO852017:FJO852023 EZS852017:EZS852023 EPW852017:EPW852023 EGA852017:EGA852023 DWE852017:DWE852023 DMI852017:DMI852023 DCM852017:DCM852023 CSQ852017:CSQ852023 CIU852017:CIU852023 BYY852017:BYY852023 BPC852017:BPC852023 BFG852017:BFG852023 AVK852017:AVK852023 ALO852017:ALO852023 ABS852017:ABS852023 RW852017:RW852023 IA852017:IA852023 E852017:E852023 WUM786481:WUM786487 WKQ786481:WKQ786487 WAU786481:WAU786487 VQY786481:VQY786487 VHC786481:VHC786487 UXG786481:UXG786487 UNK786481:UNK786487 UDO786481:UDO786487 TTS786481:TTS786487 TJW786481:TJW786487 TAA786481:TAA786487 SQE786481:SQE786487 SGI786481:SGI786487 RWM786481:RWM786487 RMQ786481:RMQ786487 RCU786481:RCU786487 QSY786481:QSY786487 QJC786481:QJC786487 PZG786481:PZG786487 PPK786481:PPK786487 PFO786481:PFO786487 OVS786481:OVS786487 OLW786481:OLW786487 OCA786481:OCA786487 NSE786481:NSE786487 NII786481:NII786487 MYM786481:MYM786487 MOQ786481:MOQ786487 MEU786481:MEU786487 LUY786481:LUY786487 LLC786481:LLC786487 LBG786481:LBG786487 KRK786481:KRK786487 KHO786481:KHO786487 JXS786481:JXS786487 JNW786481:JNW786487 JEA786481:JEA786487 IUE786481:IUE786487 IKI786481:IKI786487 IAM786481:IAM786487 HQQ786481:HQQ786487 HGU786481:HGU786487 GWY786481:GWY786487 GNC786481:GNC786487 GDG786481:GDG786487 FTK786481:FTK786487 FJO786481:FJO786487 EZS786481:EZS786487 EPW786481:EPW786487 EGA786481:EGA786487 DWE786481:DWE786487 DMI786481:DMI786487 DCM786481:DCM786487 CSQ786481:CSQ786487 CIU786481:CIU786487 BYY786481:BYY786487 BPC786481:BPC786487 BFG786481:BFG786487 AVK786481:AVK786487 ALO786481:ALO786487 ABS786481:ABS786487 RW786481:RW786487 IA786481:IA786487 E786481:E786487 WUM720945:WUM720951 WKQ720945:WKQ720951 WAU720945:WAU720951 VQY720945:VQY720951 VHC720945:VHC720951 UXG720945:UXG720951 UNK720945:UNK720951 UDO720945:UDO720951 TTS720945:TTS720951 TJW720945:TJW720951 TAA720945:TAA720951 SQE720945:SQE720951 SGI720945:SGI720951 RWM720945:RWM720951 RMQ720945:RMQ720951 RCU720945:RCU720951 QSY720945:QSY720951 QJC720945:QJC720951 PZG720945:PZG720951 PPK720945:PPK720951 PFO720945:PFO720951 OVS720945:OVS720951 OLW720945:OLW720951 OCA720945:OCA720951 NSE720945:NSE720951 NII720945:NII720951 MYM720945:MYM720951 MOQ720945:MOQ720951 MEU720945:MEU720951 LUY720945:LUY720951 LLC720945:LLC720951 LBG720945:LBG720951 KRK720945:KRK720951 KHO720945:KHO720951 JXS720945:JXS720951 JNW720945:JNW720951 JEA720945:JEA720951 IUE720945:IUE720951 IKI720945:IKI720951 IAM720945:IAM720951 HQQ720945:HQQ720951 HGU720945:HGU720951 GWY720945:GWY720951 GNC720945:GNC720951 GDG720945:GDG720951 FTK720945:FTK720951 FJO720945:FJO720951 EZS720945:EZS720951 EPW720945:EPW720951 EGA720945:EGA720951 DWE720945:DWE720951 DMI720945:DMI720951 DCM720945:DCM720951 CSQ720945:CSQ720951 CIU720945:CIU720951 BYY720945:BYY720951 BPC720945:BPC720951 BFG720945:BFG720951 AVK720945:AVK720951 ALO720945:ALO720951 ABS720945:ABS720951 RW720945:RW720951 IA720945:IA720951 E720945:E720951 WUM655409:WUM655415 WKQ655409:WKQ655415 WAU655409:WAU655415 VQY655409:VQY655415 VHC655409:VHC655415 UXG655409:UXG655415 UNK655409:UNK655415 UDO655409:UDO655415 TTS655409:TTS655415 TJW655409:TJW655415 TAA655409:TAA655415 SQE655409:SQE655415 SGI655409:SGI655415 RWM655409:RWM655415 RMQ655409:RMQ655415 RCU655409:RCU655415 QSY655409:QSY655415 QJC655409:QJC655415 PZG655409:PZG655415 PPK655409:PPK655415 PFO655409:PFO655415 OVS655409:OVS655415 OLW655409:OLW655415 OCA655409:OCA655415 NSE655409:NSE655415 NII655409:NII655415 MYM655409:MYM655415 MOQ655409:MOQ655415 MEU655409:MEU655415 LUY655409:LUY655415 LLC655409:LLC655415 LBG655409:LBG655415 KRK655409:KRK655415 KHO655409:KHO655415 JXS655409:JXS655415 JNW655409:JNW655415 JEA655409:JEA655415 IUE655409:IUE655415 IKI655409:IKI655415 IAM655409:IAM655415 HQQ655409:HQQ655415 HGU655409:HGU655415 GWY655409:GWY655415 GNC655409:GNC655415 GDG655409:GDG655415 FTK655409:FTK655415 FJO655409:FJO655415 EZS655409:EZS655415 EPW655409:EPW655415 EGA655409:EGA655415 DWE655409:DWE655415 DMI655409:DMI655415 DCM655409:DCM655415 CSQ655409:CSQ655415 CIU655409:CIU655415 BYY655409:BYY655415 BPC655409:BPC655415 BFG655409:BFG655415 AVK655409:AVK655415 ALO655409:ALO655415 ABS655409:ABS655415 RW655409:RW655415 IA655409:IA655415 E655409:E655415 WUM589873:WUM589879 WKQ589873:WKQ589879 WAU589873:WAU589879 VQY589873:VQY589879 VHC589873:VHC589879 UXG589873:UXG589879 UNK589873:UNK589879 UDO589873:UDO589879 TTS589873:TTS589879 TJW589873:TJW589879 TAA589873:TAA589879 SQE589873:SQE589879 SGI589873:SGI589879 RWM589873:RWM589879 RMQ589873:RMQ589879 RCU589873:RCU589879 QSY589873:QSY589879 QJC589873:QJC589879 PZG589873:PZG589879 PPK589873:PPK589879 PFO589873:PFO589879 OVS589873:OVS589879 OLW589873:OLW589879 OCA589873:OCA589879 NSE589873:NSE589879 NII589873:NII589879 MYM589873:MYM589879 MOQ589873:MOQ589879 MEU589873:MEU589879 LUY589873:LUY589879 LLC589873:LLC589879 LBG589873:LBG589879 KRK589873:KRK589879 KHO589873:KHO589879 JXS589873:JXS589879 JNW589873:JNW589879 JEA589873:JEA589879 IUE589873:IUE589879 IKI589873:IKI589879 IAM589873:IAM589879 HQQ589873:HQQ589879 HGU589873:HGU589879 GWY589873:GWY589879 GNC589873:GNC589879 GDG589873:GDG589879 FTK589873:FTK589879 FJO589873:FJO589879 EZS589873:EZS589879 EPW589873:EPW589879 EGA589873:EGA589879 DWE589873:DWE589879 DMI589873:DMI589879 DCM589873:DCM589879 CSQ589873:CSQ589879 CIU589873:CIU589879 BYY589873:BYY589879 BPC589873:BPC589879 BFG589873:BFG589879 AVK589873:AVK589879 ALO589873:ALO589879 ABS589873:ABS589879 RW589873:RW589879 IA589873:IA589879 E589873:E589879 WUM524337:WUM524343 WKQ524337:WKQ524343 WAU524337:WAU524343 VQY524337:VQY524343 VHC524337:VHC524343 UXG524337:UXG524343 UNK524337:UNK524343 UDO524337:UDO524343 TTS524337:TTS524343 TJW524337:TJW524343 TAA524337:TAA524343 SQE524337:SQE524343 SGI524337:SGI524343 RWM524337:RWM524343 RMQ524337:RMQ524343 RCU524337:RCU524343 QSY524337:QSY524343 QJC524337:QJC524343 PZG524337:PZG524343 PPK524337:PPK524343 PFO524337:PFO524343 OVS524337:OVS524343 OLW524337:OLW524343 OCA524337:OCA524343 NSE524337:NSE524343 NII524337:NII524343 MYM524337:MYM524343 MOQ524337:MOQ524343 MEU524337:MEU524343 LUY524337:LUY524343 LLC524337:LLC524343 LBG524337:LBG524343 KRK524337:KRK524343 KHO524337:KHO524343 JXS524337:JXS524343 JNW524337:JNW524343 JEA524337:JEA524343 IUE524337:IUE524343 IKI524337:IKI524343 IAM524337:IAM524343 HQQ524337:HQQ524343 HGU524337:HGU524343 GWY524337:GWY524343 GNC524337:GNC524343 GDG524337:GDG524343 FTK524337:FTK524343 FJO524337:FJO524343 EZS524337:EZS524343 EPW524337:EPW524343 EGA524337:EGA524343 DWE524337:DWE524343 DMI524337:DMI524343 DCM524337:DCM524343 CSQ524337:CSQ524343 CIU524337:CIU524343 BYY524337:BYY524343 BPC524337:BPC524343 BFG524337:BFG524343 AVK524337:AVK524343 ALO524337:ALO524343 ABS524337:ABS524343 RW524337:RW524343 IA524337:IA524343 E524337:E524343 WUM458801:WUM458807 WKQ458801:WKQ458807 WAU458801:WAU458807 VQY458801:VQY458807 VHC458801:VHC458807 UXG458801:UXG458807 UNK458801:UNK458807 UDO458801:UDO458807 TTS458801:TTS458807 TJW458801:TJW458807 TAA458801:TAA458807 SQE458801:SQE458807 SGI458801:SGI458807 RWM458801:RWM458807 RMQ458801:RMQ458807 RCU458801:RCU458807 QSY458801:QSY458807 QJC458801:QJC458807 PZG458801:PZG458807 PPK458801:PPK458807 PFO458801:PFO458807 OVS458801:OVS458807 OLW458801:OLW458807 OCA458801:OCA458807 NSE458801:NSE458807 NII458801:NII458807 MYM458801:MYM458807 MOQ458801:MOQ458807 MEU458801:MEU458807 LUY458801:LUY458807 LLC458801:LLC458807 LBG458801:LBG458807 KRK458801:KRK458807 KHO458801:KHO458807 JXS458801:JXS458807 JNW458801:JNW458807 JEA458801:JEA458807 IUE458801:IUE458807 IKI458801:IKI458807 IAM458801:IAM458807 HQQ458801:HQQ458807 HGU458801:HGU458807 GWY458801:GWY458807 GNC458801:GNC458807 GDG458801:GDG458807 FTK458801:FTK458807 FJO458801:FJO458807 EZS458801:EZS458807 EPW458801:EPW458807 EGA458801:EGA458807 DWE458801:DWE458807 DMI458801:DMI458807 DCM458801:DCM458807 CSQ458801:CSQ458807 CIU458801:CIU458807 BYY458801:BYY458807 BPC458801:BPC458807 BFG458801:BFG458807 AVK458801:AVK458807 ALO458801:ALO458807 ABS458801:ABS458807 RW458801:RW458807 IA458801:IA458807 E458801:E458807 WUM393265:WUM393271 WKQ393265:WKQ393271 WAU393265:WAU393271 VQY393265:VQY393271 VHC393265:VHC393271 UXG393265:UXG393271 UNK393265:UNK393271 UDO393265:UDO393271 TTS393265:TTS393271 TJW393265:TJW393271 TAA393265:TAA393271 SQE393265:SQE393271 SGI393265:SGI393271 RWM393265:RWM393271 RMQ393265:RMQ393271 RCU393265:RCU393271 QSY393265:QSY393271 QJC393265:QJC393271 PZG393265:PZG393271 PPK393265:PPK393271 PFO393265:PFO393271 OVS393265:OVS393271 OLW393265:OLW393271 OCA393265:OCA393271 NSE393265:NSE393271 NII393265:NII393271 MYM393265:MYM393271 MOQ393265:MOQ393271 MEU393265:MEU393271 LUY393265:LUY393271 LLC393265:LLC393271 LBG393265:LBG393271 KRK393265:KRK393271 KHO393265:KHO393271 JXS393265:JXS393271 JNW393265:JNW393271 JEA393265:JEA393271 IUE393265:IUE393271 IKI393265:IKI393271 IAM393265:IAM393271 HQQ393265:HQQ393271 HGU393265:HGU393271 GWY393265:GWY393271 GNC393265:GNC393271 GDG393265:GDG393271 FTK393265:FTK393271 FJO393265:FJO393271 EZS393265:EZS393271 EPW393265:EPW393271 EGA393265:EGA393271 DWE393265:DWE393271 DMI393265:DMI393271 DCM393265:DCM393271 CSQ393265:CSQ393271 CIU393265:CIU393271 BYY393265:BYY393271 BPC393265:BPC393271 BFG393265:BFG393271 AVK393265:AVK393271 ALO393265:ALO393271 ABS393265:ABS393271 RW393265:RW393271 IA393265:IA393271 E393265:E393271 WUM327729:WUM327735 WKQ327729:WKQ327735 WAU327729:WAU327735 VQY327729:VQY327735 VHC327729:VHC327735 UXG327729:UXG327735 UNK327729:UNK327735 UDO327729:UDO327735 TTS327729:TTS327735 TJW327729:TJW327735 TAA327729:TAA327735 SQE327729:SQE327735 SGI327729:SGI327735 RWM327729:RWM327735 RMQ327729:RMQ327735 RCU327729:RCU327735 QSY327729:QSY327735 QJC327729:QJC327735 PZG327729:PZG327735 PPK327729:PPK327735 PFO327729:PFO327735 OVS327729:OVS327735 OLW327729:OLW327735 OCA327729:OCA327735 NSE327729:NSE327735 NII327729:NII327735 MYM327729:MYM327735 MOQ327729:MOQ327735 MEU327729:MEU327735 LUY327729:LUY327735 LLC327729:LLC327735 LBG327729:LBG327735 KRK327729:KRK327735 KHO327729:KHO327735 JXS327729:JXS327735 JNW327729:JNW327735 JEA327729:JEA327735 IUE327729:IUE327735 IKI327729:IKI327735 IAM327729:IAM327735 HQQ327729:HQQ327735 HGU327729:HGU327735 GWY327729:GWY327735 GNC327729:GNC327735 GDG327729:GDG327735 FTK327729:FTK327735 FJO327729:FJO327735 EZS327729:EZS327735 EPW327729:EPW327735 EGA327729:EGA327735 DWE327729:DWE327735 DMI327729:DMI327735 DCM327729:DCM327735 CSQ327729:CSQ327735 CIU327729:CIU327735 BYY327729:BYY327735 BPC327729:BPC327735 BFG327729:BFG327735 AVK327729:AVK327735 ALO327729:ALO327735 ABS327729:ABS327735 RW327729:RW327735 IA327729:IA327735 E327729:E327735 WUM262193:WUM262199 WKQ262193:WKQ262199 WAU262193:WAU262199 VQY262193:VQY262199 VHC262193:VHC262199 UXG262193:UXG262199 UNK262193:UNK262199 UDO262193:UDO262199 TTS262193:TTS262199 TJW262193:TJW262199 TAA262193:TAA262199 SQE262193:SQE262199 SGI262193:SGI262199 RWM262193:RWM262199 RMQ262193:RMQ262199 RCU262193:RCU262199 QSY262193:QSY262199 QJC262193:QJC262199 PZG262193:PZG262199 PPK262193:PPK262199 PFO262193:PFO262199 OVS262193:OVS262199 OLW262193:OLW262199 OCA262193:OCA262199 NSE262193:NSE262199 NII262193:NII262199 MYM262193:MYM262199 MOQ262193:MOQ262199 MEU262193:MEU262199 LUY262193:LUY262199 LLC262193:LLC262199 LBG262193:LBG262199 KRK262193:KRK262199 KHO262193:KHO262199 JXS262193:JXS262199 JNW262193:JNW262199 JEA262193:JEA262199 IUE262193:IUE262199 IKI262193:IKI262199 IAM262193:IAM262199 HQQ262193:HQQ262199 HGU262193:HGU262199 GWY262193:GWY262199 GNC262193:GNC262199 GDG262193:GDG262199 FTK262193:FTK262199 FJO262193:FJO262199 EZS262193:EZS262199 EPW262193:EPW262199 EGA262193:EGA262199 DWE262193:DWE262199 DMI262193:DMI262199 DCM262193:DCM262199 CSQ262193:CSQ262199 CIU262193:CIU262199 BYY262193:BYY262199 BPC262193:BPC262199 BFG262193:BFG262199 AVK262193:AVK262199 ALO262193:ALO262199 ABS262193:ABS262199 RW262193:RW262199 IA262193:IA262199 E262193:E262199 WUM196657:WUM196663 WKQ196657:WKQ196663 WAU196657:WAU196663 VQY196657:VQY196663 VHC196657:VHC196663 UXG196657:UXG196663 UNK196657:UNK196663 UDO196657:UDO196663 TTS196657:TTS196663 TJW196657:TJW196663 TAA196657:TAA196663 SQE196657:SQE196663 SGI196657:SGI196663 RWM196657:RWM196663 RMQ196657:RMQ196663 RCU196657:RCU196663 QSY196657:QSY196663 QJC196657:QJC196663 PZG196657:PZG196663 PPK196657:PPK196663 PFO196657:PFO196663 OVS196657:OVS196663 OLW196657:OLW196663 OCA196657:OCA196663 NSE196657:NSE196663 NII196657:NII196663 MYM196657:MYM196663 MOQ196657:MOQ196663 MEU196657:MEU196663 LUY196657:LUY196663 LLC196657:LLC196663 LBG196657:LBG196663 KRK196657:KRK196663 KHO196657:KHO196663 JXS196657:JXS196663 JNW196657:JNW196663 JEA196657:JEA196663 IUE196657:IUE196663 IKI196657:IKI196663 IAM196657:IAM196663 HQQ196657:HQQ196663 HGU196657:HGU196663 GWY196657:GWY196663 GNC196657:GNC196663 GDG196657:GDG196663 FTK196657:FTK196663 FJO196657:FJO196663 EZS196657:EZS196663 EPW196657:EPW196663 EGA196657:EGA196663 DWE196657:DWE196663 DMI196657:DMI196663 DCM196657:DCM196663 CSQ196657:CSQ196663 CIU196657:CIU196663 BYY196657:BYY196663 BPC196657:BPC196663 BFG196657:BFG196663 AVK196657:AVK196663 ALO196657:ALO196663 ABS196657:ABS196663 RW196657:RW196663 IA196657:IA196663 E196657:E196663 WUM131121:WUM131127 WKQ131121:WKQ131127 WAU131121:WAU131127 VQY131121:VQY131127 VHC131121:VHC131127 UXG131121:UXG131127 UNK131121:UNK131127 UDO131121:UDO131127 TTS131121:TTS131127 TJW131121:TJW131127 TAA131121:TAA131127 SQE131121:SQE131127 SGI131121:SGI131127 RWM131121:RWM131127 RMQ131121:RMQ131127 RCU131121:RCU131127 QSY131121:QSY131127 QJC131121:QJC131127 PZG131121:PZG131127 PPK131121:PPK131127 PFO131121:PFO131127 OVS131121:OVS131127 OLW131121:OLW131127 OCA131121:OCA131127 NSE131121:NSE131127 NII131121:NII131127 MYM131121:MYM131127 MOQ131121:MOQ131127 MEU131121:MEU131127 LUY131121:LUY131127 LLC131121:LLC131127 LBG131121:LBG131127 KRK131121:KRK131127 KHO131121:KHO131127 JXS131121:JXS131127 JNW131121:JNW131127 JEA131121:JEA131127 IUE131121:IUE131127 IKI131121:IKI131127 IAM131121:IAM131127 HQQ131121:HQQ131127 HGU131121:HGU131127 GWY131121:GWY131127 GNC131121:GNC131127 GDG131121:GDG131127 FTK131121:FTK131127 FJO131121:FJO131127 EZS131121:EZS131127 EPW131121:EPW131127 EGA131121:EGA131127 DWE131121:DWE131127 DMI131121:DMI131127 DCM131121:DCM131127 CSQ131121:CSQ131127 CIU131121:CIU131127 BYY131121:BYY131127 BPC131121:BPC131127 BFG131121:BFG131127 AVK131121:AVK131127 ALO131121:ALO131127 ABS131121:ABS131127 RW131121:RW131127 IA131121:IA131127 E131121:E131127 WUM65585:WUM65591 WKQ65585:WKQ65591 WAU65585:WAU65591 VQY65585:VQY65591 VHC65585:VHC65591 UXG65585:UXG65591 UNK65585:UNK65591 UDO65585:UDO65591 TTS65585:TTS65591 TJW65585:TJW65591 TAA65585:TAA65591 SQE65585:SQE65591 SGI65585:SGI65591 RWM65585:RWM65591 RMQ65585:RMQ65591 RCU65585:RCU65591 QSY65585:QSY65591 QJC65585:QJC65591 PZG65585:PZG65591 PPK65585:PPK65591 PFO65585:PFO65591 OVS65585:OVS65591 OLW65585:OLW65591 OCA65585:OCA65591 NSE65585:NSE65591 NII65585:NII65591 MYM65585:MYM65591 MOQ65585:MOQ65591 MEU65585:MEU65591 LUY65585:LUY65591 LLC65585:LLC65591 LBG65585:LBG65591 KRK65585:KRK65591 KHO65585:KHO65591 JXS65585:JXS65591 JNW65585:JNW65591 JEA65585:JEA65591 IUE65585:IUE65591 IKI65585:IKI65591 IAM65585:IAM65591 HQQ65585:HQQ65591 HGU65585:HGU65591 GWY65585:GWY65591 GNC65585:GNC65591 GDG65585:GDG65591 FTK65585:FTK65591 FJO65585:FJO65591 EZS65585:EZS65591 EPW65585:EPW65591 EGA65585:EGA65591 DWE65585:DWE65591 DMI65585:DMI65591 DCM65585:DCM65591 CSQ65585:CSQ65591 CIU65585:CIU65591 BYY65585:BYY65591 BPC65585:BPC65591 BFG65585:BFG65591 AVK65585:AVK65591 ALO65585:ALO65591 ABS65585:ABS65591 RW65585:RW65591 IA65585:IA65591 WUM6:WUM41 WKQ6:WKQ41 WAU6:WAU41 VQY6:VQY41 VHC6:VHC41 UXG6:UXG41 UNK6:UNK41 UDO6:UDO41 TTS6:TTS41 TJW6:TJW41 TAA6:TAA41 SQE6:SQE41 SGI6:SGI41 RWM6:RWM41 RMQ6:RMQ41 RCU6:RCU41 QSY6:QSY41 QJC6:QJC41 PZG6:PZG41 PPK6:PPK41 PFO6:PFO41 OVS6:OVS41 OLW6:OLW41 OCA6:OCA41 NSE6:NSE41 NII6:NII41 MYM6:MYM41 MOQ6:MOQ41 MEU6:MEU41 LUY6:LUY41 LLC6:LLC41 LBG6:LBG41 KRK6:KRK41 KHO6:KHO41 JXS6:JXS41 JNW6:JNW41 JEA6:JEA41 IUE6:IUE41 IKI6:IKI41 IAM6:IAM41 HQQ6:HQQ41 HGU6:HGU41 GWY6:GWY41 GNC6:GNC41 GDG6:GDG41 FTK6:FTK41 FJO6:FJO41 EZS6:EZS41 EPW6:EPW41 EGA6:EGA41 DWE6:DWE41 DMI6:DMI41 DCM6:DCM41 CSQ6:CSQ41 CIU6:CIU41 BYY6:BYY41 BPC6:BPC41 BFG6:BFG41 AVK6:AVK41 ALO6:ALO41 ABS6:ABS41 RW6:RW41 IA6:IA41" xr:uid="{00000000-0002-0000-0A00-000002000000}">
      <formula1>$O$9:$O$10</formula1>
    </dataValidation>
    <dataValidation type="list" allowBlank="1" showInputMessage="1" showErrorMessage="1" sqref="E65592:E65593 WUM983108 WKQ983108 WAU983108 VQY983108 VHC983108 UXG983108 UNK983108 UDO983108 TTS983108 TJW983108 TAA983108 SQE983108 SGI983108 RWM983108 RMQ983108 RCU983108 QSY983108 QJC983108 PZG983108 PPK983108 PFO983108 OVS983108 OLW983108 OCA983108 NSE983108 NII983108 MYM983108 MOQ983108 MEU983108 LUY983108 LLC983108 LBG983108 KRK983108 KHO983108 JXS983108 JNW983108 JEA983108 IUE983108 IKI983108 IAM983108 HQQ983108 HGU983108 GWY983108 GNC983108 GDG983108 FTK983108 FJO983108 EZS983108 EPW983108 EGA983108 DWE983108 DMI983108 DCM983108 CSQ983108 CIU983108 BYY983108 BPC983108 BFG983108 AVK983108 ALO983108 ABS983108 RW983108 IA983108 E983108 WUM917572 WKQ917572 WAU917572 VQY917572 VHC917572 UXG917572 UNK917572 UDO917572 TTS917572 TJW917572 TAA917572 SQE917572 SGI917572 RWM917572 RMQ917572 RCU917572 QSY917572 QJC917572 PZG917572 PPK917572 PFO917572 OVS917572 OLW917572 OCA917572 NSE917572 NII917572 MYM917572 MOQ917572 MEU917572 LUY917572 LLC917572 LBG917572 KRK917572 KHO917572 JXS917572 JNW917572 JEA917572 IUE917572 IKI917572 IAM917572 HQQ917572 HGU917572 GWY917572 GNC917572 GDG917572 FTK917572 FJO917572 EZS917572 EPW917572 EGA917572 DWE917572 DMI917572 DCM917572 CSQ917572 CIU917572 BYY917572 BPC917572 BFG917572 AVK917572 ALO917572 ABS917572 RW917572 IA917572 E917572 WUM852036 WKQ852036 WAU852036 VQY852036 VHC852036 UXG852036 UNK852036 UDO852036 TTS852036 TJW852036 TAA852036 SQE852036 SGI852036 RWM852036 RMQ852036 RCU852036 QSY852036 QJC852036 PZG852036 PPK852036 PFO852036 OVS852036 OLW852036 OCA852036 NSE852036 NII852036 MYM852036 MOQ852036 MEU852036 LUY852036 LLC852036 LBG852036 KRK852036 KHO852036 JXS852036 JNW852036 JEA852036 IUE852036 IKI852036 IAM852036 HQQ852036 HGU852036 GWY852036 GNC852036 GDG852036 FTK852036 FJO852036 EZS852036 EPW852036 EGA852036 DWE852036 DMI852036 DCM852036 CSQ852036 CIU852036 BYY852036 BPC852036 BFG852036 AVK852036 ALO852036 ABS852036 RW852036 IA852036 E852036 WUM786500 WKQ786500 WAU786500 VQY786500 VHC786500 UXG786500 UNK786500 UDO786500 TTS786500 TJW786500 TAA786500 SQE786500 SGI786500 RWM786500 RMQ786500 RCU786500 QSY786500 QJC786500 PZG786500 PPK786500 PFO786500 OVS786500 OLW786500 OCA786500 NSE786500 NII786500 MYM786500 MOQ786500 MEU786500 LUY786500 LLC786500 LBG786500 KRK786500 KHO786500 JXS786500 JNW786500 JEA786500 IUE786500 IKI786500 IAM786500 HQQ786500 HGU786500 GWY786500 GNC786500 GDG786500 FTK786500 FJO786500 EZS786500 EPW786500 EGA786500 DWE786500 DMI786500 DCM786500 CSQ786500 CIU786500 BYY786500 BPC786500 BFG786500 AVK786500 ALO786500 ABS786500 RW786500 IA786500 E786500 WUM720964 WKQ720964 WAU720964 VQY720964 VHC720964 UXG720964 UNK720964 UDO720964 TTS720964 TJW720964 TAA720964 SQE720964 SGI720964 RWM720964 RMQ720964 RCU720964 QSY720964 QJC720964 PZG720964 PPK720964 PFO720964 OVS720964 OLW720964 OCA720964 NSE720964 NII720964 MYM720964 MOQ720964 MEU720964 LUY720964 LLC720964 LBG720964 KRK720964 KHO720964 JXS720964 JNW720964 JEA720964 IUE720964 IKI720964 IAM720964 HQQ720964 HGU720964 GWY720964 GNC720964 GDG720964 FTK720964 FJO720964 EZS720964 EPW720964 EGA720964 DWE720964 DMI720964 DCM720964 CSQ720964 CIU720964 BYY720964 BPC720964 BFG720964 AVK720964 ALO720964 ABS720964 RW720964 IA720964 E720964 WUM655428 WKQ655428 WAU655428 VQY655428 VHC655428 UXG655428 UNK655428 UDO655428 TTS655428 TJW655428 TAA655428 SQE655428 SGI655428 RWM655428 RMQ655428 RCU655428 QSY655428 QJC655428 PZG655428 PPK655428 PFO655428 OVS655428 OLW655428 OCA655428 NSE655428 NII655428 MYM655428 MOQ655428 MEU655428 LUY655428 LLC655428 LBG655428 KRK655428 KHO655428 JXS655428 JNW655428 JEA655428 IUE655428 IKI655428 IAM655428 HQQ655428 HGU655428 GWY655428 GNC655428 GDG655428 FTK655428 FJO655428 EZS655428 EPW655428 EGA655428 DWE655428 DMI655428 DCM655428 CSQ655428 CIU655428 BYY655428 BPC655428 BFG655428 AVK655428 ALO655428 ABS655428 RW655428 IA655428 E655428 WUM589892 WKQ589892 WAU589892 VQY589892 VHC589892 UXG589892 UNK589892 UDO589892 TTS589892 TJW589892 TAA589892 SQE589892 SGI589892 RWM589892 RMQ589892 RCU589892 QSY589892 QJC589892 PZG589892 PPK589892 PFO589892 OVS589892 OLW589892 OCA589892 NSE589892 NII589892 MYM589892 MOQ589892 MEU589892 LUY589892 LLC589892 LBG589892 KRK589892 KHO589892 JXS589892 JNW589892 JEA589892 IUE589892 IKI589892 IAM589892 HQQ589892 HGU589892 GWY589892 GNC589892 GDG589892 FTK589892 FJO589892 EZS589892 EPW589892 EGA589892 DWE589892 DMI589892 DCM589892 CSQ589892 CIU589892 BYY589892 BPC589892 BFG589892 AVK589892 ALO589892 ABS589892 RW589892 IA589892 E589892 WUM524356 WKQ524356 WAU524356 VQY524356 VHC524356 UXG524356 UNK524356 UDO524356 TTS524356 TJW524356 TAA524356 SQE524356 SGI524356 RWM524356 RMQ524356 RCU524356 QSY524356 QJC524356 PZG524356 PPK524356 PFO524356 OVS524356 OLW524356 OCA524356 NSE524356 NII524356 MYM524356 MOQ524356 MEU524356 LUY524356 LLC524356 LBG524356 KRK524356 KHO524356 JXS524356 JNW524356 JEA524356 IUE524356 IKI524356 IAM524356 HQQ524356 HGU524356 GWY524356 GNC524356 GDG524356 FTK524356 FJO524356 EZS524356 EPW524356 EGA524356 DWE524356 DMI524356 DCM524356 CSQ524356 CIU524356 BYY524356 BPC524356 BFG524356 AVK524356 ALO524356 ABS524356 RW524356 IA524356 E524356 WUM458820 WKQ458820 WAU458820 VQY458820 VHC458820 UXG458820 UNK458820 UDO458820 TTS458820 TJW458820 TAA458820 SQE458820 SGI458820 RWM458820 RMQ458820 RCU458820 QSY458820 QJC458820 PZG458820 PPK458820 PFO458820 OVS458820 OLW458820 OCA458820 NSE458820 NII458820 MYM458820 MOQ458820 MEU458820 LUY458820 LLC458820 LBG458820 KRK458820 KHO458820 JXS458820 JNW458820 JEA458820 IUE458820 IKI458820 IAM458820 HQQ458820 HGU458820 GWY458820 GNC458820 GDG458820 FTK458820 FJO458820 EZS458820 EPW458820 EGA458820 DWE458820 DMI458820 DCM458820 CSQ458820 CIU458820 BYY458820 BPC458820 BFG458820 AVK458820 ALO458820 ABS458820 RW458820 IA458820 E458820 WUM393284 WKQ393284 WAU393284 VQY393284 VHC393284 UXG393284 UNK393284 UDO393284 TTS393284 TJW393284 TAA393284 SQE393284 SGI393284 RWM393284 RMQ393284 RCU393284 QSY393284 QJC393284 PZG393284 PPK393284 PFO393284 OVS393284 OLW393284 OCA393284 NSE393284 NII393284 MYM393284 MOQ393284 MEU393284 LUY393284 LLC393284 LBG393284 KRK393284 KHO393284 JXS393284 JNW393284 JEA393284 IUE393284 IKI393284 IAM393284 HQQ393284 HGU393284 GWY393284 GNC393284 GDG393284 FTK393284 FJO393284 EZS393284 EPW393284 EGA393284 DWE393284 DMI393284 DCM393284 CSQ393284 CIU393284 BYY393284 BPC393284 BFG393284 AVK393284 ALO393284 ABS393284 RW393284 IA393284 E393284 WUM327748 WKQ327748 WAU327748 VQY327748 VHC327748 UXG327748 UNK327748 UDO327748 TTS327748 TJW327748 TAA327748 SQE327748 SGI327748 RWM327748 RMQ327748 RCU327748 QSY327748 QJC327748 PZG327748 PPK327748 PFO327748 OVS327748 OLW327748 OCA327748 NSE327748 NII327748 MYM327748 MOQ327748 MEU327748 LUY327748 LLC327748 LBG327748 KRK327748 KHO327748 JXS327748 JNW327748 JEA327748 IUE327748 IKI327748 IAM327748 HQQ327748 HGU327748 GWY327748 GNC327748 GDG327748 FTK327748 FJO327748 EZS327748 EPW327748 EGA327748 DWE327748 DMI327748 DCM327748 CSQ327748 CIU327748 BYY327748 BPC327748 BFG327748 AVK327748 ALO327748 ABS327748 RW327748 IA327748 E327748 WUM262212 WKQ262212 WAU262212 VQY262212 VHC262212 UXG262212 UNK262212 UDO262212 TTS262212 TJW262212 TAA262212 SQE262212 SGI262212 RWM262212 RMQ262212 RCU262212 QSY262212 QJC262212 PZG262212 PPK262212 PFO262212 OVS262212 OLW262212 OCA262212 NSE262212 NII262212 MYM262212 MOQ262212 MEU262212 LUY262212 LLC262212 LBG262212 KRK262212 KHO262212 JXS262212 JNW262212 JEA262212 IUE262212 IKI262212 IAM262212 HQQ262212 HGU262212 GWY262212 GNC262212 GDG262212 FTK262212 FJO262212 EZS262212 EPW262212 EGA262212 DWE262212 DMI262212 DCM262212 CSQ262212 CIU262212 BYY262212 BPC262212 BFG262212 AVK262212 ALO262212 ABS262212 RW262212 IA262212 E262212 WUM196676 WKQ196676 WAU196676 VQY196676 VHC196676 UXG196676 UNK196676 UDO196676 TTS196676 TJW196676 TAA196676 SQE196676 SGI196676 RWM196676 RMQ196676 RCU196676 QSY196676 QJC196676 PZG196676 PPK196676 PFO196676 OVS196676 OLW196676 OCA196676 NSE196676 NII196676 MYM196676 MOQ196676 MEU196676 LUY196676 LLC196676 LBG196676 KRK196676 KHO196676 JXS196676 JNW196676 JEA196676 IUE196676 IKI196676 IAM196676 HQQ196676 HGU196676 GWY196676 GNC196676 GDG196676 FTK196676 FJO196676 EZS196676 EPW196676 EGA196676 DWE196676 DMI196676 DCM196676 CSQ196676 CIU196676 BYY196676 BPC196676 BFG196676 AVK196676 ALO196676 ABS196676 RW196676 IA196676 E196676 WUM131140 WKQ131140 WAU131140 VQY131140 VHC131140 UXG131140 UNK131140 UDO131140 TTS131140 TJW131140 TAA131140 SQE131140 SGI131140 RWM131140 RMQ131140 RCU131140 QSY131140 QJC131140 PZG131140 PPK131140 PFO131140 OVS131140 OLW131140 OCA131140 NSE131140 NII131140 MYM131140 MOQ131140 MEU131140 LUY131140 LLC131140 LBG131140 KRK131140 KHO131140 JXS131140 JNW131140 JEA131140 IUE131140 IKI131140 IAM131140 HQQ131140 HGU131140 GWY131140 GNC131140 GDG131140 FTK131140 FJO131140 EZS131140 EPW131140 EGA131140 DWE131140 DMI131140 DCM131140 CSQ131140 CIU131140 BYY131140 BPC131140 BFG131140 AVK131140 ALO131140 ABS131140 RW131140 IA131140 E131140 WUM65604 WKQ65604 WAU65604 VQY65604 VHC65604 UXG65604 UNK65604 UDO65604 TTS65604 TJW65604 TAA65604 SQE65604 SGI65604 RWM65604 RMQ65604 RCU65604 QSY65604 QJC65604 PZG65604 PPK65604 PFO65604 OVS65604 OLW65604 OCA65604 NSE65604 NII65604 MYM65604 MOQ65604 MEU65604 LUY65604 LLC65604 LBG65604 KRK65604 KHO65604 JXS65604 JNW65604 JEA65604 IUE65604 IKI65604 IAM65604 HQQ65604 HGU65604 GWY65604 GNC65604 GDG65604 FTK65604 FJO65604 EZS65604 EPW65604 EGA65604 DWE65604 DMI65604 DCM65604 CSQ65604 CIU65604 BYY65604 BPC65604 BFG65604 AVK65604 ALO65604 ABS65604 RW65604 IA65604 E65604 WUM42 WKQ42 WAU42 VQY42 VHC42 UXG42 UNK42 UDO42 TTS42 TJW42 TAA42 SQE42 SGI42 RWM42 RMQ42 RCU42 QSY42 QJC42 PZG42 PPK42 PFO42 OVS42 OLW42 OCA42 NSE42 NII42 MYM42 MOQ42 MEU42 LUY42 LLC42 LBG42 KRK42 KHO42 JXS42 JNW42 JEA42 IUE42 IKI42 IAM42 HQQ42 HGU42 GWY42 GNC42 GDG42 FTK42 FJO42 EZS42 EPW42 EGA42 DWE42 DMI42 DCM42 CSQ42 CIU42 BYY42 BPC42 BFG42 AVK42 ALO42 ABS42 RW42 IA42 WUM983096:WUM983097 WKQ983096:WKQ983097 WAU983096:WAU983097 VQY983096:VQY983097 VHC983096:VHC983097 UXG983096:UXG983097 UNK983096:UNK983097 UDO983096:UDO983097 TTS983096:TTS983097 TJW983096:TJW983097 TAA983096:TAA983097 SQE983096:SQE983097 SGI983096:SGI983097 RWM983096:RWM983097 RMQ983096:RMQ983097 RCU983096:RCU983097 QSY983096:QSY983097 QJC983096:QJC983097 PZG983096:PZG983097 PPK983096:PPK983097 PFO983096:PFO983097 OVS983096:OVS983097 OLW983096:OLW983097 OCA983096:OCA983097 NSE983096:NSE983097 NII983096:NII983097 MYM983096:MYM983097 MOQ983096:MOQ983097 MEU983096:MEU983097 LUY983096:LUY983097 LLC983096:LLC983097 LBG983096:LBG983097 KRK983096:KRK983097 KHO983096:KHO983097 JXS983096:JXS983097 JNW983096:JNW983097 JEA983096:JEA983097 IUE983096:IUE983097 IKI983096:IKI983097 IAM983096:IAM983097 HQQ983096:HQQ983097 HGU983096:HGU983097 GWY983096:GWY983097 GNC983096:GNC983097 GDG983096:GDG983097 FTK983096:FTK983097 FJO983096:FJO983097 EZS983096:EZS983097 EPW983096:EPW983097 EGA983096:EGA983097 DWE983096:DWE983097 DMI983096:DMI983097 DCM983096:DCM983097 CSQ983096:CSQ983097 CIU983096:CIU983097 BYY983096:BYY983097 BPC983096:BPC983097 BFG983096:BFG983097 AVK983096:AVK983097 ALO983096:ALO983097 ABS983096:ABS983097 RW983096:RW983097 IA983096:IA983097 E983096:E983097 WUM917560:WUM917561 WKQ917560:WKQ917561 WAU917560:WAU917561 VQY917560:VQY917561 VHC917560:VHC917561 UXG917560:UXG917561 UNK917560:UNK917561 UDO917560:UDO917561 TTS917560:TTS917561 TJW917560:TJW917561 TAA917560:TAA917561 SQE917560:SQE917561 SGI917560:SGI917561 RWM917560:RWM917561 RMQ917560:RMQ917561 RCU917560:RCU917561 QSY917560:QSY917561 QJC917560:QJC917561 PZG917560:PZG917561 PPK917560:PPK917561 PFO917560:PFO917561 OVS917560:OVS917561 OLW917560:OLW917561 OCA917560:OCA917561 NSE917560:NSE917561 NII917560:NII917561 MYM917560:MYM917561 MOQ917560:MOQ917561 MEU917560:MEU917561 LUY917560:LUY917561 LLC917560:LLC917561 LBG917560:LBG917561 KRK917560:KRK917561 KHO917560:KHO917561 JXS917560:JXS917561 JNW917560:JNW917561 JEA917560:JEA917561 IUE917560:IUE917561 IKI917560:IKI917561 IAM917560:IAM917561 HQQ917560:HQQ917561 HGU917560:HGU917561 GWY917560:GWY917561 GNC917560:GNC917561 GDG917560:GDG917561 FTK917560:FTK917561 FJO917560:FJO917561 EZS917560:EZS917561 EPW917560:EPW917561 EGA917560:EGA917561 DWE917560:DWE917561 DMI917560:DMI917561 DCM917560:DCM917561 CSQ917560:CSQ917561 CIU917560:CIU917561 BYY917560:BYY917561 BPC917560:BPC917561 BFG917560:BFG917561 AVK917560:AVK917561 ALO917560:ALO917561 ABS917560:ABS917561 RW917560:RW917561 IA917560:IA917561 E917560:E917561 WUM852024:WUM852025 WKQ852024:WKQ852025 WAU852024:WAU852025 VQY852024:VQY852025 VHC852024:VHC852025 UXG852024:UXG852025 UNK852024:UNK852025 UDO852024:UDO852025 TTS852024:TTS852025 TJW852024:TJW852025 TAA852024:TAA852025 SQE852024:SQE852025 SGI852024:SGI852025 RWM852024:RWM852025 RMQ852024:RMQ852025 RCU852024:RCU852025 QSY852024:QSY852025 QJC852024:QJC852025 PZG852024:PZG852025 PPK852024:PPK852025 PFO852024:PFO852025 OVS852024:OVS852025 OLW852024:OLW852025 OCA852024:OCA852025 NSE852024:NSE852025 NII852024:NII852025 MYM852024:MYM852025 MOQ852024:MOQ852025 MEU852024:MEU852025 LUY852024:LUY852025 LLC852024:LLC852025 LBG852024:LBG852025 KRK852024:KRK852025 KHO852024:KHO852025 JXS852024:JXS852025 JNW852024:JNW852025 JEA852024:JEA852025 IUE852024:IUE852025 IKI852024:IKI852025 IAM852024:IAM852025 HQQ852024:HQQ852025 HGU852024:HGU852025 GWY852024:GWY852025 GNC852024:GNC852025 GDG852024:GDG852025 FTK852024:FTK852025 FJO852024:FJO852025 EZS852024:EZS852025 EPW852024:EPW852025 EGA852024:EGA852025 DWE852024:DWE852025 DMI852024:DMI852025 DCM852024:DCM852025 CSQ852024:CSQ852025 CIU852024:CIU852025 BYY852024:BYY852025 BPC852024:BPC852025 BFG852024:BFG852025 AVK852024:AVK852025 ALO852024:ALO852025 ABS852024:ABS852025 RW852024:RW852025 IA852024:IA852025 E852024:E852025 WUM786488:WUM786489 WKQ786488:WKQ786489 WAU786488:WAU786489 VQY786488:VQY786489 VHC786488:VHC786489 UXG786488:UXG786489 UNK786488:UNK786489 UDO786488:UDO786489 TTS786488:TTS786489 TJW786488:TJW786489 TAA786488:TAA786489 SQE786488:SQE786489 SGI786488:SGI786489 RWM786488:RWM786489 RMQ786488:RMQ786489 RCU786488:RCU786489 QSY786488:QSY786489 QJC786488:QJC786489 PZG786488:PZG786489 PPK786488:PPK786489 PFO786488:PFO786489 OVS786488:OVS786489 OLW786488:OLW786489 OCA786488:OCA786489 NSE786488:NSE786489 NII786488:NII786489 MYM786488:MYM786489 MOQ786488:MOQ786489 MEU786488:MEU786489 LUY786488:LUY786489 LLC786488:LLC786489 LBG786488:LBG786489 KRK786488:KRK786489 KHO786488:KHO786489 JXS786488:JXS786489 JNW786488:JNW786489 JEA786488:JEA786489 IUE786488:IUE786489 IKI786488:IKI786489 IAM786488:IAM786489 HQQ786488:HQQ786489 HGU786488:HGU786489 GWY786488:GWY786489 GNC786488:GNC786489 GDG786488:GDG786489 FTK786488:FTK786489 FJO786488:FJO786489 EZS786488:EZS786489 EPW786488:EPW786489 EGA786488:EGA786489 DWE786488:DWE786489 DMI786488:DMI786489 DCM786488:DCM786489 CSQ786488:CSQ786489 CIU786488:CIU786489 BYY786488:BYY786489 BPC786488:BPC786489 BFG786488:BFG786489 AVK786488:AVK786489 ALO786488:ALO786489 ABS786488:ABS786489 RW786488:RW786489 IA786488:IA786489 E786488:E786489 WUM720952:WUM720953 WKQ720952:WKQ720953 WAU720952:WAU720953 VQY720952:VQY720953 VHC720952:VHC720953 UXG720952:UXG720953 UNK720952:UNK720953 UDO720952:UDO720953 TTS720952:TTS720953 TJW720952:TJW720953 TAA720952:TAA720953 SQE720952:SQE720953 SGI720952:SGI720953 RWM720952:RWM720953 RMQ720952:RMQ720953 RCU720952:RCU720953 QSY720952:QSY720953 QJC720952:QJC720953 PZG720952:PZG720953 PPK720952:PPK720953 PFO720952:PFO720953 OVS720952:OVS720953 OLW720952:OLW720953 OCA720952:OCA720953 NSE720952:NSE720953 NII720952:NII720953 MYM720952:MYM720953 MOQ720952:MOQ720953 MEU720952:MEU720953 LUY720952:LUY720953 LLC720952:LLC720953 LBG720952:LBG720953 KRK720952:KRK720953 KHO720952:KHO720953 JXS720952:JXS720953 JNW720952:JNW720953 JEA720952:JEA720953 IUE720952:IUE720953 IKI720952:IKI720953 IAM720952:IAM720953 HQQ720952:HQQ720953 HGU720952:HGU720953 GWY720952:GWY720953 GNC720952:GNC720953 GDG720952:GDG720953 FTK720952:FTK720953 FJO720952:FJO720953 EZS720952:EZS720953 EPW720952:EPW720953 EGA720952:EGA720953 DWE720952:DWE720953 DMI720952:DMI720953 DCM720952:DCM720953 CSQ720952:CSQ720953 CIU720952:CIU720953 BYY720952:BYY720953 BPC720952:BPC720953 BFG720952:BFG720953 AVK720952:AVK720953 ALO720952:ALO720953 ABS720952:ABS720953 RW720952:RW720953 IA720952:IA720953 E720952:E720953 WUM655416:WUM655417 WKQ655416:WKQ655417 WAU655416:WAU655417 VQY655416:VQY655417 VHC655416:VHC655417 UXG655416:UXG655417 UNK655416:UNK655417 UDO655416:UDO655417 TTS655416:TTS655417 TJW655416:TJW655417 TAA655416:TAA655417 SQE655416:SQE655417 SGI655416:SGI655417 RWM655416:RWM655417 RMQ655416:RMQ655417 RCU655416:RCU655417 QSY655416:QSY655417 QJC655416:QJC655417 PZG655416:PZG655417 PPK655416:PPK655417 PFO655416:PFO655417 OVS655416:OVS655417 OLW655416:OLW655417 OCA655416:OCA655417 NSE655416:NSE655417 NII655416:NII655417 MYM655416:MYM655417 MOQ655416:MOQ655417 MEU655416:MEU655417 LUY655416:LUY655417 LLC655416:LLC655417 LBG655416:LBG655417 KRK655416:KRK655417 KHO655416:KHO655417 JXS655416:JXS655417 JNW655416:JNW655417 JEA655416:JEA655417 IUE655416:IUE655417 IKI655416:IKI655417 IAM655416:IAM655417 HQQ655416:HQQ655417 HGU655416:HGU655417 GWY655416:GWY655417 GNC655416:GNC655417 GDG655416:GDG655417 FTK655416:FTK655417 FJO655416:FJO655417 EZS655416:EZS655417 EPW655416:EPW655417 EGA655416:EGA655417 DWE655416:DWE655417 DMI655416:DMI655417 DCM655416:DCM655417 CSQ655416:CSQ655417 CIU655416:CIU655417 BYY655416:BYY655417 BPC655416:BPC655417 BFG655416:BFG655417 AVK655416:AVK655417 ALO655416:ALO655417 ABS655416:ABS655417 RW655416:RW655417 IA655416:IA655417 E655416:E655417 WUM589880:WUM589881 WKQ589880:WKQ589881 WAU589880:WAU589881 VQY589880:VQY589881 VHC589880:VHC589881 UXG589880:UXG589881 UNK589880:UNK589881 UDO589880:UDO589881 TTS589880:TTS589881 TJW589880:TJW589881 TAA589880:TAA589881 SQE589880:SQE589881 SGI589880:SGI589881 RWM589880:RWM589881 RMQ589880:RMQ589881 RCU589880:RCU589881 QSY589880:QSY589881 QJC589880:QJC589881 PZG589880:PZG589881 PPK589880:PPK589881 PFO589880:PFO589881 OVS589880:OVS589881 OLW589880:OLW589881 OCA589880:OCA589881 NSE589880:NSE589881 NII589880:NII589881 MYM589880:MYM589881 MOQ589880:MOQ589881 MEU589880:MEU589881 LUY589880:LUY589881 LLC589880:LLC589881 LBG589880:LBG589881 KRK589880:KRK589881 KHO589880:KHO589881 JXS589880:JXS589881 JNW589880:JNW589881 JEA589880:JEA589881 IUE589880:IUE589881 IKI589880:IKI589881 IAM589880:IAM589881 HQQ589880:HQQ589881 HGU589880:HGU589881 GWY589880:GWY589881 GNC589880:GNC589881 GDG589880:GDG589881 FTK589880:FTK589881 FJO589880:FJO589881 EZS589880:EZS589881 EPW589880:EPW589881 EGA589880:EGA589881 DWE589880:DWE589881 DMI589880:DMI589881 DCM589880:DCM589881 CSQ589880:CSQ589881 CIU589880:CIU589881 BYY589880:BYY589881 BPC589880:BPC589881 BFG589880:BFG589881 AVK589880:AVK589881 ALO589880:ALO589881 ABS589880:ABS589881 RW589880:RW589881 IA589880:IA589881 E589880:E589881 WUM524344:WUM524345 WKQ524344:WKQ524345 WAU524344:WAU524345 VQY524344:VQY524345 VHC524344:VHC524345 UXG524344:UXG524345 UNK524344:UNK524345 UDO524344:UDO524345 TTS524344:TTS524345 TJW524344:TJW524345 TAA524344:TAA524345 SQE524344:SQE524345 SGI524344:SGI524345 RWM524344:RWM524345 RMQ524344:RMQ524345 RCU524344:RCU524345 QSY524344:QSY524345 QJC524344:QJC524345 PZG524344:PZG524345 PPK524344:PPK524345 PFO524344:PFO524345 OVS524344:OVS524345 OLW524344:OLW524345 OCA524344:OCA524345 NSE524344:NSE524345 NII524344:NII524345 MYM524344:MYM524345 MOQ524344:MOQ524345 MEU524344:MEU524345 LUY524344:LUY524345 LLC524344:LLC524345 LBG524344:LBG524345 KRK524344:KRK524345 KHO524344:KHO524345 JXS524344:JXS524345 JNW524344:JNW524345 JEA524344:JEA524345 IUE524344:IUE524345 IKI524344:IKI524345 IAM524344:IAM524345 HQQ524344:HQQ524345 HGU524344:HGU524345 GWY524344:GWY524345 GNC524344:GNC524345 GDG524344:GDG524345 FTK524344:FTK524345 FJO524344:FJO524345 EZS524344:EZS524345 EPW524344:EPW524345 EGA524344:EGA524345 DWE524344:DWE524345 DMI524344:DMI524345 DCM524344:DCM524345 CSQ524344:CSQ524345 CIU524344:CIU524345 BYY524344:BYY524345 BPC524344:BPC524345 BFG524344:BFG524345 AVK524344:AVK524345 ALO524344:ALO524345 ABS524344:ABS524345 RW524344:RW524345 IA524344:IA524345 E524344:E524345 WUM458808:WUM458809 WKQ458808:WKQ458809 WAU458808:WAU458809 VQY458808:VQY458809 VHC458808:VHC458809 UXG458808:UXG458809 UNK458808:UNK458809 UDO458808:UDO458809 TTS458808:TTS458809 TJW458808:TJW458809 TAA458808:TAA458809 SQE458808:SQE458809 SGI458808:SGI458809 RWM458808:RWM458809 RMQ458808:RMQ458809 RCU458808:RCU458809 QSY458808:QSY458809 QJC458808:QJC458809 PZG458808:PZG458809 PPK458808:PPK458809 PFO458808:PFO458809 OVS458808:OVS458809 OLW458808:OLW458809 OCA458808:OCA458809 NSE458808:NSE458809 NII458808:NII458809 MYM458808:MYM458809 MOQ458808:MOQ458809 MEU458808:MEU458809 LUY458808:LUY458809 LLC458808:LLC458809 LBG458808:LBG458809 KRK458808:KRK458809 KHO458808:KHO458809 JXS458808:JXS458809 JNW458808:JNW458809 JEA458808:JEA458809 IUE458808:IUE458809 IKI458808:IKI458809 IAM458808:IAM458809 HQQ458808:HQQ458809 HGU458808:HGU458809 GWY458808:GWY458809 GNC458808:GNC458809 GDG458808:GDG458809 FTK458808:FTK458809 FJO458808:FJO458809 EZS458808:EZS458809 EPW458808:EPW458809 EGA458808:EGA458809 DWE458808:DWE458809 DMI458808:DMI458809 DCM458808:DCM458809 CSQ458808:CSQ458809 CIU458808:CIU458809 BYY458808:BYY458809 BPC458808:BPC458809 BFG458808:BFG458809 AVK458808:AVK458809 ALO458808:ALO458809 ABS458808:ABS458809 RW458808:RW458809 IA458808:IA458809 E458808:E458809 WUM393272:WUM393273 WKQ393272:WKQ393273 WAU393272:WAU393273 VQY393272:VQY393273 VHC393272:VHC393273 UXG393272:UXG393273 UNK393272:UNK393273 UDO393272:UDO393273 TTS393272:TTS393273 TJW393272:TJW393273 TAA393272:TAA393273 SQE393272:SQE393273 SGI393272:SGI393273 RWM393272:RWM393273 RMQ393272:RMQ393273 RCU393272:RCU393273 QSY393272:QSY393273 QJC393272:QJC393273 PZG393272:PZG393273 PPK393272:PPK393273 PFO393272:PFO393273 OVS393272:OVS393273 OLW393272:OLW393273 OCA393272:OCA393273 NSE393272:NSE393273 NII393272:NII393273 MYM393272:MYM393273 MOQ393272:MOQ393273 MEU393272:MEU393273 LUY393272:LUY393273 LLC393272:LLC393273 LBG393272:LBG393273 KRK393272:KRK393273 KHO393272:KHO393273 JXS393272:JXS393273 JNW393272:JNW393273 JEA393272:JEA393273 IUE393272:IUE393273 IKI393272:IKI393273 IAM393272:IAM393273 HQQ393272:HQQ393273 HGU393272:HGU393273 GWY393272:GWY393273 GNC393272:GNC393273 GDG393272:GDG393273 FTK393272:FTK393273 FJO393272:FJO393273 EZS393272:EZS393273 EPW393272:EPW393273 EGA393272:EGA393273 DWE393272:DWE393273 DMI393272:DMI393273 DCM393272:DCM393273 CSQ393272:CSQ393273 CIU393272:CIU393273 BYY393272:BYY393273 BPC393272:BPC393273 BFG393272:BFG393273 AVK393272:AVK393273 ALO393272:ALO393273 ABS393272:ABS393273 RW393272:RW393273 IA393272:IA393273 E393272:E393273 WUM327736:WUM327737 WKQ327736:WKQ327737 WAU327736:WAU327737 VQY327736:VQY327737 VHC327736:VHC327737 UXG327736:UXG327737 UNK327736:UNK327737 UDO327736:UDO327737 TTS327736:TTS327737 TJW327736:TJW327737 TAA327736:TAA327737 SQE327736:SQE327737 SGI327736:SGI327737 RWM327736:RWM327737 RMQ327736:RMQ327737 RCU327736:RCU327737 QSY327736:QSY327737 QJC327736:QJC327737 PZG327736:PZG327737 PPK327736:PPK327737 PFO327736:PFO327737 OVS327736:OVS327737 OLW327736:OLW327737 OCA327736:OCA327737 NSE327736:NSE327737 NII327736:NII327737 MYM327736:MYM327737 MOQ327736:MOQ327737 MEU327736:MEU327737 LUY327736:LUY327737 LLC327736:LLC327737 LBG327736:LBG327737 KRK327736:KRK327737 KHO327736:KHO327737 JXS327736:JXS327737 JNW327736:JNW327737 JEA327736:JEA327737 IUE327736:IUE327737 IKI327736:IKI327737 IAM327736:IAM327737 HQQ327736:HQQ327737 HGU327736:HGU327737 GWY327736:GWY327737 GNC327736:GNC327737 GDG327736:GDG327737 FTK327736:FTK327737 FJO327736:FJO327737 EZS327736:EZS327737 EPW327736:EPW327737 EGA327736:EGA327737 DWE327736:DWE327737 DMI327736:DMI327737 DCM327736:DCM327737 CSQ327736:CSQ327737 CIU327736:CIU327737 BYY327736:BYY327737 BPC327736:BPC327737 BFG327736:BFG327737 AVK327736:AVK327737 ALO327736:ALO327737 ABS327736:ABS327737 RW327736:RW327737 IA327736:IA327737 E327736:E327737 WUM262200:WUM262201 WKQ262200:WKQ262201 WAU262200:WAU262201 VQY262200:VQY262201 VHC262200:VHC262201 UXG262200:UXG262201 UNK262200:UNK262201 UDO262200:UDO262201 TTS262200:TTS262201 TJW262200:TJW262201 TAA262200:TAA262201 SQE262200:SQE262201 SGI262200:SGI262201 RWM262200:RWM262201 RMQ262200:RMQ262201 RCU262200:RCU262201 QSY262200:QSY262201 QJC262200:QJC262201 PZG262200:PZG262201 PPK262200:PPK262201 PFO262200:PFO262201 OVS262200:OVS262201 OLW262200:OLW262201 OCA262200:OCA262201 NSE262200:NSE262201 NII262200:NII262201 MYM262200:MYM262201 MOQ262200:MOQ262201 MEU262200:MEU262201 LUY262200:LUY262201 LLC262200:LLC262201 LBG262200:LBG262201 KRK262200:KRK262201 KHO262200:KHO262201 JXS262200:JXS262201 JNW262200:JNW262201 JEA262200:JEA262201 IUE262200:IUE262201 IKI262200:IKI262201 IAM262200:IAM262201 HQQ262200:HQQ262201 HGU262200:HGU262201 GWY262200:GWY262201 GNC262200:GNC262201 GDG262200:GDG262201 FTK262200:FTK262201 FJO262200:FJO262201 EZS262200:EZS262201 EPW262200:EPW262201 EGA262200:EGA262201 DWE262200:DWE262201 DMI262200:DMI262201 DCM262200:DCM262201 CSQ262200:CSQ262201 CIU262200:CIU262201 BYY262200:BYY262201 BPC262200:BPC262201 BFG262200:BFG262201 AVK262200:AVK262201 ALO262200:ALO262201 ABS262200:ABS262201 RW262200:RW262201 IA262200:IA262201 E262200:E262201 WUM196664:WUM196665 WKQ196664:WKQ196665 WAU196664:WAU196665 VQY196664:VQY196665 VHC196664:VHC196665 UXG196664:UXG196665 UNK196664:UNK196665 UDO196664:UDO196665 TTS196664:TTS196665 TJW196664:TJW196665 TAA196664:TAA196665 SQE196664:SQE196665 SGI196664:SGI196665 RWM196664:RWM196665 RMQ196664:RMQ196665 RCU196664:RCU196665 QSY196664:QSY196665 QJC196664:QJC196665 PZG196664:PZG196665 PPK196664:PPK196665 PFO196664:PFO196665 OVS196664:OVS196665 OLW196664:OLW196665 OCA196664:OCA196665 NSE196664:NSE196665 NII196664:NII196665 MYM196664:MYM196665 MOQ196664:MOQ196665 MEU196664:MEU196665 LUY196664:LUY196665 LLC196664:LLC196665 LBG196664:LBG196665 KRK196664:KRK196665 KHO196664:KHO196665 JXS196664:JXS196665 JNW196664:JNW196665 JEA196664:JEA196665 IUE196664:IUE196665 IKI196664:IKI196665 IAM196664:IAM196665 HQQ196664:HQQ196665 HGU196664:HGU196665 GWY196664:GWY196665 GNC196664:GNC196665 GDG196664:GDG196665 FTK196664:FTK196665 FJO196664:FJO196665 EZS196664:EZS196665 EPW196664:EPW196665 EGA196664:EGA196665 DWE196664:DWE196665 DMI196664:DMI196665 DCM196664:DCM196665 CSQ196664:CSQ196665 CIU196664:CIU196665 BYY196664:BYY196665 BPC196664:BPC196665 BFG196664:BFG196665 AVK196664:AVK196665 ALO196664:ALO196665 ABS196664:ABS196665 RW196664:RW196665 IA196664:IA196665 E196664:E196665 WUM131128:WUM131129 WKQ131128:WKQ131129 WAU131128:WAU131129 VQY131128:VQY131129 VHC131128:VHC131129 UXG131128:UXG131129 UNK131128:UNK131129 UDO131128:UDO131129 TTS131128:TTS131129 TJW131128:TJW131129 TAA131128:TAA131129 SQE131128:SQE131129 SGI131128:SGI131129 RWM131128:RWM131129 RMQ131128:RMQ131129 RCU131128:RCU131129 QSY131128:QSY131129 QJC131128:QJC131129 PZG131128:PZG131129 PPK131128:PPK131129 PFO131128:PFO131129 OVS131128:OVS131129 OLW131128:OLW131129 OCA131128:OCA131129 NSE131128:NSE131129 NII131128:NII131129 MYM131128:MYM131129 MOQ131128:MOQ131129 MEU131128:MEU131129 LUY131128:LUY131129 LLC131128:LLC131129 LBG131128:LBG131129 KRK131128:KRK131129 KHO131128:KHO131129 JXS131128:JXS131129 JNW131128:JNW131129 JEA131128:JEA131129 IUE131128:IUE131129 IKI131128:IKI131129 IAM131128:IAM131129 HQQ131128:HQQ131129 HGU131128:HGU131129 GWY131128:GWY131129 GNC131128:GNC131129 GDG131128:GDG131129 FTK131128:FTK131129 FJO131128:FJO131129 EZS131128:EZS131129 EPW131128:EPW131129 EGA131128:EGA131129 DWE131128:DWE131129 DMI131128:DMI131129 DCM131128:DCM131129 CSQ131128:CSQ131129 CIU131128:CIU131129 BYY131128:BYY131129 BPC131128:BPC131129 BFG131128:BFG131129 AVK131128:AVK131129 ALO131128:ALO131129 ABS131128:ABS131129 RW131128:RW131129 IA131128:IA131129 E131128:E131129 WUM65592:WUM65593 WKQ65592:WKQ65593 WAU65592:WAU65593 VQY65592:VQY65593 VHC65592:VHC65593 UXG65592:UXG65593 UNK65592:UNK65593 UDO65592:UDO65593 TTS65592:TTS65593 TJW65592:TJW65593 TAA65592:TAA65593 SQE65592:SQE65593 SGI65592:SGI65593 RWM65592:RWM65593 RMQ65592:RMQ65593 RCU65592:RCU65593 QSY65592:QSY65593 QJC65592:QJC65593 PZG65592:PZG65593 PPK65592:PPK65593 PFO65592:PFO65593 OVS65592:OVS65593 OLW65592:OLW65593 OCA65592:OCA65593 NSE65592:NSE65593 NII65592:NII65593 MYM65592:MYM65593 MOQ65592:MOQ65593 MEU65592:MEU65593 LUY65592:LUY65593 LLC65592:LLC65593 LBG65592:LBG65593 KRK65592:KRK65593 KHO65592:KHO65593 JXS65592:JXS65593 JNW65592:JNW65593 JEA65592:JEA65593 IUE65592:IUE65593 IKI65592:IKI65593 IAM65592:IAM65593 HQQ65592:HQQ65593 HGU65592:HGU65593 GWY65592:GWY65593 GNC65592:GNC65593 GDG65592:GDG65593 FTK65592:FTK65593 FJO65592:FJO65593 EZS65592:EZS65593 EPW65592:EPW65593 EGA65592:EGA65593 DWE65592:DWE65593 DMI65592:DMI65593 DCM65592:DCM65593 CSQ65592:CSQ65593 CIU65592:CIU65593 BYY65592:BYY65593 BPC65592:BPC65593 BFG65592:BFG65593 AVK65592:AVK65593 ALO65592:ALO65593 ABS65592:ABS65593 RW65592:RW65593 IA65592:IA65593" xr:uid="{00000000-0002-0000-0A00-000003000000}">
      <formula1>$O$6:$O$8</formula1>
    </dataValidation>
    <dataValidation type="list" allowBlank="1" showInputMessage="1" showErrorMessage="1" sqref="RW44 ABS44 ALO44 AVK44 BFG44 BPC44 BYY44 CIU44 CSQ44 DCM44 DMI44 DWE44 EGA44 EPW44 EZS44 FJO44 FTK44 GDG44 GNC44 GWY44 HGU44 HQQ44 IAM44 IKI44 IUE44 JEA44 JNW44 JXS44 KHO44 KRK44 LBG44 LLC44 LUY44 MEU44 MOQ44 MYM44 NII44 NSE44 OCA44 OLW44 OVS44 PFO44 PPK44 PZG44 QJC44 QSY44 RCU44 RMQ44 RWM44 SGI44 SQE44 TAA44 TJW44 TTS44 UDO44 UNK44 UXG44 VHC44 VQY44 WAU44 WKQ44 WUM44 E65608:E65610 IA65608:IA65610 RW65608:RW65610 ABS65608:ABS65610 ALO65608:ALO65610 AVK65608:AVK65610 BFG65608:BFG65610 BPC65608:BPC65610 BYY65608:BYY65610 CIU65608:CIU65610 CSQ65608:CSQ65610 DCM65608:DCM65610 DMI65608:DMI65610 DWE65608:DWE65610 EGA65608:EGA65610 EPW65608:EPW65610 EZS65608:EZS65610 FJO65608:FJO65610 FTK65608:FTK65610 GDG65608:GDG65610 GNC65608:GNC65610 GWY65608:GWY65610 HGU65608:HGU65610 HQQ65608:HQQ65610 IAM65608:IAM65610 IKI65608:IKI65610 IUE65608:IUE65610 JEA65608:JEA65610 JNW65608:JNW65610 JXS65608:JXS65610 KHO65608:KHO65610 KRK65608:KRK65610 LBG65608:LBG65610 LLC65608:LLC65610 LUY65608:LUY65610 MEU65608:MEU65610 MOQ65608:MOQ65610 MYM65608:MYM65610 NII65608:NII65610 NSE65608:NSE65610 OCA65608:OCA65610 OLW65608:OLW65610 OVS65608:OVS65610 PFO65608:PFO65610 PPK65608:PPK65610 PZG65608:PZG65610 QJC65608:QJC65610 QSY65608:QSY65610 RCU65608:RCU65610 RMQ65608:RMQ65610 RWM65608:RWM65610 SGI65608:SGI65610 SQE65608:SQE65610 TAA65608:TAA65610 TJW65608:TJW65610 TTS65608:TTS65610 UDO65608:UDO65610 UNK65608:UNK65610 UXG65608:UXG65610 VHC65608:VHC65610 VQY65608:VQY65610 WAU65608:WAU65610 WKQ65608:WKQ65610 WUM65608:WUM65610 E131144:E131146 IA131144:IA131146 RW131144:RW131146 ABS131144:ABS131146 ALO131144:ALO131146 AVK131144:AVK131146 BFG131144:BFG131146 BPC131144:BPC131146 BYY131144:BYY131146 CIU131144:CIU131146 CSQ131144:CSQ131146 DCM131144:DCM131146 DMI131144:DMI131146 DWE131144:DWE131146 EGA131144:EGA131146 EPW131144:EPW131146 EZS131144:EZS131146 FJO131144:FJO131146 FTK131144:FTK131146 GDG131144:GDG131146 GNC131144:GNC131146 GWY131144:GWY131146 HGU131144:HGU131146 HQQ131144:HQQ131146 IAM131144:IAM131146 IKI131144:IKI131146 IUE131144:IUE131146 JEA131144:JEA131146 JNW131144:JNW131146 JXS131144:JXS131146 KHO131144:KHO131146 KRK131144:KRK131146 LBG131144:LBG131146 LLC131144:LLC131146 LUY131144:LUY131146 MEU131144:MEU131146 MOQ131144:MOQ131146 MYM131144:MYM131146 NII131144:NII131146 NSE131144:NSE131146 OCA131144:OCA131146 OLW131144:OLW131146 OVS131144:OVS131146 PFO131144:PFO131146 PPK131144:PPK131146 PZG131144:PZG131146 QJC131144:QJC131146 QSY131144:QSY131146 RCU131144:RCU131146 RMQ131144:RMQ131146 RWM131144:RWM131146 SGI131144:SGI131146 SQE131144:SQE131146 TAA131144:TAA131146 TJW131144:TJW131146 TTS131144:TTS131146 UDO131144:UDO131146 UNK131144:UNK131146 UXG131144:UXG131146 VHC131144:VHC131146 VQY131144:VQY131146 WAU131144:WAU131146 WKQ131144:WKQ131146 WUM131144:WUM131146 E196680:E196682 IA196680:IA196682 RW196680:RW196682 ABS196680:ABS196682 ALO196680:ALO196682 AVK196680:AVK196682 BFG196680:BFG196682 BPC196680:BPC196682 BYY196680:BYY196682 CIU196680:CIU196682 CSQ196680:CSQ196682 DCM196680:DCM196682 DMI196680:DMI196682 DWE196680:DWE196682 EGA196680:EGA196682 EPW196680:EPW196682 EZS196680:EZS196682 FJO196680:FJO196682 FTK196680:FTK196682 GDG196680:GDG196682 GNC196680:GNC196682 GWY196680:GWY196682 HGU196680:HGU196682 HQQ196680:HQQ196682 IAM196680:IAM196682 IKI196680:IKI196682 IUE196680:IUE196682 JEA196680:JEA196682 JNW196680:JNW196682 JXS196680:JXS196682 KHO196680:KHO196682 KRK196680:KRK196682 LBG196680:LBG196682 LLC196680:LLC196682 LUY196680:LUY196682 MEU196680:MEU196682 MOQ196680:MOQ196682 MYM196680:MYM196682 NII196680:NII196682 NSE196680:NSE196682 OCA196680:OCA196682 OLW196680:OLW196682 OVS196680:OVS196682 PFO196680:PFO196682 PPK196680:PPK196682 PZG196680:PZG196682 QJC196680:QJC196682 QSY196680:QSY196682 RCU196680:RCU196682 RMQ196680:RMQ196682 RWM196680:RWM196682 SGI196680:SGI196682 SQE196680:SQE196682 TAA196680:TAA196682 TJW196680:TJW196682 TTS196680:TTS196682 UDO196680:UDO196682 UNK196680:UNK196682 UXG196680:UXG196682 VHC196680:VHC196682 VQY196680:VQY196682 WAU196680:WAU196682 WKQ196680:WKQ196682 WUM196680:WUM196682 E262216:E262218 IA262216:IA262218 RW262216:RW262218 ABS262216:ABS262218 ALO262216:ALO262218 AVK262216:AVK262218 BFG262216:BFG262218 BPC262216:BPC262218 BYY262216:BYY262218 CIU262216:CIU262218 CSQ262216:CSQ262218 DCM262216:DCM262218 DMI262216:DMI262218 DWE262216:DWE262218 EGA262216:EGA262218 EPW262216:EPW262218 EZS262216:EZS262218 FJO262216:FJO262218 FTK262216:FTK262218 GDG262216:GDG262218 GNC262216:GNC262218 GWY262216:GWY262218 HGU262216:HGU262218 HQQ262216:HQQ262218 IAM262216:IAM262218 IKI262216:IKI262218 IUE262216:IUE262218 JEA262216:JEA262218 JNW262216:JNW262218 JXS262216:JXS262218 KHO262216:KHO262218 KRK262216:KRK262218 LBG262216:LBG262218 LLC262216:LLC262218 LUY262216:LUY262218 MEU262216:MEU262218 MOQ262216:MOQ262218 MYM262216:MYM262218 NII262216:NII262218 NSE262216:NSE262218 OCA262216:OCA262218 OLW262216:OLW262218 OVS262216:OVS262218 PFO262216:PFO262218 PPK262216:PPK262218 PZG262216:PZG262218 QJC262216:QJC262218 QSY262216:QSY262218 RCU262216:RCU262218 RMQ262216:RMQ262218 RWM262216:RWM262218 SGI262216:SGI262218 SQE262216:SQE262218 TAA262216:TAA262218 TJW262216:TJW262218 TTS262216:TTS262218 UDO262216:UDO262218 UNK262216:UNK262218 UXG262216:UXG262218 VHC262216:VHC262218 VQY262216:VQY262218 WAU262216:WAU262218 WKQ262216:WKQ262218 WUM262216:WUM262218 E327752:E327754 IA327752:IA327754 RW327752:RW327754 ABS327752:ABS327754 ALO327752:ALO327754 AVK327752:AVK327754 BFG327752:BFG327754 BPC327752:BPC327754 BYY327752:BYY327754 CIU327752:CIU327754 CSQ327752:CSQ327754 DCM327752:DCM327754 DMI327752:DMI327754 DWE327752:DWE327754 EGA327752:EGA327754 EPW327752:EPW327754 EZS327752:EZS327754 FJO327752:FJO327754 FTK327752:FTK327754 GDG327752:GDG327754 GNC327752:GNC327754 GWY327752:GWY327754 HGU327752:HGU327754 HQQ327752:HQQ327754 IAM327752:IAM327754 IKI327752:IKI327754 IUE327752:IUE327754 JEA327752:JEA327754 JNW327752:JNW327754 JXS327752:JXS327754 KHO327752:KHO327754 KRK327752:KRK327754 LBG327752:LBG327754 LLC327752:LLC327754 LUY327752:LUY327754 MEU327752:MEU327754 MOQ327752:MOQ327754 MYM327752:MYM327754 NII327752:NII327754 NSE327752:NSE327754 OCA327752:OCA327754 OLW327752:OLW327754 OVS327752:OVS327754 PFO327752:PFO327754 PPK327752:PPK327754 PZG327752:PZG327754 QJC327752:QJC327754 QSY327752:QSY327754 RCU327752:RCU327754 RMQ327752:RMQ327754 RWM327752:RWM327754 SGI327752:SGI327754 SQE327752:SQE327754 TAA327752:TAA327754 TJW327752:TJW327754 TTS327752:TTS327754 UDO327752:UDO327754 UNK327752:UNK327754 UXG327752:UXG327754 VHC327752:VHC327754 VQY327752:VQY327754 WAU327752:WAU327754 WKQ327752:WKQ327754 WUM327752:WUM327754 E393288:E393290 IA393288:IA393290 RW393288:RW393290 ABS393288:ABS393290 ALO393288:ALO393290 AVK393288:AVK393290 BFG393288:BFG393290 BPC393288:BPC393290 BYY393288:BYY393290 CIU393288:CIU393290 CSQ393288:CSQ393290 DCM393288:DCM393290 DMI393288:DMI393290 DWE393288:DWE393290 EGA393288:EGA393290 EPW393288:EPW393290 EZS393288:EZS393290 FJO393288:FJO393290 FTK393288:FTK393290 GDG393288:GDG393290 GNC393288:GNC393290 GWY393288:GWY393290 HGU393288:HGU393290 HQQ393288:HQQ393290 IAM393288:IAM393290 IKI393288:IKI393290 IUE393288:IUE393290 JEA393288:JEA393290 JNW393288:JNW393290 JXS393288:JXS393290 KHO393288:KHO393290 KRK393288:KRK393290 LBG393288:LBG393290 LLC393288:LLC393290 LUY393288:LUY393290 MEU393288:MEU393290 MOQ393288:MOQ393290 MYM393288:MYM393290 NII393288:NII393290 NSE393288:NSE393290 OCA393288:OCA393290 OLW393288:OLW393290 OVS393288:OVS393290 PFO393288:PFO393290 PPK393288:PPK393290 PZG393288:PZG393290 QJC393288:QJC393290 QSY393288:QSY393290 RCU393288:RCU393290 RMQ393288:RMQ393290 RWM393288:RWM393290 SGI393288:SGI393290 SQE393288:SQE393290 TAA393288:TAA393290 TJW393288:TJW393290 TTS393288:TTS393290 UDO393288:UDO393290 UNK393288:UNK393290 UXG393288:UXG393290 VHC393288:VHC393290 VQY393288:VQY393290 WAU393288:WAU393290 WKQ393288:WKQ393290 WUM393288:WUM393290 E458824:E458826 IA458824:IA458826 RW458824:RW458826 ABS458824:ABS458826 ALO458824:ALO458826 AVK458824:AVK458826 BFG458824:BFG458826 BPC458824:BPC458826 BYY458824:BYY458826 CIU458824:CIU458826 CSQ458824:CSQ458826 DCM458824:DCM458826 DMI458824:DMI458826 DWE458824:DWE458826 EGA458824:EGA458826 EPW458824:EPW458826 EZS458824:EZS458826 FJO458824:FJO458826 FTK458824:FTK458826 GDG458824:GDG458826 GNC458824:GNC458826 GWY458824:GWY458826 HGU458824:HGU458826 HQQ458824:HQQ458826 IAM458824:IAM458826 IKI458824:IKI458826 IUE458824:IUE458826 JEA458824:JEA458826 JNW458824:JNW458826 JXS458824:JXS458826 KHO458824:KHO458826 KRK458824:KRK458826 LBG458824:LBG458826 LLC458824:LLC458826 LUY458824:LUY458826 MEU458824:MEU458826 MOQ458824:MOQ458826 MYM458824:MYM458826 NII458824:NII458826 NSE458824:NSE458826 OCA458824:OCA458826 OLW458824:OLW458826 OVS458824:OVS458826 PFO458824:PFO458826 PPK458824:PPK458826 PZG458824:PZG458826 QJC458824:QJC458826 QSY458824:QSY458826 RCU458824:RCU458826 RMQ458824:RMQ458826 RWM458824:RWM458826 SGI458824:SGI458826 SQE458824:SQE458826 TAA458824:TAA458826 TJW458824:TJW458826 TTS458824:TTS458826 UDO458824:UDO458826 UNK458824:UNK458826 UXG458824:UXG458826 VHC458824:VHC458826 VQY458824:VQY458826 WAU458824:WAU458826 WKQ458824:WKQ458826 WUM458824:WUM458826 E524360:E524362 IA524360:IA524362 RW524360:RW524362 ABS524360:ABS524362 ALO524360:ALO524362 AVK524360:AVK524362 BFG524360:BFG524362 BPC524360:BPC524362 BYY524360:BYY524362 CIU524360:CIU524362 CSQ524360:CSQ524362 DCM524360:DCM524362 DMI524360:DMI524362 DWE524360:DWE524362 EGA524360:EGA524362 EPW524360:EPW524362 EZS524360:EZS524362 FJO524360:FJO524362 FTK524360:FTK524362 GDG524360:GDG524362 GNC524360:GNC524362 GWY524360:GWY524362 HGU524360:HGU524362 HQQ524360:HQQ524362 IAM524360:IAM524362 IKI524360:IKI524362 IUE524360:IUE524362 JEA524360:JEA524362 JNW524360:JNW524362 JXS524360:JXS524362 KHO524360:KHO524362 KRK524360:KRK524362 LBG524360:LBG524362 LLC524360:LLC524362 LUY524360:LUY524362 MEU524360:MEU524362 MOQ524360:MOQ524362 MYM524360:MYM524362 NII524360:NII524362 NSE524360:NSE524362 OCA524360:OCA524362 OLW524360:OLW524362 OVS524360:OVS524362 PFO524360:PFO524362 PPK524360:PPK524362 PZG524360:PZG524362 QJC524360:QJC524362 QSY524360:QSY524362 RCU524360:RCU524362 RMQ524360:RMQ524362 RWM524360:RWM524362 SGI524360:SGI524362 SQE524360:SQE524362 TAA524360:TAA524362 TJW524360:TJW524362 TTS524360:TTS524362 UDO524360:UDO524362 UNK524360:UNK524362 UXG524360:UXG524362 VHC524360:VHC524362 VQY524360:VQY524362 WAU524360:WAU524362 WKQ524360:WKQ524362 WUM524360:WUM524362 E589896:E589898 IA589896:IA589898 RW589896:RW589898 ABS589896:ABS589898 ALO589896:ALO589898 AVK589896:AVK589898 BFG589896:BFG589898 BPC589896:BPC589898 BYY589896:BYY589898 CIU589896:CIU589898 CSQ589896:CSQ589898 DCM589896:DCM589898 DMI589896:DMI589898 DWE589896:DWE589898 EGA589896:EGA589898 EPW589896:EPW589898 EZS589896:EZS589898 FJO589896:FJO589898 FTK589896:FTK589898 GDG589896:GDG589898 GNC589896:GNC589898 GWY589896:GWY589898 HGU589896:HGU589898 HQQ589896:HQQ589898 IAM589896:IAM589898 IKI589896:IKI589898 IUE589896:IUE589898 JEA589896:JEA589898 JNW589896:JNW589898 JXS589896:JXS589898 KHO589896:KHO589898 KRK589896:KRK589898 LBG589896:LBG589898 LLC589896:LLC589898 LUY589896:LUY589898 MEU589896:MEU589898 MOQ589896:MOQ589898 MYM589896:MYM589898 NII589896:NII589898 NSE589896:NSE589898 OCA589896:OCA589898 OLW589896:OLW589898 OVS589896:OVS589898 PFO589896:PFO589898 PPK589896:PPK589898 PZG589896:PZG589898 QJC589896:QJC589898 QSY589896:QSY589898 RCU589896:RCU589898 RMQ589896:RMQ589898 RWM589896:RWM589898 SGI589896:SGI589898 SQE589896:SQE589898 TAA589896:TAA589898 TJW589896:TJW589898 TTS589896:TTS589898 UDO589896:UDO589898 UNK589896:UNK589898 UXG589896:UXG589898 VHC589896:VHC589898 VQY589896:VQY589898 WAU589896:WAU589898 WKQ589896:WKQ589898 WUM589896:WUM589898 E655432:E655434 IA655432:IA655434 RW655432:RW655434 ABS655432:ABS655434 ALO655432:ALO655434 AVK655432:AVK655434 BFG655432:BFG655434 BPC655432:BPC655434 BYY655432:BYY655434 CIU655432:CIU655434 CSQ655432:CSQ655434 DCM655432:DCM655434 DMI655432:DMI655434 DWE655432:DWE655434 EGA655432:EGA655434 EPW655432:EPW655434 EZS655432:EZS655434 FJO655432:FJO655434 FTK655432:FTK655434 GDG655432:GDG655434 GNC655432:GNC655434 GWY655432:GWY655434 HGU655432:HGU655434 HQQ655432:HQQ655434 IAM655432:IAM655434 IKI655432:IKI655434 IUE655432:IUE655434 JEA655432:JEA655434 JNW655432:JNW655434 JXS655432:JXS655434 KHO655432:KHO655434 KRK655432:KRK655434 LBG655432:LBG655434 LLC655432:LLC655434 LUY655432:LUY655434 MEU655432:MEU655434 MOQ655432:MOQ655434 MYM655432:MYM655434 NII655432:NII655434 NSE655432:NSE655434 OCA655432:OCA655434 OLW655432:OLW655434 OVS655432:OVS655434 PFO655432:PFO655434 PPK655432:PPK655434 PZG655432:PZG655434 QJC655432:QJC655434 QSY655432:QSY655434 RCU655432:RCU655434 RMQ655432:RMQ655434 RWM655432:RWM655434 SGI655432:SGI655434 SQE655432:SQE655434 TAA655432:TAA655434 TJW655432:TJW655434 TTS655432:TTS655434 UDO655432:UDO655434 UNK655432:UNK655434 UXG655432:UXG655434 VHC655432:VHC655434 VQY655432:VQY655434 WAU655432:WAU655434 WKQ655432:WKQ655434 WUM655432:WUM655434 E720968:E720970 IA720968:IA720970 RW720968:RW720970 ABS720968:ABS720970 ALO720968:ALO720970 AVK720968:AVK720970 BFG720968:BFG720970 BPC720968:BPC720970 BYY720968:BYY720970 CIU720968:CIU720970 CSQ720968:CSQ720970 DCM720968:DCM720970 DMI720968:DMI720970 DWE720968:DWE720970 EGA720968:EGA720970 EPW720968:EPW720970 EZS720968:EZS720970 FJO720968:FJO720970 FTK720968:FTK720970 GDG720968:GDG720970 GNC720968:GNC720970 GWY720968:GWY720970 HGU720968:HGU720970 HQQ720968:HQQ720970 IAM720968:IAM720970 IKI720968:IKI720970 IUE720968:IUE720970 JEA720968:JEA720970 JNW720968:JNW720970 JXS720968:JXS720970 KHO720968:KHO720970 KRK720968:KRK720970 LBG720968:LBG720970 LLC720968:LLC720970 LUY720968:LUY720970 MEU720968:MEU720970 MOQ720968:MOQ720970 MYM720968:MYM720970 NII720968:NII720970 NSE720968:NSE720970 OCA720968:OCA720970 OLW720968:OLW720970 OVS720968:OVS720970 PFO720968:PFO720970 PPK720968:PPK720970 PZG720968:PZG720970 QJC720968:QJC720970 QSY720968:QSY720970 RCU720968:RCU720970 RMQ720968:RMQ720970 RWM720968:RWM720970 SGI720968:SGI720970 SQE720968:SQE720970 TAA720968:TAA720970 TJW720968:TJW720970 TTS720968:TTS720970 UDO720968:UDO720970 UNK720968:UNK720970 UXG720968:UXG720970 VHC720968:VHC720970 VQY720968:VQY720970 WAU720968:WAU720970 WKQ720968:WKQ720970 WUM720968:WUM720970 E786504:E786506 IA786504:IA786506 RW786504:RW786506 ABS786504:ABS786506 ALO786504:ALO786506 AVK786504:AVK786506 BFG786504:BFG786506 BPC786504:BPC786506 BYY786504:BYY786506 CIU786504:CIU786506 CSQ786504:CSQ786506 DCM786504:DCM786506 DMI786504:DMI786506 DWE786504:DWE786506 EGA786504:EGA786506 EPW786504:EPW786506 EZS786504:EZS786506 FJO786504:FJO786506 FTK786504:FTK786506 GDG786504:GDG786506 GNC786504:GNC786506 GWY786504:GWY786506 HGU786504:HGU786506 HQQ786504:HQQ786506 IAM786504:IAM786506 IKI786504:IKI786506 IUE786504:IUE786506 JEA786504:JEA786506 JNW786504:JNW786506 JXS786504:JXS786506 KHO786504:KHO786506 KRK786504:KRK786506 LBG786504:LBG786506 LLC786504:LLC786506 LUY786504:LUY786506 MEU786504:MEU786506 MOQ786504:MOQ786506 MYM786504:MYM786506 NII786504:NII786506 NSE786504:NSE786506 OCA786504:OCA786506 OLW786504:OLW786506 OVS786504:OVS786506 PFO786504:PFO786506 PPK786504:PPK786506 PZG786504:PZG786506 QJC786504:QJC786506 QSY786504:QSY786506 RCU786504:RCU786506 RMQ786504:RMQ786506 RWM786504:RWM786506 SGI786504:SGI786506 SQE786504:SQE786506 TAA786504:TAA786506 TJW786504:TJW786506 TTS786504:TTS786506 UDO786504:UDO786506 UNK786504:UNK786506 UXG786504:UXG786506 VHC786504:VHC786506 VQY786504:VQY786506 WAU786504:WAU786506 WKQ786504:WKQ786506 WUM786504:WUM786506 E852040:E852042 IA852040:IA852042 RW852040:RW852042 ABS852040:ABS852042 ALO852040:ALO852042 AVK852040:AVK852042 BFG852040:BFG852042 BPC852040:BPC852042 BYY852040:BYY852042 CIU852040:CIU852042 CSQ852040:CSQ852042 DCM852040:DCM852042 DMI852040:DMI852042 DWE852040:DWE852042 EGA852040:EGA852042 EPW852040:EPW852042 EZS852040:EZS852042 FJO852040:FJO852042 FTK852040:FTK852042 GDG852040:GDG852042 GNC852040:GNC852042 GWY852040:GWY852042 HGU852040:HGU852042 HQQ852040:HQQ852042 IAM852040:IAM852042 IKI852040:IKI852042 IUE852040:IUE852042 JEA852040:JEA852042 JNW852040:JNW852042 JXS852040:JXS852042 KHO852040:KHO852042 KRK852040:KRK852042 LBG852040:LBG852042 LLC852040:LLC852042 LUY852040:LUY852042 MEU852040:MEU852042 MOQ852040:MOQ852042 MYM852040:MYM852042 NII852040:NII852042 NSE852040:NSE852042 OCA852040:OCA852042 OLW852040:OLW852042 OVS852040:OVS852042 PFO852040:PFO852042 PPK852040:PPK852042 PZG852040:PZG852042 QJC852040:QJC852042 QSY852040:QSY852042 RCU852040:RCU852042 RMQ852040:RMQ852042 RWM852040:RWM852042 SGI852040:SGI852042 SQE852040:SQE852042 TAA852040:TAA852042 TJW852040:TJW852042 TTS852040:TTS852042 UDO852040:UDO852042 UNK852040:UNK852042 UXG852040:UXG852042 VHC852040:VHC852042 VQY852040:VQY852042 WAU852040:WAU852042 WKQ852040:WKQ852042 WUM852040:WUM852042 E917576:E917578 IA917576:IA917578 RW917576:RW917578 ABS917576:ABS917578 ALO917576:ALO917578 AVK917576:AVK917578 BFG917576:BFG917578 BPC917576:BPC917578 BYY917576:BYY917578 CIU917576:CIU917578 CSQ917576:CSQ917578 DCM917576:DCM917578 DMI917576:DMI917578 DWE917576:DWE917578 EGA917576:EGA917578 EPW917576:EPW917578 EZS917576:EZS917578 FJO917576:FJO917578 FTK917576:FTK917578 GDG917576:GDG917578 GNC917576:GNC917578 GWY917576:GWY917578 HGU917576:HGU917578 HQQ917576:HQQ917578 IAM917576:IAM917578 IKI917576:IKI917578 IUE917576:IUE917578 JEA917576:JEA917578 JNW917576:JNW917578 JXS917576:JXS917578 KHO917576:KHO917578 KRK917576:KRK917578 LBG917576:LBG917578 LLC917576:LLC917578 LUY917576:LUY917578 MEU917576:MEU917578 MOQ917576:MOQ917578 MYM917576:MYM917578 NII917576:NII917578 NSE917576:NSE917578 OCA917576:OCA917578 OLW917576:OLW917578 OVS917576:OVS917578 PFO917576:PFO917578 PPK917576:PPK917578 PZG917576:PZG917578 QJC917576:QJC917578 QSY917576:QSY917578 RCU917576:RCU917578 RMQ917576:RMQ917578 RWM917576:RWM917578 SGI917576:SGI917578 SQE917576:SQE917578 TAA917576:TAA917578 TJW917576:TJW917578 TTS917576:TTS917578 UDO917576:UDO917578 UNK917576:UNK917578 UXG917576:UXG917578 VHC917576:VHC917578 VQY917576:VQY917578 WAU917576:WAU917578 WKQ917576:WKQ917578 WUM917576:WUM917578 E983112:E983114 IA983112:IA983114 RW983112:RW983114 ABS983112:ABS983114 ALO983112:ALO983114 AVK983112:AVK983114 BFG983112:BFG983114 BPC983112:BPC983114 BYY983112:BYY983114 CIU983112:CIU983114 CSQ983112:CSQ983114 DCM983112:DCM983114 DMI983112:DMI983114 DWE983112:DWE983114 EGA983112:EGA983114 EPW983112:EPW983114 EZS983112:EZS983114 FJO983112:FJO983114 FTK983112:FTK983114 GDG983112:GDG983114 GNC983112:GNC983114 GWY983112:GWY983114 HGU983112:HGU983114 HQQ983112:HQQ983114 IAM983112:IAM983114 IKI983112:IKI983114 IUE983112:IUE983114 JEA983112:JEA983114 JNW983112:JNW983114 JXS983112:JXS983114 KHO983112:KHO983114 KRK983112:KRK983114 LBG983112:LBG983114 LLC983112:LLC983114 LUY983112:LUY983114 MEU983112:MEU983114 MOQ983112:MOQ983114 MYM983112:MYM983114 NII983112:NII983114 NSE983112:NSE983114 OCA983112:OCA983114 OLW983112:OLW983114 OVS983112:OVS983114 PFO983112:PFO983114 PPK983112:PPK983114 PZG983112:PZG983114 QJC983112:QJC983114 QSY983112:QSY983114 RCU983112:RCU983114 RMQ983112:RMQ983114 RWM983112:RWM983114 SGI983112:SGI983114 SQE983112:SQE983114 TAA983112:TAA983114 TJW983112:TJW983114 TTS983112:TTS983114 UDO983112:UDO983114 UNK983112:UNK983114 UXG983112:UXG983114 VHC983112:VHC983114 VQY983112:VQY983114 WAU983112:WAU983114 WKQ983112:WKQ983114 WUM983112:WUM983114 IA44" xr:uid="{00000000-0002-0000-0A00-000004000000}">
      <formula1>$O$12:$O$14</formula1>
    </dataValidation>
    <dataValidation type="list" allowBlank="1" showInputMessage="1" showErrorMessage="1" sqref="IA82:IA85 WUM983123:WUM983125 WKQ983123:WKQ983125 WAU983123:WAU983125 VQY983123:VQY983125 VHC983123:VHC983125 UXG983123:UXG983125 UNK983123:UNK983125 UDO983123:UDO983125 TTS983123:TTS983125 TJW983123:TJW983125 TAA983123:TAA983125 SQE983123:SQE983125 SGI983123:SGI983125 RWM983123:RWM983125 RMQ983123:RMQ983125 RCU983123:RCU983125 QSY983123:QSY983125 QJC983123:QJC983125 PZG983123:PZG983125 PPK983123:PPK983125 PFO983123:PFO983125 OVS983123:OVS983125 OLW983123:OLW983125 OCA983123:OCA983125 NSE983123:NSE983125 NII983123:NII983125 MYM983123:MYM983125 MOQ983123:MOQ983125 MEU983123:MEU983125 LUY983123:LUY983125 LLC983123:LLC983125 LBG983123:LBG983125 KRK983123:KRK983125 KHO983123:KHO983125 JXS983123:JXS983125 JNW983123:JNW983125 JEA983123:JEA983125 IUE983123:IUE983125 IKI983123:IKI983125 IAM983123:IAM983125 HQQ983123:HQQ983125 HGU983123:HGU983125 GWY983123:GWY983125 GNC983123:GNC983125 GDG983123:GDG983125 FTK983123:FTK983125 FJO983123:FJO983125 EZS983123:EZS983125 EPW983123:EPW983125 EGA983123:EGA983125 DWE983123:DWE983125 DMI983123:DMI983125 DCM983123:DCM983125 CSQ983123:CSQ983125 CIU983123:CIU983125 BYY983123:BYY983125 BPC983123:BPC983125 BFG983123:BFG983125 AVK983123:AVK983125 ALO983123:ALO983125 ABS983123:ABS983125 RW983123:RW983125 IA983123:IA983125 E983123:E983125 WUM917587:WUM917589 WKQ917587:WKQ917589 WAU917587:WAU917589 VQY917587:VQY917589 VHC917587:VHC917589 UXG917587:UXG917589 UNK917587:UNK917589 UDO917587:UDO917589 TTS917587:TTS917589 TJW917587:TJW917589 TAA917587:TAA917589 SQE917587:SQE917589 SGI917587:SGI917589 RWM917587:RWM917589 RMQ917587:RMQ917589 RCU917587:RCU917589 QSY917587:QSY917589 QJC917587:QJC917589 PZG917587:PZG917589 PPK917587:PPK917589 PFO917587:PFO917589 OVS917587:OVS917589 OLW917587:OLW917589 OCA917587:OCA917589 NSE917587:NSE917589 NII917587:NII917589 MYM917587:MYM917589 MOQ917587:MOQ917589 MEU917587:MEU917589 LUY917587:LUY917589 LLC917587:LLC917589 LBG917587:LBG917589 KRK917587:KRK917589 KHO917587:KHO917589 JXS917587:JXS917589 JNW917587:JNW917589 JEA917587:JEA917589 IUE917587:IUE917589 IKI917587:IKI917589 IAM917587:IAM917589 HQQ917587:HQQ917589 HGU917587:HGU917589 GWY917587:GWY917589 GNC917587:GNC917589 GDG917587:GDG917589 FTK917587:FTK917589 FJO917587:FJO917589 EZS917587:EZS917589 EPW917587:EPW917589 EGA917587:EGA917589 DWE917587:DWE917589 DMI917587:DMI917589 DCM917587:DCM917589 CSQ917587:CSQ917589 CIU917587:CIU917589 BYY917587:BYY917589 BPC917587:BPC917589 BFG917587:BFG917589 AVK917587:AVK917589 ALO917587:ALO917589 ABS917587:ABS917589 RW917587:RW917589 IA917587:IA917589 E917587:E917589 WUM852051:WUM852053 WKQ852051:WKQ852053 WAU852051:WAU852053 VQY852051:VQY852053 VHC852051:VHC852053 UXG852051:UXG852053 UNK852051:UNK852053 UDO852051:UDO852053 TTS852051:TTS852053 TJW852051:TJW852053 TAA852051:TAA852053 SQE852051:SQE852053 SGI852051:SGI852053 RWM852051:RWM852053 RMQ852051:RMQ852053 RCU852051:RCU852053 QSY852051:QSY852053 QJC852051:QJC852053 PZG852051:PZG852053 PPK852051:PPK852053 PFO852051:PFO852053 OVS852051:OVS852053 OLW852051:OLW852053 OCA852051:OCA852053 NSE852051:NSE852053 NII852051:NII852053 MYM852051:MYM852053 MOQ852051:MOQ852053 MEU852051:MEU852053 LUY852051:LUY852053 LLC852051:LLC852053 LBG852051:LBG852053 KRK852051:KRK852053 KHO852051:KHO852053 JXS852051:JXS852053 JNW852051:JNW852053 JEA852051:JEA852053 IUE852051:IUE852053 IKI852051:IKI852053 IAM852051:IAM852053 HQQ852051:HQQ852053 HGU852051:HGU852053 GWY852051:GWY852053 GNC852051:GNC852053 GDG852051:GDG852053 FTK852051:FTK852053 FJO852051:FJO852053 EZS852051:EZS852053 EPW852051:EPW852053 EGA852051:EGA852053 DWE852051:DWE852053 DMI852051:DMI852053 DCM852051:DCM852053 CSQ852051:CSQ852053 CIU852051:CIU852053 BYY852051:BYY852053 BPC852051:BPC852053 BFG852051:BFG852053 AVK852051:AVK852053 ALO852051:ALO852053 ABS852051:ABS852053 RW852051:RW852053 IA852051:IA852053 E852051:E852053 WUM786515:WUM786517 WKQ786515:WKQ786517 WAU786515:WAU786517 VQY786515:VQY786517 VHC786515:VHC786517 UXG786515:UXG786517 UNK786515:UNK786517 UDO786515:UDO786517 TTS786515:TTS786517 TJW786515:TJW786517 TAA786515:TAA786517 SQE786515:SQE786517 SGI786515:SGI786517 RWM786515:RWM786517 RMQ786515:RMQ786517 RCU786515:RCU786517 QSY786515:QSY786517 QJC786515:QJC786517 PZG786515:PZG786517 PPK786515:PPK786517 PFO786515:PFO786517 OVS786515:OVS786517 OLW786515:OLW786517 OCA786515:OCA786517 NSE786515:NSE786517 NII786515:NII786517 MYM786515:MYM786517 MOQ786515:MOQ786517 MEU786515:MEU786517 LUY786515:LUY786517 LLC786515:LLC786517 LBG786515:LBG786517 KRK786515:KRK786517 KHO786515:KHO786517 JXS786515:JXS786517 JNW786515:JNW786517 JEA786515:JEA786517 IUE786515:IUE786517 IKI786515:IKI786517 IAM786515:IAM786517 HQQ786515:HQQ786517 HGU786515:HGU786517 GWY786515:GWY786517 GNC786515:GNC786517 GDG786515:GDG786517 FTK786515:FTK786517 FJO786515:FJO786517 EZS786515:EZS786517 EPW786515:EPW786517 EGA786515:EGA786517 DWE786515:DWE786517 DMI786515:DMI786517 DCM786515:DCM786517 CSQ786515:CSQ786517 CIU786515:CIU786517 BYY786515:BYY786517 BPC786515:BPC786517 BFG786515:BFG786517 AVK786515:AVK786517 ALO786515:ALO786517 ABS786515:ABS786517 RW786515:RW786517 IA786515:IA786517 E786515:E786517 WUM720979:WUM720981 WKQ720979:WKQ720981 WAU720979:WAU720981 VQY720979:VQY720981 VHC720979:VHC720981 UXG720979:UXG720981 UNK720979:UNK720981 UDO720979:UDO720981 TTS720979:TTS720981 TJW720979:TJW720981 TAA720979:TAA720981 SQE720979:SQE720981 SGI720979:SGI720981 RWM720979:RWM720981 RMQ720979:RMQ720981 RCU720979:RCU720981 QSY720979:QSY720981 QJC720979:QJC720981 PZG720979:PZG720981 PPK720979:PPK720981 PFO720979:PFO720981 OVS720979:OVS720981 OLW720979:OLW720981 OCA720979:OCA720981 NSE720979:NSE720981 NII720979:NII720981 MYM720979:MYM720981 MOQ720979:MOQ720981 MEU720979:MEU720981 LUY720979:LUY720981 LLC720979:LLC720981 LBG720979:LBG720981 KRK720979:KRK720981 KHO720979:KHO720981 JXS720979:JXS720981 JNW720979:JNW720981 JEA720979:JEA720981 IUE720979:IUE720981 IKI720979:IKI720981 IAM720979:IAM720981 HQQ720979:HQQ720981 HGU720979:HGU720981 GWY720979:GWY720981 GNC720979:GNC720981 GDG720979:GDG720981 FTK720979:FTK720981 FJO720979:FJO720981 EZS720979:EZS720981 EPW720979:EPW720981 EGA720979:EGA720981 DWE720979:DWE720981 DMI720979:DMI720981 DCM720979:DCM720981 CSQ720979:CSQ720981 CIU720979:CIU720981 BYY720979:BYY720981 BPC720979:BPC720981 BFG720979:BFG720981 AVK720979:AVK720981 ALO720979:ALO720981 ABS720979:ABS720981 RW720979:RW720981 IA720979:IA720981 E720979:E720981 WUM655443:WUM655445 WKQ655443:WKQ655445 WAU655443:WAU655445 VQY655443:VQY655445 VHC655443:VHC655445 UXG655443:UXG655445 UNK655443:UNK655445 UDO655443:UDO655445 TTS655443:TTS655445 TJW655443:TJW655445 TAA655443:TAA655445 SQE655443:SQE655445 SGI655443:SGI655445 RWM655443:RWM655445 RMQ655443:RMQ655445 RCU655443:RCU655445 QSY655443:QSY655445 QJC655443:QJC655445 PZG655443:PZG655445 PPK655443:PPK655445 PFO655443:PFO655445 OVS655443:OVS655445 OLW655443:OLW655445 OCA655443:OCA655445 NSE655443:NSE655445 NII655443:NII655445 MYM655443:MYM655445 MOQ655443:MOQ655445 MEU655443:MEU655445 LUY655443:LUY655445 LLC655443:LLC655445 LBG655443:LBG655445 KRK655443:KRK655445 KHO655443:KHO655445 JXS655443:JXS655445 JNW655443:JNW655445 JEA655443:JEA655445 IUE655443:IUE655445 IKI655443:IKI655445 IAM655443:IAM655445 HQQ655443:HQQ655445 HGU655443:HGU655445 GWY655443:GWY655445 GNC655443:GNC655445 GDG655443:GDG655445 FTK655443:FTK655445 FJO655443:FJO655445 EZS655443:EZS655445 EPW655443:EPW655445 EGA655443:EGA655445 DWE655443:DWE655445 DMI655443:DMI655445 DCM655443:DCM655445 CSQ655443:CSQ655445 CIU655443:CIU655445 BYY655443:BYY655445 BPC655443:BPC655445 BFG655443:BFG655445 AVK655443:AVK655445 ALO655443:ALO655445 ABS655443:ABS655445 RW655443:RW655445 IA655443:IA655445 E655443:E655445 WUM589907:WUM589909 WKQ589907:WKQ589909 WAU589907:WAU589909 VQY589907:VQY589909 VHC589907:VHC589909 UXG589907:UXG589909 UNK589907:UNK589909 UDO589907:UDO589909 TTS589907:TTS589909 TJW589907:TJW589909 TAA589907:TAA589909 SQE589907:SQE589909 SGI589907:SGI589909 RWM589907:RWM589909 RMQ589907:RMQ589909 RCU589907:RCU589909 QSY589907:QSY589909 QJC589907:QJC589909 PZG589907:PZG589909 PPK589907:PPK589909 PFO589907:PFO589909 OVS589907:OVS589909 OLW589907:OLW589909 OCA589907:OCA589909 NSE589907:NSE589909 NII589907:NII589909 MYM589907:MYM589909 MOQ589907:MOQ589909 MEU589907:MEU589909 LUY589907:LUY589909 LLC589907:LLC589909 LBG589907:LBG589909 KRK589907:KRK589909 KHO589907:KHO589909 JXS589907:JXS589909 JNW589907:JNW589909 JEA589907:JEA589909 IUE589907:IUE589909 IKI589907:IKI589909 IAM589907:IAM589909 HQQ589907:HQQ589909 HGU589907:HGU589909 GWY589907:GWY589909 GNC589907:GNC589909 GDG589907:GDG589909 FTK589907:FTK589909 FJO589907:FJO589909 EZS589907:EZS589909 EPW589907:EPW589909 EGA589907:EGA589909 DWE589907:DWE589909 DMI589907:DMI589909 DCM589907:DCM589909 CSQ589907:CSQ589909 CIU589907:CIU589909 BYY589907:BYY589909 BPC589907:BPC589909 BFG589907:BFG589909 AVK589907:AVK589909 ALO589907:ALO589909 ABS589907:ABS589909 RW589907:RW589909 IA589907:IA589909 E589907:E589909 WUM524371:WUM524373 WKQ524371:WKQ524373 WAU524371:WAU524373 VQY524371:VQY524373 VHC524371:VHC524373 UXG524371:UXG524373 UNK524371:UNK524373 UDO524371:UDO524373 TTS524371:TTS524373 TJW524371:TJW524373 TAA524371:TAA524373 SQE524371:SQE524373 SGI524371:SGI524373 RWM524371:RWM524373 RMQ524371:RMQ524373 RCU524371:RCU524373 QSY524371:QSY524373 QJC524371:QJC524373 PZG524371:PZG524373 PPK524371:PPK524373 PFO524371:PFO524373 OVS524371:OVS524373 OLW524371:OLW524373 OCA524371:OCA524373 NSE524371:NSE524373 NII524371:NII524373 MYM524371:MYM524373 MOQ524371:MOQ524373 MEU524371:MEU524373 LUY524371:LUY524373 LLC524371:LLC524373 LBG524371:LBG524373 KRK524371:KRK524373 KHO524371:KHO524373 JXS524371:JXS524373 JNW524371:JNW524373 JEA524371:JEA524373 IUE524371:IUE524373 IKI524371:IKI524373 IAM524371:IAM524373 HQQ524371:HQQ524373 HGU524371:HGU524373 GWY524371:GWY524373 GNC524371:GNC524373 GDG524371:GDG524373 FTK524371:FTK524373 FJO524371:FJO524373 EZS524371:EZS524373 EPW524371:EPW524373 EGA524371:EGA524373 DWE524371:DWE524373 DMI524371:DMI524373 DCM524371:DCM524373 CSQ524371:CSQ524373 CIU524371:CIU524373 BYY524371:BYY524373 BPC524371:BPC524373 BFG524371:BFG524373 AVK524371:AVK524373 ALO524371:ALO524373 ABS524371:ABS524373 RW524371:RW524373 IA524371:IA524373 E524371:E524373 WUM458835:WUM458837 WKQ458835:WKQ458837 WAU458835:WAU458837 VQY458835:VQY458837 VHC458835:VHC458837 UXG458835:UXG458837 UNK458835:UNK458837 UDO458835:UDO458837 TTS458835:TTS458837 TJW458835:TJW458837 TAA458835:TAA458837 SQE458835:SQE458837 SGI458835:SGI458837 RWM458835:RWM458837 RMQ458835:RMQ458837 RCU458835:RCU458837 QSY458835:QSY458837 QJC458835:QJC458837 PZG458835:PZG458837 PPK458835:PPK458837 PFO458835:PFO458837 OVS458835:OVS458837 OLW458835:OLW458837 OCA458835:OCA458837 NSE458835:NSE458837 NII458835:NII458837 MYM458835:MYM458837 MOQ458835:MOQ458837 MEU458835:MEU458837 LUY458835:LUY458837 LLC458835:LLC458837 LBG458835:LBG458837 KRK458835:KRK458837 KHO458835:KHO458837 JXS458835:JXS458837 JNW458835:JNW458837 JEA458835:JEA458837 IUE458835:IUE458837 IKI458835:IKI458837 IAM458835:IAM458837 HQQ458835:HQQ458837 HGU458835:HGU458837 GWY458835:GWY458837 GNC458835:GNC458837 GDG458835:GDG458837 FTK458835:FTK458837 FJO458835:FJO458837 EZS458835:EZS458837 EPW458835:EPW458837 EGA458835:EGA458837 DWE458835:DWE458837 DMI458835:DMI458837 DCM458835:DCM458837 CSQ458835:CSQ458837 CIU458835:CIU458837 BYY458835:BYY458837 BPC458835:BPC458837 BFG458835:BFG458837 AVK458835:AVK458837 ALO458835:ALO458837 ABS458835:ABS458837 RW458835:RW458837 IA458835:IA458837 E458835:E458837 WUM393299:WUM393301 WKQ393299:WKQ393301 WAU393299:WAU393301 VQY393299:VQY393301 VHC393299:VHC393301 UXG393299:UXG393301 UNK393299:UNK393301 UDO393299:UDO393301 TTS393299:TTS393301 TJW393299:TJW393301 TAA393299:TAA393301 SQE393299:SQE393301 SGI393299:SGI393301 RWM393299:RWM393301 RMQ393299:RMQ393301 RCU393299:RCU393301 QSY393299:QSY393301 QJC393299:QJC393301 PZG393299:PZG393301 PPK393299:PPK393301 PFO393299:PFO393301 OVS393299:OVS393301 OLW393299:OLW393301 OCA393299:OCA393301 NSE393299:NSE393301 NII393299:NII393301 MYM393299:MYM393301 MOQ393299:MOQ393301 MEU393299:MEU393301 LUY393299:LUY393301 LLC393299:LLC393301 LBG393299:LBG393301 KRK393299:KRK393301 KHO393299:KHO393301 JXS393299:JXS393301 JNW393299:JNW393301 JEA393299:JEA393301 IUE393299:IUE393301 IKI393299:IKI393301 IAM393299:IAM393301 HQQ393299:HQQ393301 HGU393299:HGU393301 GWY393299:GWY393301 GNC393299:GNC393301 GDG393299:GDG393301 FTK393299:FTK393301 FJO393299:FJO393301 EZS393299:EZS393301 EPW393299:EPW393301 EGA393299:EGA393301 DWE393299:DWE393301 DMI393299:DMI393301 DCM393299:DCM393301 CSQ393299:CSQ393301 CIU393299:CIU393301 BYY393299:BYY393301 BPC393299:BPC393301 BFG393299:BFG393301 AVK393299:AVK393301 ALO393299:ALO393301 ABS393299:ABS393301 RW393299:RW393301 IA393299:IA393301 E393299:E393301 WUM327763:WUM327765 WKQ327763:WKQ327765 WAU327763:WAU327765 VQY327763:VQY327765 VHC327763:VHC327765 UXG327763:UXG327765 UNK327763:UNK327765 UDO327763:UDO327765 TTS327763:TTS327765 TJW327763:TJW327765 TAA327763:TAA327765 SQE327763:SQE327765 SGI327763:SGI327765 RWM327763:RWM327765 RMQ327763:RMQ327765 RCU327763:RCU327765 QSY327763:QSY327765 QJC327763:QJC327765 PZG327763:PZG327765 PPK327763:PPK327765 PFO327763:PFO327765 OVS327763:OVS327765 OLW327763:OLW327765 OCA327763:OCA327765 NSE327763:NSE327765 NII327763:NII327765 MYM327763:MYM327765 MOQ327763:MOQ327765 MEU327763:MEU327765 LUY327763:LUY327765 LLC327763:LLC327765 LBG327763:LBG327765 KRK327763:KRK327765 KHO327763:KHO327765 JXS327763:JXS327765 JNW327763:JNW327765 JEA327763:JEA327765 IUE327763:IUE327765 IKI327763:IKI327765 IAM327763:IAM327765 HQQ327763:HQQ327765 HGU327763:HGU327765 GWY327763:GWY327765 GNC327763:GNC327765 GDG327763:GDG327765 FTK327763:FTK327765 FJO327763:FJO327765 EZS327763:EZS327765 EPW327763:EPW327765 EGA327763:EGA327765 DWE327763:DWE327765 DMI327763:DMI327765 DCM327763:DCM327765 CSQ327763:CSQ327765 CIU327763:CIU327765 BYY327763:BYY327765 BPC327763:BPC327765 BFG327763:BFG327765 AVK327763:AVK327765 ALO327763:ALO327765 ABS327763:ABS327765 RW327763:RW327765 IA327763:IA327765 E327763:E327765 WUM262227:WUM262229 WKQ262227:WKQ262229 WAU262227:WAU262229 VQY262227:VQY262229 VHC262227:VHC262229 UXG262227:UXG262229 UNK262227:UNK262229 UDO262227:UDO262229 TTS262227:TTS262229 TJW262227:TJW262229 TAA262227:TAA262229 SQE262227:SQE262229 SGI262227:SGI262229 RWM262227:RWM262229 RMQ262227:RMQ262229 RCU262227:RCU262229 QSY262227:QSY262229 QJC262227:QJC262229 PZG262227:PZG262229 PPK262227:PPK262229 PFO262227:PFO262229 OVS262227:OVS262229 OLW262227:OLW262229 OCA262227:OCA262229 NSE262227:NSE262229 NII262227:NII262229 MYM262227:MYM262229 MOQ262227:MOQ262229 MEU262227:MEU262229 LUY262227:LUY262229 LLC262227:LLC262229 LBG262227:LBG262229 KRK262227:KRK262229 KHO262227:KHO262229 JXS262227:JXS262229 JNW262227:JNW262229 JEA262227:JEA262229 IUE262227:IUE262229 IKI262227:IKI262229 IAM262227:IAM262229 HQQ262227:HQQ262229 HGU262227:HGU262229 GWY262227:GWY262229 GNC262227:GNC262229 GDG262227:GDG262229 FTK262227:FTK262229 FJO262227:FJO262229 EZS262227:EZS262229 EPW262227:EPW262229 EGA262227:EGA262229 DWE262227:DWE262229 DMI262227:DMI262229 DCM262227:DCM262229 CSQ262227:CSQ262229 CIU262227:CIU262229 BYY262227:BYY262229 BPC262227:BPC262229 BFG262227:BFG262229 AVK262227:AVK262229 ALO262227:ALO262229 ABS262227:ABS262229 RW262227:RW262229 IA262227:IA262229 E262227:E262229 WUM196691:WUM196693 WKQ196691:WKQ196693 WAU196691:WAU196693 VQY196691:VQY196693 VHC196691:VHC196693 UXG196691:UXG196693 UNK196691:UNK196693 UDO196691:UDO196693 TTS196691:TTS196693 TJW196691:TJW196693 TAA196691:TAA196693 SQE196691:SQE196693 SGI196691:SGI196693 RWM196691:RWM196693 RMQ196691:RMQ196693 RCU196691:RCU196693 QSY196691:QSY196693 QJC196691:QJC196693 PZG196691:PZG196693 PPK196691:PPK196693 PFO196691:PFO196693 OVS196691:OVS196693 OLW196691:OLW196693 OCA196691:OCA196693 NSE196691:NSE196693 NII196691:NII196693 MYM196691:MYM196693 MOQ196691:MOQ196693 MEU196691:MEU196693 LUY196691:LUY196693 LLC196691:LLC196693 LBG196691:LBG196693 KRK196691:KRK196693 KHO196691:KHO196693 JXS196691:JXS196693 JNW196691:JNW196693 JEA196691:JEA196693 IUE196691:IUE196693 IKI196691:IKI196693 IAM196691:IAM196693 HQQ196691:HQQ196693 HGU196691:HGU196693 GWY196691:GWY196693 GNC196691:GNC196693 GDG196691:GDG196693 FTK196691:FTK196693 FJO196691:FJO196693 EZS196691:EZS196693 EPW196691:EPW196693 EGA196691:EGA196693 DWE196691:DWE196693 DMI196691:DMI196693 DCM196691:DCM196693 CSQ196691:CSQ196693 CIU196691:CIU196693 BYY196691:BYY196693 BPC196691:BPC196693 BFG196691:BFG196693 AVK196691:AVK196693 ALO196691:ALO196693 ABS196691:ABS196693 RW196691:RW196693 IA196691:IA196693 E196691:E196693 WUM131155:WUM131157 WKQ131155:WKQ131157 WAU131155:WAU131157 VQY131155:VQY131157 VHC131155:VHC131157 UXG131155:UXG131157 UNK131155:UNK131157 UDO131155:UDO131157 TTS131155:TTS131157 TJW131155:TJW131157 TAA131155:TAA131157 SQE131155:SQE131157 SGI131155:SGI131157 RWM131155:RWM131157 RMQ131155:RMQ131157 RCU131155:RCU131157 QSY131155:QSY131157 QJC131155:QJC131157 PZG131155:PZG131157 PPK131155:PPK131157 PFO131155:PFO131157 OVS131155:OVS131157 OLW131155:OLW131157 OCA131155:OCA131157 NSE131155:NSE131157 NII131155:NII131157 MYM131155:MYM131157 MOQ131155:MOQ131157 MEU131155:MEU131157 LUY131155:LUY131157 LLC131155:LLC131157 LBG131155:LBG131157 KRK131155:KRK131157 KHO131155:KHO131157 JXS131155:JXS131157 JNW131155:JNW131157 JEA131155:JEA131157 IUE131155:IUE131157 IKI131155:IKI131157 IAM131155:IAM131157 HQQ131155:HQQ131157 HGU131155:HGU131157 GWY131155:GWY131157 GNC131155:GNC131157 GDG131155:GDG131157 FTK131155:FTK131157 FJO131155:FJO131157 EZS131155:EZS131157 EPW131155:EPW131157 EGA131155:EGA131157 DWE131155:DWE131157 DMI131155:DMI131157 DCM131155:DCM131157 CSQ131155:CSQ131157 CIU131155:CIU131157 BYY131155:BYY131157 BPC131155:BPC131157 BFG131155:BFG131157 AVK131155:AVK131157 ALO131155:ALO131157 ABS131155:ABS131157 RW131155:RW131157 IA131155:IA131157 E131155:E131157 WUM65619:WUM65621 WKQ65619:WKQ65621 WAU65619:WAU65621 VQY65619:VQY65621 VHC65619:VHC65621 UXG65619:UXG65621 UNK65619:UNK65621 UDO65619:UDO65621 TTS65619:TTS65621 TJW65619:TJW65621 TAA65619:TAA65621 SQE65619:SQE65621 SGI65619:SGI65621 RWM65619:RWM65621 RMQ65619:RMQ65621 RCU65619:RCU65621 QSY65619:QSY65621 QJC65619:QJC65621 PZG65619:PZG65621 PPK65619:PPK65621 PFO65619:PFO65621 OVS65619:OVS65621 OLW65619:OLW65621 OCA65619:OCA65621 NSE65619:NSE65621 NII65619:NII65621 MYM65619:MYM65621 MOQ65619:MOQ65621 MEU65619:MEU65621 LUY65619:LUY65621 LLC65619:LLC65621 LBG65619:LBG65621 KRK65619:KRK65621 KHO65619:KHO65621 JXS65619:JXS65621 JNW65619:JNW65621 JEA65619:JEA65621 IUE65619:IUE65621 IKI65619:IKI65621 IAM65619:IAM65621 HQQ65619:HQQ65621 HGU65619:HGU65621 GWY65619:GWY65621 GNC65619:GNC65621 GDG65619:GDG65621 FTK65619:FTK65621 FJO65619:FJO65621 EZS65619:EZS65621 EPW65619:EPW65621 EGA65619:EGA65621 DWE65619:DWE65621 DMI65619:DMI65621 DCM65619:DCM65621 CSQ65619:CSQ65621 CIU65619:CIU65621 BYY65619:BYY65621 BPC65619:BPC65621 BFG65619:BFG65621 AVK65619:AVK65621 ALO65619:ALO65621 ABS65619:ABS65621 RW65619:RW65621 IA65619:IA65621 E65619:E65621 WUM82:WUM85 WKQ82:WKQ85 WAU82:WAU85 VQY82:VQY85 VHC82:VHC85 UXG82:UXG85 UNK82:UNK85 UDO82:UDO85 TTS82:TTS85 TJW82:TJW85 TAA82:TAA85 SQE82:SQE85 SGI82:SGI85 RWM82:RWM85 RMQ82:RMQ85 RCU82:RCU85 QSY82:QSY85 QJC82:QJC85 PZG82:PZG85 PPK82:PPK85 PFO82:PFO85 OVS82:OVS85 OLW82:OLW85 OCA82:OCA85 NSE82:NSE85 NII82:NII85 MYM82:MYM85 MOQ82:MOQ85 MEU82:MEU85 LUY82:LUY85 LLC82:LLC85 LBG82:LBG85 KRK82:KRK85 KHO82:KHO85 JXS82:JXS85 JNW82:JNW85 JEA82:JEA85 IUE82:IUE85 IKI82:IKI85 IAM82:IAM85 HQQ82:HQQ85 HGU82:HGU85 GWY82:GWY85 GNC82:GNC85 GDG82:GDG85 FTK82:FTK85 FJO82:FJO85 EZS82:EZS85 EPW82:EPW85 EGA82:EGA85 DWE82:DWE85 DMI82:DMI85 DCM82:DCM85 CSQ82:CSQ85 CIU82:CIU85 BYY82:BYY85 BPC82:BPC85 BFG82:BFG85 AVK82:AVK85 ALO82:ALO85 ABS82:ABS85 RW82:RW85" xr:uid="{00000000-0002-0000-0A00-000005000000}">
      <formula1>$O$6:$O$21</formula1>
    </dataValidation>
    <dataValidation type="list" allowBlank="1" showInputMessage="1" showErrorMessage="1" sqref="E6:E14 E24:E49 E55:E84" xr:uid="{00000000-0002-0000-0A00-000006000000}">
      <formula1>INDIRECT(N6)</formula1>
    </dataValidation>
    <dataValidation imeMode="disabled" allowBlank="1" showInputMessage="1" showErrorMessage="1" sqref="F6:F14 F24:F49 F55:F84 I82:I84 F86:F87 I89:I90 I92:I93 F92:F95 F89:F90" xr:uid="{00000000-0002-0000-0A00-000007000000}"/>
  </dataValidations>
  <pageMargins left="0.78740157480314965" right="0.59055118110236227" top="0.78740157480314965" bottom="0.59055118110236227" header="0.31496062992125984" footer="0.31496062992125984"/>
  <pageSetup paperSize="9" scale="59" fitToHeight="0" orientation="portrait" r:id="rId1"/>
  <headerFooter>
    <oddHeader>&amp;R&amp;8ver.4.01</oddHeader>
  </headerFooter>
  <ignoredErrors>
    <ignoredError sqref="F15" unlocked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L62"/>
  <sheetViews>
    <sheetView showGridLines="0" zoomScaleNormal="100" zoomScaleSheetLayoutView="100" workbookViewId="0">
      <pane xSplit="2" ySplit="5" topLeftCell="C53" activePane="bottomRight" state="frozen"/>
      <selection activeCell="L62" sqref="L62"/>
      <selection pane="topRight" activeCell="L62" sqref="L62"/>
      <selection pane="bottomLeft" activeCell="L62" sqref="L62"/>
      <selection pane="bottomRight" activeCell="I59" sqref="I59"/>
    </sheetView>
  </sheetViews>
  <sheetFormatPr defaultColWidth="4.08203125" defaultRowHeight="17.5"/>
  <cols>
    <col min="1" max="2" width="6.1640625" style="498" customWidth="1"/>
    <col min="3" max="3" width="19.08203125" style="498" customWidth="1"/>
    <col min="4" max="5" width="35.58203125" style="498" customWidth="1"/>
    <col min="6" max="6" width="14.58203125" style="498" customWidth="1"/>
    <col min="7" max="7" width="10.1640625" style="498" customWidth="1"/>
    <col min="8" max="8" width="20.1640625" style="498" customWidth="1"/>
    <col min="9" max="9" width="23.5" style="498" customWidth="1"/>
    <col min="10" max="11" width="9" style="498" customWidth="1"/>
    <col min="12" max="12" width="16.4140625" style="498" customWidth="1"/>
    <col min="13" max="245" width="9" style="498" customWidth="1"/>
    <col min="246" max="246" width="1.58203125" style="498" customWidth="1"/>
    <col min="247" max="247" width="1.9140625" style="498" customWidth="1"/>
    <col min="248" max="16384" width="4.08203125" style="498"/>
  </cols>
  <sheetData>
    <row r="1" spans="1:12" ht="18.75" customHeight="1">
      <c r="A1" s="3" t="s">
        <v>1647</v>
      </c>
      <c r="B1" s="4"/>
      <c r="C1" s="4"/>
      <c r="D1" s="4"/>
      <c r="E1" s="4"/>
      <c r="F1" s="4"/>
      <c r="G1" s="4"/>
      <c r="H1" s="109" t="s">
        <v>0</v>
      </c>
      <c r="I1" s="216" t="str">
        <f>IF('0.事業所概要'!D11="","",'0.事業所概要'!D11)</f>
        <v>県庁産業㈱　　本社、浦和支店</v>
      </c>
    </row>
    <row r="2" spans="1:12">
      <c r="A2" s="1805" t="s">
        <v>1648</v>
      </c>
      <c r="B2" s="1805"/>
      <c r="C2" s="1805"/>
      <c r="D2" s="1805"/>
      <c r="E2" s="1805"/>
      <c r="F2" s="4"/>
      <c r="G2" s="4"/>
      <c r="H2" s="4"/>
      <c r="I2" s="164" t="str">
        <f>CONCATENATE('0.事業所概要'!$B$3,'0.事業所概要'!$C$3,"年度")</f>
        <v>令和７年度</v>
      </c>
    </row>
    <row r="3" spans="1:12" ht="23.25" customHeight="1" thickBot="1">
      <c r="A3" s="4"/>
      <c r="B3" s="4"/>
      <c r="C3" s="1185" t="s">
        <v>2479</v>
      </c>
      <c r="D3" s="4"/>
      <c r="E3" s="4"/>
      <c r="F3" s="5"/>
      <c r="G3" s="4"/>
      <c r="H3" s="121"/>
      <c r="I3" s="6"/>
    </row>
    <row r="4" spans="1:12" ht="50.15" customHeight="1">
      <c r="A4" s="7"/>
      <c r="B4" s="1711" t="s">
        <v>1</v>
      </c>
      <c r="C4" s="1740"/>
      <c r="D4" s="1740"/>
      <c r="E4" s="1717"/>
      <c r="F4" s="1808" t="s">
        <v>262</v>
      </c>
      <c r="G4" s="1743"/>
      <c r="H4" s="122" t="s">
        <v>1633</v>
      </c>
      <c r="I4" s="116" t="s">
        <v>3</v>
      </c>
    </row>
    <row r="5" spans="1:12" ht="33" customHeight="1" thickBot="1">
      <c r="A5" s="10"/>
      <c r="B5" s="1715"/>
      <c r="C5" s="1807"/>
      <c r="D5" s="1807"/>
      <c r="E5" s="1719"/>
      <c r="F5" s="11"/>
      <c r="G5" s="12"/>
      <c r="H5" s="119" t="s">
        <v>181</v>
      </c>
      <c r="I5" s="212" t="s">
        <v>177</v>
      </c>
      <c r="L5" s="502"/>
    </row>
    <row r="6" spans="1:12" ht="30.15" customHeight="1">
      <c r="A6" s="1809" t="s">
        <v>264</v>
      </c>
      <c r="B6" s="1812" t="s">
        <v>185</v>
      </c>
      <c r="C6" s="1814" t="s">
        <v>9</v>
      </c>
      <c r="D6" s="1398"/>
      <c r="E6" s="1815"/>
      <c r="F6" s="343" t="str">
        <f>IF(COUNTIFS('12燃料'!$AF:$AF,ROW())=0,"",ROUND(SUMIFS('12燃料'!$AA:$AA,'12燃料'!$AF:$AF,ROW(),'12燃料'!$AH:$AH,1),0))</f>
        <v/>
      </c>
      <c r="G6" s="344" t="s">
        <v>267</v>
      </c>
      <c r="H6" s="345" t="str">
        <f>IF(COUNTIFS('12燃料'!$AF:$AF,ROW())=0,"",SUMIFS('12燃料'!$AC:$AC,'12燃料'!$AF:$AF,ROW(),'12燃料'!$AH:$AH,1))</f>
        <v/>
      </c>
      <c r="I6" s="346" t="str">
        <f>IF(COUNTIFS('12燃料'!$AF:$AF,ROW())=0,"",SUMIFS('12燃料'!$AE:$AE,'12燃料'!$AF:$AF,ROW(),'12燃料'!$AH:$AH,1))</f>
        <v/>
      </c>
    </row>
    <row r="7" spans="1:12" ht="30.15" customHeight="1">
      <c r="A7" s="1810"/>
      <c r="B7" s="1813"/>
      <c r="C7" s="1365" t="s">
        <v>10</v>
      </c>
      <c r="D7" s="1366"/>
      <c r="E7" s="1681"/>
      <c r="F7" s="343" t="str">
        <f>IF(COUNTIFS('12燃料'!$AF:$AF,ROW())=0,"",ROUND(SUMIFS('12燃料'!$AA:$AA,'12燃料'!$AF:$AF,ROW(),'12燃料'!$AH:$AH,1),0))</f>
        <v/>
      </c>
      <c r="G7" s="347" t="s">
        <v>8</v>
      </c>
      <c r="H7" s="345" t="str">
        <f>IF(COUNTIFS('12燃料'!$AF:$AF,ROW())=0,"",SUMIFS('12燃料'!$AC:$AC,'12燃料'!$AF:$AF,ROW(),'12燃料'!$AH:$AH,1))</f>
        <v/>
      </c>
      <c r="I7" s="346" t="str">
        <f>IF(COUNTIFS('12燃料'!$AF:$AF,ROW())=0,"",SUMIFS('12燃料'!$AE:$AE,'12燃料'!$AF:$AF,ROW(),'12燃料'!$AH:$AH,1))</f>
        <v/>
      </c>
    </row>
    <row r="8" spans="1:12" ht="30.15" customHeight="1">
      <c r="A8" s="1810"/>
      <c r="B8" s="1813"/>
      <c r="C8" s="1365" t="s">
        <v>11</v>
      </c>
      <c r="D8" s="1366"/>
      <c r="E8" s="1681"/>
      <c r="F8" s="343">
        <f>IF(COUNTIFS('12燃料'!$AF:$AF,ROW())=0,"",ROUND(SUMIFS('12燃料'!$AA:$AA,'12燃料'!$AF:$AF,ROW(),'12燃料'!$AH:$AH,1),0))</f>
        <v>0</v>
      </c>
      <c r="G8" s="347" t="s">
        <v>8</v>
      </c>
      <c r="H8" s="345">
        <f>IF(COUNTIFS('12燃料'!$AF:$AF,ROW())=0,"",SUMIFS('12燃料'!$AC:$AC,'12燃料'!$AF:$AF,ROW(),'12燃料'!$AH:$AH,1))</f>
        <v>0</v>
      </c>
      <c r="I8" s="346">
        <f>IF(COUNTIFS('12燃料'!$AF:$AF,ROW())=0,"",SUMIFS('12燃料'!$AE:$AE,'12燃料'!$AF:$AF,ROW(),'12燃料'!$AH:$AH,1))</f>
        <v>0</v>
      </c>
    </row>
    <row r="9" spans="1:12" ht="30.15" customHeight="1">
      <c r="A9" s="1810"/>
      <c r="B9" s="1813"/>
      <c r="C9" s="1365" t="s">
        <v>13</v>
      </c>
      <c r="D9" s="1366"/>
      <c r="E9" s="1681"/>
      <c r="F9" s="343" t="str">
        <f>IF(COUNTIFS('12燃料'!$AF:$AF,ROW())=0,"",ROUND(SUMIFS('12燃料'!$AA:$AA,'12燃料'!$AF:$AF,ROW(),'12燃料'!$AH:$AH,1),0))</f>
        <v/>
      </c>
      <c r="G9" s="347" t="s">
        <v>8</v>
      </c>
      <c r="H9" s="345" t="str">
        <f>IF(COUNTIFS('12燃料'!$AF:$AF,ROW())=0,"",SUMIFS('12燃料'!$AC:$AC,'12燃料'!$AF:$AF,ROW(),'12燃料'!$AH:$AH,1))</f>
        <v/>
      </c>
      <c r="I9" s="346" t="str">
        <f>IF(COUNTIFS('12燃料'!$AF:$AF,ROW())=0,"",SUMIFS('12燃料'!$AE:$AE,'12燃料'!$AF:$AF,ROW(),'12燃料'!$AH:$AH,1))</f>
        <v/>
      </c>
    </row>
    <row r="10" spans="1:12" ht="30.15" customHeight="1">
      <c r="A10" s="1810"/>
      <c r="B10" s="1813"/>
      <c r="C10" s="1365" t="s">
        <v>14</v>
      </c>
      <c r="D10" s="1366"/>
      <c r="E10" s="1681"/>
      <c r="F10" s="343">
        <f>IF(COUNTIFS('12燃料'!$AF:$AF,ROW())=0,"",ROUND(SUMIFS('12燃料'!$AA:$AA,'12燃料'!$AF:$AF,ROW(),'12燃料'!$AH:$AH,1),0))</f>
        <v>0</v>
      </c>
      <c r="G10" s="347" t="s">
        <v>8</v>
      </c>
      <c r="H10" s="345">
        <f>IF(COUNTIFS('12燃料'!$AF:$AF,ROW())=0,"",SUMIFS('12燃料'!$AC:$AC,'12燃料'!$AF:$AF,ROW(),'12燃料'!$AH:$AH,1))</f>
        <v>0</v>
      </c>
      <c r="I10" s="346">
        <f>IF(COUNTIFS('12燃料'!$AF:$AF,ROW())=0,"",SUMIFS('12燃料'!$AE:$AE,'12燃料'!$AF:$AF,ROW(),'12燃料'!$AH:$AH,1))</f>
        <v>0</v>
      </c>
    </row>
    <row r="11" spans="1:12" ht="30.15" customHeight="1">
      <c r="A11" s="1810"/>
      <c r="B11" s="1813"/>
      <c r="C11" s="1365" t="s">
        <v>15</v>
      </c>
      <c r="D11" s="1366"/>
      <c r="E11" s="1681"/>
      <c r="F11" s="343">
        <f>IF(COUNTIFS('12燃料'!$AF:$AF,ROW())=0,"",ROUND(SUMIFS('12燃料'!$AA:$AA,'12燃料'!$AF:$AF,ROW(),'12燃料'!$AH:$AH,1),0))</f>
        <v>0</v>
      </c>
      <c r="G11" s="347" t="s">
        <v>8</v>
      </c>
      <c r="H11" s="345">
        <f>IF(COUNTIFS('12燃料'!$AF:$AF,ROW())=0,"",SUMIFS('12燃料'!$AC:$AC,'12燃料'!$AF:$AF,ROW(),'12燃料'!$AH:$AH,1))</f>
        <v>0</v>
      </c>
      <c r="I11" s="346">
        <f>IF(COUNTIFS('12燃料'!$AF:$AF,ROW())=0,"",SUMIFS('12燃料'!$AE:$AE,'12燃料'!$AF:$AF,ROW(),'12燃料'!$AH:$AH,1))</f>
        <v>0</v>
      </c>
    </row>
    <row r="12" spans="1:12" ht="30.15" customHeight="1">
      <c r="A12" s="1810"/>
      <c r="B12" s="1813"/>
      <c r="C12" s="1365" t="s">
        <v>16</v>
      </c>
      <c r="D12" s="1366"/>
      <c r="E12" s="1681"/>
      <c r="F12" s="343">
        <f>IF(COUNTIFS('12燃料'!$AF:$AF,ROW())=0,"",ROUND(SUMIFS('12燃料'!$AA:$AA,'12燃料'!$AF:$AF,ROW(),'12燃料'!$AH:$AH,1),0))</f>
        <v>0</v>
      </c>
      <c r="G12" s="347" t="s">
        <v>8</v>
      </c>
      <c r="H12" s="345">
        <f>IF(COUNTIFS('12燃料'!$AF:$AF,ROW())=0,"",SUMIFS('12燃料'!$AC:$AC,'12燃料'!$AF:$AF,ROW(),'12燃料'!$AH:$AH,1))</f>
        <v>0</v>
      </c>
      <c r="I12" s="346">
        <f>IF(COUNTIFS('12燃料'!$AF:$AF,ROW())=0,"",SUMIFS('12燃料'!$AE:$AE,'12燃料'!$AF:$AF,ROW(),'12燃料'!$AH:$AH,1))</f>
        <v>0</v>
      </c>
    </row>
    <row r="13" spans="1:12" ht="30.15" customHeight="1">
      <c r="A13" s="1810"/>
      <c r="B13" s="1813"/>
      <c r="C13" s="1365" t="s">
        <v>17</v>
      </c>
      <c r="D13" s="1366"/>
      <c r="E13" s="1681"/>
      <c r="F13" s="343" t="str">
        <f>IF(COUNTIFS('12燃料'!$AF:$AF,ROW())=0,"",ROUND(SUMIFS('12燃料'!$AA:$AA,'12燃料'!$AF:$AF,ROW(),'12燃料'!$AH:$AH,1),0))</f>
        <v/>
      </c>
      <c r="G13" s="347" t="s">
        <v>8</v>
      </c>
      <c r="H13" s="345" t="str">
        <f>IF(COUNTIFS('12燃料'!$AF:$AF,ROW())=0,"",SUMIFS('12燃料'!$AC:$AC,'12燃料'!$AF:$AF,ROW(),'12燃料'!$AH:$AH,1))</f>
        <v/>
      </c>
      <c r="I13" s="346" t="str">
        <f>IF(COUNTIFS('12燃料'!$AF:$AF,ROW())=0,"",SUMIFS('12燃料'!$AE:$AE,'12燃料'!$AF:$AF,ROW(),'12燃料'!$AH:$AH,1))</f>
        <v/>
      </c>
    </row>
    <row r="14" spans="1:12" ht="30.15" customHeight="1">
      <c r="A14" s="1810"/>
      <c r="B14" s="1813"/>
      <c r="C14" s="1365" t="s">
        <v>18</v>
      </c>
      <c r="D14" s="1366"/>
      <c r="E14" s="1681"/>
      <c r="F14" s="343" t="str">
        <f>IF(COUNTIFS('12燃料'!$AF:$AF,ROW())=0,"",ROUND(SUMIFS('12燃料'!$AA:$AA,'12燃料'!$AF:$AF,ROW(),'12燃料'!$AH:$AH,1),0))</f>
        <v/>
      </c>
      <c r="G14" s="347" t="s">
        <v>19</v>
      </c>
      <c r="H14" s="345" t="str">
        <f>IF(COUNTIFS('12燃料'!$AF:$AF,ROW())=0,"",SUMIFS('12燃料'!$AC:$AC,'12燃料'!$AF:$AF,ROW(),'12燃料'!$AH:$AH,1))</f>
        <v/>
      </c>
      <c r="I14" s="346" t="str">
        <f>IF(COUNTIFS('12燃料'!$AF:$AF,ROW())=0,"",SUMIFS('12燃料'!$AE:$AE,'12燃料'!$AF:$AF,ROW(),'12燃料'!$AH:$AH,1))</f>
        <v/>
      </c>
    </row>
    <row r="15" spans="1:12" ht="30.15" customHeight="1">
      <c r="A15" s="1810"/>
      <c r="B15" s="1813"/>
      <c r="C15" s="1365" t="s">
        <v>20</v>
      </c>
      <c r="D15" s="1366"/>
      <c r="E15" s="1681"/>
      <c r="F15" s="343" t="str">
        <f>IF(COUNTIFS('12燃料'!$AF:$AF,ROW())=0,"",ROUND(SUMIFS('12燃料'!$AA:$AA,'12燃料'!$AF:$AF,ROW(),'12燃料'!$AH:$AH,1),0))</f>
        <v/>
      </c>
      <c r="G15" s="347" t="s">
        <v>19</v>
      </c>
      <c r="H15" s="345" t="str">
        <f>IF(COUNTIFS('12燃料'!$AF:$AF,ROW())=0,"",SUMIFS('12燃料'!$AC:$AC,'12燃料'!$AF:$AF,ROW(),'12燃料'!$AH:$AH,1))</f>
        <v/>
      </c>
      <c r="I15" s="346" t="str">
        <f>IF(COUNTIFS('12燃料'!$AF:$AF,ROW())=0,"",SUMIFS('12燃料'!$AE:$AE,'12燃料'!$AF:$AF,ROW(),'12燃料'!$AH:$AH,1))</f>
        <v/>
      </c>
    </row>
    <row r="16" spans="1:12" ht="30.15" customHeight="1">
      <c r="A16" s="1810"/>
      <c r="B16" s="1813"/>
      <c r="C16" s="1818" t="s">
        <v>21</v>
      </c>
      <c r="D16" s="1365" t="s">
        <v>22</v>
      </c>
      <c r="E16" s="1681"/>
      <c r="F16" s="343">
        <f>IF(COUNTIFS('12燃料'!$AF:$AF,ROW())=0,"",ROUND(SUMIFS('12燃料'!$AA:$AA,'12燃料'!$AF:$AF,ROW(),'12燃料'!$AH:$AH,1),0))</f>
        <v>0</v>
      </c>
      <c r="G16" s="347" t="s">
        <v>19</v>
      </c>
      <c r="H16" s="345">
        <f>IF(COUNTIFS('12燃料'!$AF:$AF,ROW())=0,"",SUMIFS('12燃料'!$AC:$AC,'12燃料'!$AF:$AF,ROW(),'12燃料'!$AH:$AH,1))</f>
        <v>0</v>
      </c>
      <c r="I16" s="346">
        <f>IF(COUNTIFS('12燃料'!$AF:$AF,ROW())=0,"",SUMIFS('12燃料'!$AE:$AE,'12燃料'!$AF:$AF,ROW(),'12燃料'!$AH:$AH,1))</f>
        <v>0</v>
      </c>
    </row>
    <row r="17" spans="1:9" ht="30.15" customHeight="1">
      <c r="A17" s="1810"/>
      <c r="B17" s="1813"/>
      <c r="C17" s="1797"/>
      <c r="D17" s="1365" t="s">
        <v>23</v>
      </c>
      <c r="E17" s="1681"/>
      <c r="F17" s="343" t="str">
        <f>IF(COUNTIFS('12燃料'!$AF:$AF,ROW())=0,"",ROUND(SUMIFS('12燃料'!$AA:$AA,'12燃料'!$AF:$AF,ROW(),'12燃料'!$AH:$AH,1),0))</f>
        <v/>
      </c>
      <c r="G17" s="347" t="s">
        <v>1646</v>
      </c>
      <c r="H17" s="345" t="str">
        <f>IF(COUNTIFS('12燃料'!$AF:$AF,ROW())=0,"",SUMIFS('12燃料'!$AC:$AC,'12燃料'!$AF:$AF,ROW(),'12燃料'!$AH:$AH,1))</f>
        <v/>
      </c>
      <c r="I17" s="346" t="str">
        <f>IF(COUNTIFS('12燃料'!$AF:$AF,ROW())=0,"",SUMIFS('12燃料'!$AE:$AE,'12燃料'!$AF:$AF,ROW(),'12燃料'!$AH:$AH,1))</f>
        <v/>
      </c>
    </row>
    <row r="18" spans="1:9" ht="30.15" customHeight="1">
      <c r="A18" s="1810"/>
      <c r="B18" s="1813"/>
      <c r="C18" s="1676" t="s">
        <v>24</v>
      </c>
      <c r="D18" s="1365" t="s">
        <v>25</v>
      </c>
      <c r="E18" s="1681"/>
      <c r="F18" s="343" t="str">
        <f>IF(COUNTIFS('12燃料'!$AF:$AF,ROW())=0,"",ROUND(SUMIFS('12燃料'!$AA:$AA,'12燃料'!$AF:$AF,ROW(),'12燃料'!$AH:$AH,1),0))</f>
        <v/>
      </c>
      <c r="G18" s="347" t="s">
        <v>19</v>
      </c>
      <c r="H18" s="345" t="str">
        <f>IF(COUNTIFS('12燃料'!$AF:$AF,ROW())=0,"",SUMIFS('12燃料'!$AC:$AC,'12燃料'!$AF:$AF,ROW(),'12燃料'!$AH:$AH,1))</f>
        <v/>
      </c>
      <c r="I18" s="346" t="str">
        <f>IF(COUNTIFS('12燃料'!$AF:$AF,ROW())=0,"",SUMIFS('12燃料'!$AE:$AE,'12燃料'!$AF:$AF,ROW(),'12燃料'!$AH:$AH,1))</f>
        <v/>
      </c>
    </row>
    <row r="19" spans="1:9" ht="30.15" customHeight="1">
      <c r="A19" s="1810"/>
      <c r="B19" s="1813"/>
      <c r="C19" s="1797"/>
      <c r="D19" s="1365" t="s">
        <v>26</v>
      </c>
      <c r="E19" s="1681"/>
      <c r="F19" s="343" t="str">
        <f>IF(COUNTIFS('12燃料'!$AF:$AF,ROW())=0,"",ROUND(SUMIFS('12燃料'!$AA:$AA,'12燃料'!$AF:$AF,ROW(),'12燃料'!$AH:$AH,1),0))</f>
        <v/>
      </c>
      <c r="G19" s="347" t="s">
        <v>1646</v>
      </c>
      <c r="H19" s="345" t="str">
        <f>IF(COUNTIFS('12燃料'!$AF:$AF,ROW())=0,"",SUMIFS('12燃料'!$AC:$AC,'12燃料'!$AF:$AF,ROW(),'12燃料'!$AH:$AH,1))</f>
        <v/>
      </c>
      <c r="I19" s="346" t="str">
        <f>IF(COUNTIFS('12燃料'!$AF:$AF,ROW())=0,"",SUMIFS('12燃料'!$AE:$AE,'12燃料'!$AF:$AF,ROW(),'12燃料'!$AH:$AH,1))</f>
        <v/>
      </c>
    </row>
    <row r="20" spans="1:9" ht="30.15" customHeight="1">
      <c r="A20" s="1810"/>
      <c r="B20" s="1813"/>
      <c r="C20" s="2013" t="s">
        <v>68</v>
      </c>
      <c r="D20" s="1365" t="s">
        <v>1634</v>
      </c>
      <c r="E20" s="1681"/>
      <c r="F20" s="343" t="str">
        <f>IF(COUNTIFS('12燃料'!$AF:$AF,ROW())=0,"",ROUND(SUMIFS('12燃料'!$AA:$AA,'12燃料'!$AF:$AF,ROW(),'12燃料'!$AH:$AH,1),0))</f>
        <v/>
      </c>
      <c r="G20" s="347" t="s">
        <v>19</v>
      </c>
      <c r="H20" s="345" t="str">
        <f>IF(COUNTIFS('12燃料'!$AF:$AF,ROW())=0,"",SUMIFS('12燃料'!$AC:$AC,'12燃料'!$AF:$AF,ROW(),'12燃料'!$AH:$AH,1))</f>
        <v/>
      </c>
      <c r="I20" s="346" t="str">
        <f>IF(COUNTIFS('12燃料'!$AF:$AF,ROW())=0,"",SUMIFS('12燃料'!$AE:$AE,'12燃料'!$AF:$AF,ROW(),'12燃料'!$AH:$AH,1))</f>
        <v/>
      </c>
    </row>
    <row r="21" spans="1:9" ht="30.15" customHeight="1">
      <c r="A21" s="1810"/>
      <c r="B21" s="1813"/>
      <c r="C21" s="2014"/>
      <c r="D21" s="1365" t="s">
        <v>1635</v>
      </c>
      <c r="E21" s="1681"/>
      <c r="F21" s="343" t="str">
        <f>IF(COUNTIFS('12燃料'!$AF:$AF,ROW())=0,"",ROUND(SUMIFS('12燃料'!$AA:$AA,'12燃料'!$AF:$AF,ROW(),'12燃料'!$AH:$AH,1),0))</f>
        <v/>
      </c>
      <c r="G21" s="347" t="s">
        <v>19</v>
      </c>
      <c r="H21" s="345" t="str">
        <f>IF(COUNTIFS('12燃料'!$AF:$AF,ROW())=0,"",SUMIFS('12燃料'!$AC:$AC,'12燃料'!$AF:$AF,ROW(),'12燃料'!$AH:$AH,1))</f>
        <v/>
      </c>
      <c r="I21" s="346" t="str">
        <f>IF(COUNTIFS('12燃料'!$AF:$AF,ROW())=0,"",SUMIFS('12燃料'!$AE:$AE,'12燃料'!$AF:$AF,ROW(),'12燃料'!$AH:$AH,1))</f>
        <v/>
      </c>
    </row>
    <row r="22" spans="1:9" ht="30.15" customHeight="1">
      <c r="A22" s="1810"/>
      <c r="B22" s="1813"/>
      <c r="C22" s="2015"/>
      <c r="D22" s="1365" t="s">
        <v>1636</v>
      </c>
      <c r="E22" s="1681"/>
      <c r="F22" s="343" t="str">
        <f>IF(COUNTIFS('12燃料'!$AF:$AF,ROW())=0,"",ROUND(SUMIFS('12燃料'!$AA:$AA,'12燃料'!$AF:$AF,ROW(),'12燃料'!$AH:$AH,1),0))</f>
        <v/>
      </c>
      <c r="G22" s="347" t="s">
        <v>19</v>
      </c>
      <c r="H22" s="345" t="str">
        <f>IF(COUNTIFS('12燃料'!$AF:$AF,ROW())=0,"",SUMIFS('12燃料'!$AC:$AC,'12燃料'!$AF:$AF,ROW(),'12燃料'!$AH:$AH,1))</f>
        <v/>
      </c>
      <c r="I22" s="346" t="str">
        <f>IF(COUNTIFS('12燃料'!$AF:$AF,ROW())=0,"",SUMIFS('12燃料'!$AE:$AE,'12燃料'!$AF:$AF,ROW(),'12燃料'!$AH:$AH,1))</f>
        <v/>
      </c>
    </row>
    <row r="23" spans="1:9" ht="30.15" customHeight="1">
      <c r="A23" s="1810"/>
      <c r="B23" s="1813"/>
      <c r="C23" s="1365" t="s">
        <v>27</v>
      </c>
      <c r="D23" s="1366"/>
      <c r="E23" s="1681"/>
      <c r="F23" s="343" t="str">
        <f>IF(COUNTIFS('12燃料'!$AF:$AF,ROW())=0,"",ROUND(SUMIFS('12燃料'!$AA:$AA,'12燃料'!$AF:$AF,ROW(),'12燃料'!$AH:$AH,1),0))</f>
        <v/>
      </c>
      <c r="G23" s="348" t="s">
        <v>19</v>
      </c>
      <c r="H23" s="345" t="str">
        <f>IF(COUNTIFS('12燃料'!$AF:$AF,ROW())=0,"",SUMIFS('12燃料'!$AC:$AC,'12燃料'!$AF:$AF,ROW(),'12燃料'!$AH:$AH,1))</f>
        <v/>
      </c>
      <c r="I23" s="346" t="str">
        <f>IF(COUNTIFS('12燃料'!$AF:$AF,ROW())=0,"",SUMIFS('12燃料'!$AE:$AE,'12燃料'!$AF:$AF,ROW(),'12燃料'!$AH:$AH,1))</f>
        <v/>
      </c>
    </row>
    <row r="24" spans="1:9" ht="30.15" customHeight="1">
      <c r="A24" s="1810"/>
      <c r="B24" s="1813"/>
      <c r="C24" s="1365" t="s">
        <v>28</v>
      </c>
      <c r="D24" s="1366"/>
      <c r="E24" s="1681"/>
      <c r="F24" s="343" t="str">
        <f>IF(COUNTIFS('12燃料'!$AF:$AF,ROW())=0,"",ROUND(SUMIFS('12燃料'!$AA:$AA,'12燃料'!$AF:$AF,ROW(),'12燃料'!$AH:$AH,1),0))</f>
        <v/>
      </c>
      <c r="G24" s="348" t="s">
        <v>19</v>
      </c>
      <c r="H24" s="345" t="str">
        <f>IF(COUNTIFS('12燃料'!$AF:$AF,ROW())=0,"",SUMIFS('12燃料'!$AC:$AC,'12燃料'!$AF:$AF,ROW(),'12燃料'!$AH:$AH,1))</f>
        <v/>
      </c>
      <c r="I24" s="346" t="str">
        <f>IF(COUNTIFS('12燃料'!$AF:$AF,ROW())=0,"",SUMIFS('12燃料'!$AE:$AE,'12燃料'!$AF:$AF,ROW(),'12燃料'!$AH:$AH,1))</f>
        <v/>
      </c>
    </row>
    <row r="25" spans="1:9" ht="30.15" customHeight="1">
      <c r="A25" s="1810"/>
      <c r="B25" s="1813"/>
      <c r="C25" s="1365" t="s">
        <v>71</v>
      </c>
      <c r="D25" s="1366"/>
      <c r="E25" s="1681"/>
      <c r="F25" s="343" t="str">
        <f>IF(COUNTIFS('12燃料'!$AF:$AF,ROW())=0,"",ROUND(SUMIFS('12燃料'!$AA:$AA,'12燃料'!$AF:$AF,ROW(),'12燃料'!$AH:$AH,1),0))</f>
        <v/>
      </c>
      <c r="G25" s="347" t="s">
        <v>1646</v>
      </c>
      <c r="H25" s="345" t="str">
        <f>IF(COUNTIFS('12燃料'!$AF:$AF,ROW())=0,"",SUMIFS('12燃料'!$AC:$AC,'12燃料'!$AF:$AF,ROW(),'12燃料'!$AH:$AH,1))</f>
        <v/>
      </c>
      <c r="I25" s="346" t="str">
        <f>IF(COUNTIFS('12燃料'!$AF:$AF,ROW())=0,"",SUMIFS('12燃料'!$AE:$AE,'12燃料'!$AF:$AF,ROW(),'12燃料'!$AH:$AH,1))</f>
        <v/>
      </c>
    </row>
    <row r="26" spans="1:9" ht="30.15" customHeight="1">
      <c r="A26" s="1810"/>
      <c r="B26" s="1813"/>
      <c r="C26" s="1365" t="s">
        <v>1637</v>
      </c>
      <c r="D26" s="1366"/>
      <c r="E26" s="1681"/>
      <c r="F26" s="343" t="str">
        <f>IF(COUNTIFS('12燃料'!$AF:$AF,ROW())=0,"",ROUND(SUMIFS('12燃料'!$AA:$AA,'12燃料'!$AF:$AF,ROW(),'12燃料'!$AH:$AH,1),0))</f>
        <v/>
      </c>
      <c r="G26" s="347" t="s">
        <v>1646</v>
      </c>
      <c r="H26" s="345" t="str">
        <f>IF(COUNTIFS('12燃料'!$AF:$AF,ROW())=0,"",SUMIFS('12燃料'!$AC:$AC,'12燃料'!$AF:$AF,ROW(),'12燃料'!$AH:$AH,1))</f>
        <v/>
      </c>
      <c r="I26" s="346" t="str">
        <f>IF(COUNTIFS('12燃料'!$AF:$AF,ROW())=0,"",SUMIFS('12燃料'!$AE:$AE,'12燃料'!$AF:$AF,ROW(),'12燃料'!$AH:$AH,1))</f>
        <v/>
      </c>
    </row>
    <row r="27" spans="1:9" ht="30.15" customHeight="1">
      <c r="A27" s="1810"/>
      <c r="B27" s="1813"/>
      <c r="C27" s="1365" t="s">
        <v>30</v>
      </c>
      <c r="D27" s="1366"/>
      <c r="E27" s="1681"/>
      <c r="F27" s="343" t="str">
        <f>IF(COUNTIFS('12燃料'!$AF:$AF,ROW())=0,"",ROUND(SUMIFS('12燃料'!$AA:$AA,'12燃料'!$AF:$AF,ROW(),'12燃料'!$AH:$AH,1),0))</f>
        <v/>
      </c>
      <c r="G27" s="347" t="s">
        <v>1646</v>
      </c>
      <c r="H27" s="345" t="str">
        <f>IF(COUNTIFS('12燃料'!$AF:$AF,ROW())=0,"",SUMIFS('12燃料'!$AC:$AC,'12燃料'!$AF:$AF,ROW(),'12燃料'!$AH:$AH,1))</f>
        <v/>
      </c>
      <c r="I27" s="346" t="str">
        <f>IF(COUNTIFS('12燃料'!$AF:$AF,ROW())=0,"",SUMIFS('12燃料'!$AE:$AE,'12燃料'!$AF:$AF,ROW(),'12燃料'!$AH:$AH,1))</f>
        <v/>
      </c>
    </row>
    <row r="28" spans="1:9" ht="30.15" customHeight="1">
      <c r="A28" s="1810"/>
      <c r="B28" s="1813"/>
      <c r="C28" s="1365" t="s">
        <v>50</v>
      </c>
      <c r="D28" s="1366"/>
      <c r="E28" s="1681"/>
      <c r="F28" s="343" t="str">
        <f>IF(COUNTIFS('12燃料'!$AF:$AF,ROW())=0,"",ROUND(SUMIFS('12燃料'!$AA:$AA,'12燃料'!$AF:$AF,ROW(),'12燃料'!$AH:$AH,1),0))</f>
        <v/>
      </c>
      <c r="G28" s="347" t="s">
        <v>8</v>
      </c>
      <c r="H28" s="345" t="str">
        <f>IF(COUNTIFS('12燃料'!$AF:$AF,ROW())=0,"",SUMIFS('12燃料'!$AC:$AC,'12燃料'!$AF:$AF,ROW(),'12燃料'!$AH:$AH,1))</f>
        <v/>
      </c>
      <c r="I28" s="346" t="str">
        <f>IF(COUNTIFS('12燃料'!$AF:$AF,ROW())=0,"",SUMIFS('12燃料'!$AE:$AE,'12燃料'!$AF:$AF,ROW(),'12燃料'!$AH:$AH,1))</f>
        <v/>
      </c>
    </row>
    <row r="29" spans="1:9" ht="30.15" customHeight="1">
      <c r="A29" s="1810"/>
      <c r="B29" s="1813"/>
      <c r="C29" s="2010" t="s">
        <v>32</v>
      </c>
      <c r="D29" s="2011"/>
      <c r="E29" s="2012"/>
      <c r="F29" s="343">
        <f>IF(COUNTIFS('13電気・熱_都市ガス'!$AW:$AW,ROW())=0,"",ROUND(SUMIFS('13電気・熱_都市ガス'!$AS:$AS,'13電気・熱_都市ガス'!$AW:$AW,ROW(),'13電気・熱_都市ガス'!$BI:$BI,1),0))</f>
        <v>0</v>
      </c>
      <c r="G29" s="347" t="s">
        <v>2482</v>
      </c>
      <c r="H29" s="345">
        <f>IF(COUNTIFS('13電気・熱_都市ガス'!$AW:$AW,ROW())=0,"",SUMIFS('13電気・熱_都市ガス'!$AT:$AT,'13電気・熱_都市ガス'!$AW:$AW,ROW(),'13電気・熱_都市ガス'!$BI:$BI,1))</f>
        <v>0</v>
      </c>
      <c r="I29" s="346">
        <f>IF(COUNTIFS('13電気・熱_都市ガス'!$AW:$AW,ROW())=0,"",SUMIFS('13電気・熱_都市ガス'!$AV:$AV,'13電気・熱_都市ガス'!$AW:$AW,ROW(),'13電気・熱_都市ガス'!$BI:$BI,1))</f>
        <v>0</v>
      </c>
    </row>
    <row r="30" spans="1:9" ht="30.15" customHeight="1">
      <c r="A30" s="1810"/>
      <c r="B30" s="1813"/>
      <c r="C30" s="1801" t="s">
        <v>31</v>
      </c>
      <c r="D30" s="1802" t="str">
        <f>IF('0.事業所概要'!J25="","その他燃料①",'0.事業所概要'!J25)</f>
        <v>その他燃料①</v>
      </c>
      <c r="E30" s="1803"/>
      <c r="F30" s="343" t="str">
        <f>IF(COUNTIFS('12燃料'!$AF:$AF,ROW())=0,"",ROUND(SUMIFS('12燃料'!$AA:$AA,'12燃料'!$AF:$AF,ROW(),'12燃料'!$AH:$AH,1),0))</f>
        <v/>
      </c>
      <c r="G30" s="350" t="str">
        <f>IF('0.事業所概要'!L21="","",'0.事業所概要'!L21)</f>
        <v/>
      </c>
      <c r="H30" s="345" t="str">
        <f>IF(COUNTIFS('12燃料'!$AF:$AF,ROW())=0,"",SUMIFS('12燃料'!$AC:$AC,'12燃料'!$AF:$AF,ROW(),'12燃料'!$AH:$AH,1))</f>
        <v/>
      </c>
      <c r="I30" s="346" t="str">
        <f>IF(COUNTIFS('12燃料'!$AF:$AF,ROW())=0,"",SUMIFS('12燃料'!$AE:$AE,'12燃料'!$AF:$AF,ROW(),'12燃料'!$AH:$AH,1))</f>
        <v/>
      </c>
    </row>
    <row r="31" spans="1:9" ht="30.15" customHeight="1">
      <c r="A31" s="1810"/>
      <c r="B31" s="1813"/>
      <c r="C31" s="1801"/>
      <c r="D31" s="1802" t="str">
        <f>IF('0.事業所概要'!J26="","その他燃料②",'0.事業所概要'!J26)</f>
        <v>その他燃料②</v>
      </c>
      <c r="E31" s="1803"/>
      <c r="F31" s="343" t="str">
        <f>IF(COUNTIFS('12燃料'!$AF:$AF,ROW())=0,"",ROUND(SUMIFS('12燃料'!$AA:$AA,'12燃料'!$AF:$AF,ROW(),'12燃料'!$AH:$AH,1),0))</f>
        <v/>
      </c>
      <c r="G31" s="350" t="str">
        <f>IF('0.事業所概要'!L22="","",'0.事業所概要'!L22)</f>
        <v/>
      </c>
      <c r="H31" s="345" t="str">
        <f>IF(COUNTIFS('12燃料'!$AF:$AF,ROW())=0,"",SUMIFS('12燃料'!$AC:$AC,'12燃料'!$AF:$AF,ROW(),'12燃料'!$AH:$AH,1))</f>
        <v/>
      </c>
      <c r="I31" s="346" t="str">
        <f>IF(COUNTIFS('12燃料'!$AF:$AF,ROW())=0,"",SUMIFS('12燃料'!$AE:$AE,'12燃料'!$AF:$AF,ROW(),'12燃料'!$AH:$AH,1))</f>
        <v/>
      </c>
    </row>
    <row r="32" spans="1:9" ht="30.15" customHeight="1" thickBot="1">
      <c r="A32" s="1810"/>
      <c r="B32" s="171"/>
      <c r="C32" s="1696" t="s">
        <v>37</v>
      </c>
      <c r="D32" s="1776"/>
      <c r="E32" s="1697"/>
      <c r="F32" s="1774"/>
      <c r="G32" s="1775"/>
      <c r="H32" s="351">
        <f>IF(COUNT(H6:H31)=0,"",SUM(H6:H31))</f>
        <v>0</v>
      </c>
      <c r="I32" s="353">
        <f>IF(COUNT(I6:I31)=0,"",SUM(I6:I31))</f>
        <v>0</v>
      </c>
    </row>
    <row r="33" spans="1:9" ht="30.15" customHeight="1" thickTop="1">
      <c r="A33" s="1810"/>
      <c r="B33" s="1777" t="s">
        <v>273</v>
      </c>
      <c r="C33" s="1780" t="s">
        <v>188</v>
      </c>
      <c r="D33" s="1783" t="s">
        <v>33</v>
      </c>
      <c r="E33" s="1784"/>
      <c r="F33" s="390" t="str">
        <f>IF(COUNTIFS('13電気・熱_都市ガス'!$AW:$AW,ROW())=0,"",ROUND(SUMIFS('13電気・熱_都市ガス'!$AS:$AS,'13電気・熱_都市ガス'!$AW:$AW,ROW(),'13電気・熱_都市ガス'!$BI:$BI,1),0))</f>
        <v/>
      </c>
      <c r="G33" s="355" t="s">
        <v>7</v>
      </c>
      <c r="H33" s="391"/>
      <c r="I33" s="357" t="str">
        <f>IF(COUNTIFS('13電気・熱_都市ガス'!$AW:$AW,ROW())=0,"",SUMIFS('13電気・熱_都市ガス'!$AV:$AV,'13電気・熱_都市ガス'!$AW:$AW,ROW(),'13電気・熱_都市ガス'!$BI:$BI,1))</f>
        <v/>
      </c>
    </row>
    <row r="34" spans="1:9" ht="30.15" customHeight="1">
      <c r="A34" s="1810"/>
      <c r="B34" s="1778"/>
      <c r="C34" s="1781"/>
      <c r="D34" s="1785" t="s">
        <v>34</v>
      </c>
      <c r="E34" s="1786"/>
      <c r="F34" s="392" t="str">
        <f>IF(COUNTIFS('13電気・熱_都市ガス'!$AW:$AW,ROW())=0,"",ROUND(SUMIFS('13電気・熱_都市ガス'!$AS:$AS,'13電気・熱_都市ガス'!$AW:$AW,ROW(),'13電気・熱_都市ガス'!$BI:$BI,1),0))</f>
        <v/>
      </c>
      <c r="G34" s="347" t="s">
        <v>7</v>
      </c>
      <c r="H34" s="367"/>
      <c r="I34" s="346" t="str">
        <f>IF(COUNTIFS('13電気・熱_都市ガス'!$AW:$AW,ROW())=0,"",SUMIFS('13電気・熱_都市ガス'!$AV:$AV,'13電気・熱_都市ガス'!$AW:$AW,ROW(),'13電気・熱_都市ガス'!$BI:$BI,1))</f>
        <v/>
      </c>
    </row>
    <row r="35" spans="1:9" ht="30.15" customHeight="1">
      <c r="A35" s="1810"/>
      <c r="B35" s="1778"/>
      <c r="C35" s="1781"/>
      <c r="D35" s="1365" t="s">
        <v>35</v>
      </c>
      <c r="E35" s="1681"/>
      <c r="F35" s="392" t="str">
        <f>IF(COUNTIFS('13電気・熱_都市ガス'!$AW:$AW,ROW())=0,"",ROUND(SUMIFS('13電気・熱_都市ガス'!$AS:$AS,'13電気・熱_都市ガス'!$AW:$AW,ROW(),'13電気・熱_都市ガス'!$BI:$BI,1),0))</f>
        <v/>
      </c>
      <c r="G35" s="347" t="s">
        <v>7</v>
      </c>
      <c r="H35" s="367"/>
      <c r="I35" s="346" t="str">
        <f>IF(COUNTIFS('13電気・熱_都市ガス'!$AW:$AW,ROW())=0,"",SUMIFS('13電気・熱_都市ガス'!$AV:$AV,'13電気・熱_都市ガス'!$AW:$AW,ROW(),'13電気・熱_都市ガス'!$BI:$BI,1))</f>
        <v/>
      </c>
    </row>
    <row r="36" spans="1:9" ht="30.15" customHeight="1">
      <c r="A36" s="1810"/>
      <c r="B36" s="1778"/>
      <c r="C36" s="1782"/>
      <c r="D36" s="1365" t="s">
        <v>36</v>
      </c>
      <c r="E36" s="1681"/>
      <c r="F36" s="392" t="str">
        <f>IF(COUNTIFS('13電気・熱_都市ガス'!$AW:$AW,ROW())=0,"",ROUND(SUMIFS('13電気・熱_都市ガス'!$AS:$AS,'13電気・熱_都市ガス'!$AW:$AW,ROW(),'13電気・熱_都市ガス'!$BI:$BI,1),0))</f>
        <v/>
      </c>
      <c r="G36" s="347" t="s">
        <v>7</v>
      </c>
      <c r="H36" s="367"/>
      <c r="I36" s="346" t="str">
        <f>IF(COUNTIFS('13電気・熱_都市ガス'!$AW:$AW,ROW())=0,"",SUMIFS('13電気・熱_都市ガス'!$AV:$AV,'13電気・熱_都市ガス'!$AW:$AW,ROW(),'13電気・熱_都市ガス'!$BI:$BI,1))</f>
        <v/>
      </c>
    </row>
    <row r="37" spans="1:9" ht="30.15" customHeight="1">
      <c r="A37" s="1810"/>
      <c r="B37" s="1778"/>
      <c r="C37" s="1787" t="s">
        <v>189</v>
      </c>
      <c r="D37" s="1769" t="s">
        <v>58</v>
      </c>
      <c r="E37" s="14" t="s">
        <v>56</v>
      </c>
      <c r="F37" s="358" t="str">
        <f>IF(COUNTIFS('14再エネ電気・熱'!$AT:$AT,ROW())=0,"",ROUND(SUMIFS('14再エネ電気・熱'!$AI:$AI,'14再エネ電気・熱'!$AT:$AT,ROW(),'14再エネ電気・熱'!$BE:$BE,1),0))</f>
        <v/>
      </c>
      <c r="G37" s="347" t="s">
        <v>1871</v>
      </c>
      <c r="H37" s="359"/>
      <c r="I37" s="346" t="str">
        <f>IF(COUNTIFS('14再エネ電気・熱'!$AT:$AT,ROW())=0,"",SUMIFS('14再エネ電気・熱'!$AL:$AL,'14再エネ電気・熱'!$AT:$AT,ROW(),'14再エネ電気・熱'!$BE:$BE,1))</f>
        <v/>
      </c>
    </row>
    <row r="38" spans="1:9" ht="30.15" customHeight="1">
      <c r="A38" s="1810"/>
      <c r="B38" s="1778"/>
      <c r="C38" s="1788"/>
      <c r="D38" s="1770"/>
      <c r="E38" s="14" t="s">
        <v>57</v>
      </c>
      <c r="F38" s="358" t="str">
        <f>IF(COUNTIFS('14再エネ電気・熱'!$AT:$AT,ROW())=0,"",ROUND(SUMIFS('14再エネ電気・熱'!$AI:$AI,'14再エネ電気・熱'!$AT:$AT,ROW(),'14再エネ電気・熱'!$BE:$BE,1),0))</f>
        <v/>
      </c>
      <c r="G38" s="347" t="s">
        <v>7</v>
      </c>
      <c r="H38" s="360"/>
      <c r="I38" s="346" t="str">
        <f>IF(COUNTIFS('14再エネ電気・熱'!$AT:$AT,ROW())=0,"",SUMIFS('14再エネ電気・熱'!$AL:$AL,'14再エネ電気・熱'!$AT:$AT,ROW(),'14再エネ電気・熱'!$BE:$BE,1))</f>
        <v/>
      </c>
    </row>
    <row r="39" spans="1:9" ht="30.15" customHeight="1">
      <c r="A39" s="1810"/>
      <c r="B39" s="1778"/>
      <c r="C39" s="1788"/>
      <c r="D39" s="1769" t="s">
        <v>65</v>
      </c>
      <c r="E39" s="14" t="s">
        <v>56</v>
      </c>
      <c r="F39" s="358" t="str">
        <f>IF(COUNTIFS('14再エネ電気・熱'!$AT:$AT,ROW())=0,"",ROUND(SUMIFS('14再エネ電気・熱'!$AI:$AI,'14再エネ電気・熱'!$AT:$AT,ROW(),'14再エネ電気・熱'!$BE:$BE,1),0))</f>
        <v/>
      </c>
      <c r="G39" s="347" t="s">
        <v>7</v>
      </c>
      <c r="H39" s="360"/>
      <c r="I39" s="346" t="str">
        <f>IF(COUNTIFS('14再エネ電気・熱'!$AT:$AT,ROW())=0,"",SUMIFS('14再エネ電気・熱'!$AL:$AL,'14再エネ電気・熱'!$AT:$AT,ROW(),'14再エネ電気・熱'!$BE:$BE,1))</f>
        <v/>
      </c>
    </row>
    <row r="40" spans="1:9" ht="30.15" customHeight="1">
      <c r="A40" s="1810"/>
      <c r="B40" s="1778"/>
      <c r="C40" s="1788"/>
      <c r="D40" s="1770"/>
      <c r="E40" s="14" t="s">
        <v>57</v>
      </c>
      <c r="F40" s="358" t="str">
        <f>IF(COUNTIFS('14再エネ電気・熱'!$AT:$AT,ROW())=0,"",ROUND(SUMIFS('14再エネ電気・熱'!$AI:$AI,'14再エネ電気・熱'!$AT:$AT,ROW(),'14再エネ電気・熱'!$BE:$BE,1),0))</f>
        <v/>
      </c>
      <c r="G40" s="347" t="s">
        <v>7</v>
      </c>
      <c r="H40" s="360"/>
      <c r="I40" s="346" t="str">
        <f>IF(COUNTIFS('14再エネ電気・熱'!$AT:$AT,ROW())=0,"",SUMIFS('14再エネ電気・熱'!$AL:$AL,'14再エネ電気・熱'!$AT:$AT,ROW(),'14再エネ電気・熱'!$BE:$BE,1))</f>
        <v/>
      </c>
    </row>
    <row r="41" spans="1:9" ht="45" customHeight="1">
      <c r="A41" s="1810"/>
      <c r="B41" s="1778"/>
      <c r="C41" s="1789"/>
      <c r="D41" s="1670" t="s">
        <v>186</v>
      </c>
      <c r="E41" s="1671"/>
      <c r="F41" s="358" t="str">
        <f>IF(COUNTIFS('14再エネ電気・熱'!$AT:$AT,ROW())=0,"",ROUND(SUMIFS('14再エネ電気・熱'!$AI:$AI,'14再エネ電気・熱'!$AT:$AT,ROW()),0))</f>
        <v/>
      </c>
      <c r="G41" s="347" t="s">
        <v>7</v>
      </c>
      <c r="H41" s="359"/>
      <c r="I41" s="346" t="str">
        <f>IF(COUNTIFS('14再エネ電気・熱'!$AT:$AT,ROW())=0,"",SUMIFS('14再エネ電気・熱'!$AL:$AL,'14再エネ電気・熱'!$AT:$AT,ROW(),'14再エネ電気・熱'!$BE:$BE,1))</f>
        <v/>
      </c>
    </row>
    <row r="42" spans="1:9" ht="35.15" customHeight="1" thickBot="1">
      <c r="A42" s="1810"/>
      <c r="B42" s="1779"/>
      <c r="C42" s="1790" t="s">
        <v>37</v>
      </c>
      <c r="D42" s="1791"/>
      <c r="E42" s="1792"/>
      <c r="F42" s="1793"/>
      <c r="G42" s="1794"/>
      <c r="H42" s="393"/>
      <c r="I42" s="353" t="str">
        <f>IF(COUNT(I33:I41)=0,"",SUM(I33:I41))</f>
        <v/>
      </c>
    </row>
    <row r="43" spans="1:9" ht="35.25" customHeight="1" thickTop="1">
      <c r="A43" s="1810"/>
      <c r="B43" s="1762" t="s">
        <v>274</v>
      </c>
      <c r="C43" s="172" t="s">
        <v>192</v>
      </c>
      <c r="D43" s="1764" t="s">
        <v>190</v>
      </c>
      <c r="E43" s="1765"/>
      <c r="F43" s="343">
        <f>IF(COUNTIFS('13電気・熱_都市ガス'!$AW:$AW,ROW())=0,"",ROUND(SUMIFS('13電気・熱_都市ガス'!$AS:$AS,'13電気・熱_都市ガス'!$AW:$AW,ROW(),'13電気・熱_都市ガス'!$BI:$BI,1),0))</f>
        <v>0</v>
      </c>
      <c r="G43" s="347" t="s">
        <v>38</v>
      </c>
      <c r="H43" s="388"/>
      <c r="I43" s="365">
        <f>IF(COUNTIFS('13電気・熱_都市ガス'!$AW:$AW,ROW())=0,"",SUMIFS('13電気・熱_都市ガス'!$AV:$AV,'13電気・熱_都市ガス'!$AW:$AW,ROW(),'13電気・熱_都市ガス'!$BI:$BI,1))</f>
        <v>0</v>
      </c>
    </row>
    <row r="44" spans="1:9" ht="30" customHeight="1">
      <c r="A44" s="1810"/>
      <c r="B44" s="1762"/>
      <c r="C44" s="1787" t="s">
        <v>189</v>
      </c>
      <c r="D44" s="1769" t="s">
        <v>66</v>
      </c>
      <c r="E44" s="14" t="s">
        <v>56</v>
      </c>
      <c r="F44" s="349">
        <f>IF(COUNTIFS('14再エネ電気・熱'!$AT:$AT,ROW())=0,"",ROUND(SUMIFS('14再エネ電気・熱'!$AI:$AI,'14再エネ電気・熱'!$AT:$AT,ROW(),'14再エネ電気・熱'!$BE:$BE,1),0))</f>
        <v>0</v>
      </c>
      <c r="G44" s="347" t="s">
        <v>38</v>
      </c>
      <c r="H44" s="359"/>
      <c r="I44" s="346">
        <f>IF(COUNTIFS('14再エネ電気・熱'!$AT:$AT,ROW())=0,"",SUMIFS('14再エネ電気・熱'!$AL:$AL,'14再エネ電気・熱'!$AT:$AT,ROW(),'14再エネ電気・熱'!$BE:$BE,1))</f>
        <v>0</v>
      </c>
    </row>
    <row r="45" spans="1:9" ht="30.15" customHeight="1">
      <c r="A45" s="1810"/>
      <c r="B45" s="1762"/>
      <c r="C45" s="1788"/>
      <c r="D45" s="1770"/>
      <c r="E45" s="14" t="s">
        <v>57</v>
      </c>
      <c r="F45" s="343">
        <f>IF(COUNTIFS('14再エネ電気・熱'!$AT:$AT,ROW())=0,"",ROUND(SUMIFS('14再エネ電気・熱'!$AI:$AI,'14再エネ電気・熱'!$AT:$AT,ROW(),'14再エネ電気・熱'!$BE:$BE,1),0))</f>
        <v>0</v>
      </c>
      <c r="G45" s="347" t="s">
        <v>38</v>
      </c>
      <c r="H45" s="360"/>
      <c r="I45" s="346">
        <f>IF(COUNTIFS('14再エネ電気・熱'!$AT:$AT,ROW())=0,"",SUMIFS('14再エネ電気・熱'!$AL:$AL,'14再エネ電気・熱'!$AT:$AT,ROW(),'14再エネ電気・熱'!$BE:$BE,1))</f>
        <v>0</v>
      </c>
    </row>
    <row r="46" spans="1:9" ht="30.15" customHeight="1">
      <c r="A46" s="1810"/>
      <c r="B46" s="1762"/>
      <c r="C46" s="1788"/>
      <c r="D46" s="1769" t="s">
        <v>67</v>
      </c>
      <c r="E46" s="14" t="s">
        <v>56</v>
      </c>
      <c r="F46" s="343" t="str">
        <f>IF(COUNTIFS('14再エネ電気・熱'!$AT:$AT,ROW())=0,"",ROUND(SUMIFS('14再エネ電気・熱'!$AI:$AI,'14再エネ電気・熱'!$AT:$AT,ROW(),'14再エネ電気・熱'!$BE:$BE,1),0))</f>
        <v/>
      </c>
      <c r="G46" s="347" t="s">
        <v>38</v>
      </c>
      <c r="H46" s="360"/>
      <c r="I46" s="346" t="str">
        <f>IF(COUNTIFS('14再エネ電気・熱'!$AT:$AT,ROW())=0,"",SUMIFS('14再エネ電気・熱'!$AL:$AL,'14再エネ電気・熱'!$AT:$AT,ROW(),'14再エネ電気・熱'!$BE:$BE,1))</f>
        <v/>
      </c>
    </row>
    <row r="47" spans="1:9" ht="30.15" customHeight="1">
      <c r="A47" s="1810"/>
      <c r="B47" s="1762"/>
      <c r="C47" s="1788"/>
      <c r="D47" s="1770"/>
      <c r="E47" s="14" t="s">
        <v>57</v>
      </c>
      <c r="F47" s="343" t="str">
        <f>IF(COUNTIFS('14再エネ電気・熱'!$AT:$AT,ROW())=0,"",ROUND(SUMIFS('14再エネ電気・熱'!$AI:$AI,'14再エネ電気・熱'!$AT:$AT,ROW(),'14再エネ電気・熱'!$BE:$BE,1),0))</f>
        <v/>
      </c>
      <c r="G47" s="347" t="s">
        <v>38</v>
      </c>
      <c r="H47" s="360"/>
      <c r="I47" s="346" t="str">
        <f>IF(COUNTIFS('14再エネ電気・熱'!$AT:$AT,ROW())=0,"",SUMIFS('14再エネ電気・熱'!$AL:$AL,'14再エネ電気・熱'!$AT:$AT,ROW(),'14再エネ電気・熱'!$BE:$BE,1))</f>
        <v/>
      </c>
    </row>
    <row r="48" spans="1:9" ht="45" customHeight="1">
      <c r="A48" s="1810"/>
      <c r="B48" s="1762"/>
      <c r="C48" s="1788"/>
      <c r="D48" s="1670" t="s">
        <v>186</v>
      </c>
      <c r="E48" s="1671"/>
      <c r="F48" s="343" t="str">
        <f>IF(COUNTIFS('14再エネ電気・熱'!$AT:$AT,ROW())=0,"",ROUND(SUMIFS('14再エネ電気・熱'!$AI:$AI,'14再エネ電気・熱'!$AT:$AT,ROW(),'14再エネ電気・熱'!$BE:$BE,1),0))</f>
        <v/>
      </c>
      <c r="G48" s="348" t="s">
        <v>38</v>
      </c>
      <c r="H48" s="361"/>
      <c r="I48" s="346" t="str">
        <f>IF(COUNTIFS('14再エネ電気・熱'!$AT:$AT,ROW())=0,"",SUMIFS('14再エネ電気・熱'!$AL:$AL,'14再エネ電気・熱'!$AT:$AT,ROW(),'14再エネ電気・熱'!$BE:$BE,1))</f>
        <v/>
      </c>
    </row>
    <row r="49" spans="1:9" ht="45" customHeight="1">
      <c r="A49" s="1810"/>
      <c r="B49" s="1762"/>
      <c r="C49" s="1789"/>
      <c r="D49" s="1670" t="s">
        <v>187</v>
      </c>
      <c r="E49" s="1671"/>
      <c r="F49" s="343" t="str">
        <f>IF(COUNTIFS('14再エネ電気・熱'!$AT:$AT,ROW())=0,"",ROUND(SUMIFS('14再エネ電気・熱'!$AI:$AI,'14再エネ電気・熱'!$AT:$AT,ROW(),'14再エネ電気・熱'!$BE:$BE,1),0))</f>
        <v/>
      </c>
      <c r="G49" s="347" t="s">
        <v>38</v>
      </c>
      <c r="H49" s="361"/>
      <c r="I49" s="346" t="str">
        <f>IF(COUNTIFS('14再エネ電気・熱'!$AT:$AT,ROW())=0,"",SUMIFS('14再エネ電気・熱'!$AL:$AL,'14再エネ電気・熱'!$AT:$AT,ROW(),'14再エネ電気・熱'!$BE:$BE,1))</f>
        <v/>
      </c>
    </row>
    <row r="50" spans="1:9" ht="35.15" customHeight="1" thickBot="1">
      <c r="A50" s="1811"/>
      <c r="B50" s="1763"/>
      <c r="C50" s="1771" t="s">
        <v>37</v>
      </c>
      <c r="D50" s="1772"/>
      <c r="E50" s="1773"/>
      <c r="F50" s="2008"/>
      <c r="G50" s="2009"/>
      <c r="H50" s="389"/>
      <c r="I50" s="353">
        <f>IF(COUNT(I43:I49)=0,"",SUM(I43:I49))</f>
        <v>0</v>
      </c>
    </row>
    <row r="51" spans="1:9" ht="35.15" customHeight="1" thickTop="1">
      <c r="A51" s="15"/>
      <c r="B51" s="16"/>
      <c r="C51" s="17"/>
      <c r="D51" s="17"/>
      <c r="E51" s="17"/>
      <c r="F51" s="18"/>
      <c r="G51" s="18"/>
      <c r="H51" s="110"/>
      <c r="I51" s="110" t="s">
        <v>268</v>
      </c>
    </row>
    <row r="52" spans="1:9" ht="35.15" customHeight="1" thickBot="1">
      <c r="A52" s="4" t="s">
        <v>266</v>
      </c>
      <c r="B52" s="21"/>
      <c r="C52" s="22"/>
      <c r="D52" s="22"/>
      <c r="E52" s="22"/>
      <c r="F52" s="23"/>
      <c r="G52" s="23"/>
      <c r="H52" s="24"/>
      <c r="I52" s="24"/>
    </row>
    <row r="53" spans="1:9" ht="51.75" customHeight="1">
      <c r="A53" s="1737" t="s">
        <v>265</v>
      </c>
      <c r="B53" s="1711" t="s">
        <v>1</v>
      </c>
      <c r="C53" s="1740"/>
      <c r="D53" s="1740"/>
      <c r="E53" s="1717"/>
      <c r="F53" s="1808" t="s">
        <v>262</v>
      </c>
      <c r="G53" s="1743"/>
      <c r="H53" s="8" t="s">
        <v>2</v>
      </c>
      <c r="I53" s="116" t="s">
        <v>3</v>
      </c>
    </row>
    <row r="54" spans="1:9" ht="20" thickBot="1">
      <c r="A54" s="1738"/>
      <c r="B54" s="1713"/>
      <c r="C54" s="1741"/>
      <c r="D54" s="1741"/>
      <c r="E54" s="1718"/>
      <c r="F54" s="27"/>
      <c r="G54" s="28"/>
      <c r="H54" s="29" t="s">
        <v>7</v>
      </c>
      <c r="I54" s="31" t="s">
        <v>177</v>
      </c>
    </row>
    <row r="55" spans="1:9" ht="30.15" customHeight="1" thickTop="1">
      <c r="A55" s="1738"/>
      <c r="B55" s="1744" t="s">
        <v>39</v>
      </c>
      <c r="C55" s="1746" t="s">
        <v>40</v>
      </c>
      <c r="D55" s="1747"/>
      <c r="E55" s="1748"/>
      <c r="F55" s="398" t="str">
        <f>IF(COUNTIFS('13電気・熱_都市ガス'!$AW:$AW,ROW())=0,"",ROUND(SUMIFS('13電気・熱_都市ガス'!$AS:$AS,'13電気・熱_都市ガス'!$AW:$AW,ROW(),'13電気・熱_都市ガス'!$BI:$BI,1),0))</f>
        <v/>
      </c>
      <c r="G55" s="355" t="s">
        <v>7</v>
      </c>
      <c r="H55" s="388"/>
      <c r="I55" s="357" t="str">
        <f>IF(COUNTIFS('13電気・熱_都市ガス'!$AW:$AW,ROW())=0,"",SUMIFS('13電気・熱_都市ガス'!$AV:$AV,'13電気・熱_都市ガス'!$AW:$AW,ROW(),'13電気・熱_都市ガス'!$BI:$BI,1))</f>
        <v/>
      </c>
    </row>
    <row r="56" spans="1:9" ht="30.15" customHeight="1">
      <c r="A56" s="1738"/>
      <c r="B56" s="1745"/>
      <c r="C56" s="1749" t="s">
        <v>41</v>
      </c>
      <c r="D56" s="1726"/>
      <c r="E56" s="1727"/>
      <c r="F56" s="349" t="str">
        <f>IF(COUNTIFS('13電気・熱_都市ガス'!$AW:$AW,ROW())=0,"",ROUND(SUMIFS('13電気・熱_都市ガス'!$AS:$AS,'13電気・熱_都市ガス'!$AW:$AW,ROW(),'13電気・熱_都市ガス'!$BI:$BI,1),0))</f>
        <v/>
      </c>
      <c r="G56" s="347" t="s">
        <v>38</v>
      </c>
      <c r="H56" s="359"/>
      <c r="I56" s="365" t="str">
        <f>IF(COUNTIFS('13電気・熱_都市ガス'!$AW:$AW,ROW())=0,"",SUMIFS('13電気・熱_都市ガス'!$AV:$AV,'13電気・熱_都市ガス'!$AW:$AW,ROW(),'13電気・熱_都市ガス'!$BI:$BI,1))</f>
        <v/>
      </c>
    </row>
    <row r="57" spans="1:9" ht="31.5" customHeight="1" thickBot="1">
      <c r="A57" s="1738"/>
      <c r="B57" s="2005"/>
      <c r="C57" s="1750" t="s">
        <v>37</v>
      </c>
      <c r="D57" s="1731"/>
      <c r="E57" s="1732"/>
      <c r="F57" s="2006"/>
      <c r="G57" s="2007"/>
      <c r="H57" s="399"/>
      <c r="I57" s="353" t="str">
        <f>IF(COUNT(I55:I56)=0,"",SUM(I55:I56))</f>
        <v/>
      </c>
    </row>
    <row r="58" spans="1:9" ht="39.9" customHeight="1" thickTop="1" thickBot="1">
      <c r="A58" s="1739"/>
      <c r="B58" s="2000" t="s">
        <v>42</v>
      </c>
      <c r="C58" s="2001"/>
      <c r="D58" s="2001"/>
      <c r="E58" s="2002"/>
      <c r="F58" s="2003"/>
      <c r="G58" s="2004"/>
      <c r="H58" s="501"/>
      <c r="I58" s="387">
        <f>IF(COUNT(I32,I42,I50,I57)=0,"",IF(SUM(I32,I42,I50,I57)&lt;0,0,SUM(I32,I42,I50,I57)))</f>
        <v>0</v>
      </c>
    </row>
    <row r="60" spans="1:9" ht="18.75" customHeight="1"/>
    <row r="62" spans="1:9" ht="22.5">
      <c r="I62" s="499"/>
    </row>
  </sheetData>
  <sheetProtection algorithmName="SHA-512" hashValue="pDDhxQCg0qUloQyYFrSpfpuCOAt2s/hv38DmhC7/pTm4GbAwycdPHRO9mthyubNUIpqZngvMIfdvgFKSSUXCvQ==" saltValue="A30pg6bP4rRTF6Y1ibYJng==" spinCount="100000" sheet="1" objects="1" scenarios="1"/>
  <mergeCells count="68">
    <mergeCell ref="C10:E10"/>
    <mergeCell ref="C11:E11"/>
    <mergeCell ref="C12:E12"/>
    <mergeCell ref="C13:E13"/>
    <mergeCell ref="C14:E14"/>
    <mergeCell ref="C15:E15"/>
    <mergeCell ref="A2:E2"/>
    <mergeCell ref="B4:E5"/>
    <mergeCell ref="F4:G4"/>
    <mergeCell ref="A6:A50"/>
    <mergeCell ref="B6:B31"/>
    <mergeCell ref="C6:E6"/>
    <mergeCell ref="C7:E7"/>
    <mergeCell ref="C8:E8"/>
    <mergeCell ref="C9:E9"/>
    <mergeCell ref="C20:C22"/>
    <mergeCell ref="D20:E20"/>
    <mergeCell ref="D21:E21"/>
    <mergeCell ref="D22:E22"/>
    <mergeCell ref="C16:C17"/>
    <mergeCell ref="D16:E16"/>
    <mergeCell ref="D17:E17"/>
    <mergeCell ref="C18:C19"/>
    <mergeCell ref="D18:E18"/>
    <mergeCell ref="D19:E19"/>
    <mergeCell ref="C28:E28"/>
    <mergeCell ref="C29:E29"/>
    <mergeCell ref="C30:C31"/>
    <mergeCell ref="D30:E30"/>
    <mergeCell ref="D31:E31"/>
    <mergeCell ref="C23:E23"/>
    <mergeCell ref="C24:E24"/>
    <mergeCell ref="C25:E25"/>
    <mergeCell ref="C26:E26"/>
    <mergeCell ref="C27:E27"/>
    <mergeCell ref="C32:E32"/>
    <mergeCell ref="F32:G32"/>
    <mergeCell ref="B33:B42"/>
    <mergeCell ref="C33:C36"/>
    <mergeCell ref="D33:E33"/>
    <mergeCell ref="D34:E34"/>
    <mergeCell ref="D35:E35"/>
    <mergeCell ref="D36:E36"/>
    <mergeCell ref="C37:C41"/>
    <mergeCell ref="D37:D38"/>
    <mergeCell ref="D39:D40"/>
    <mergeCell ref="D41:E41"/>
    <mergeCell ref="C42:E42"/>
    <mergeCell ref="F42:G42"/>
    <mergeCell ref="F50:G50"/>
    <mergeCell ref="B43:B50"/>
    <mergeCell ref="D43:E43"/>
    <mergeCell ref="C44:C49"/>
    <mergeCell ref="D44:D45"/>
    <mergeCell ref="D46:D47"/>
    <mergeCell ref="D48:E48"/>
    <mergeCell ref="D49:E49"/>
    <mergeCell ref="C50:E50"/>
    <mergeCell ref="B58:E58"/>
    <mergeCell ref="F58:G58"/>
    <mergeCell ref="A53:A58"/>
    <mergeCell ref="B53:E54"/>
    <mergeCell ref="F53:G53"/>
    <mergeCell ref="B55:B57"/>
    <mergeCell ref="C55:E55"/>
    <mergeCell ref="C56:E56"/>
    <mergeCell ref="C57:E57"/>
    <mergeCell ref="F57:G57"/>
  </mergeCells>
  <phoneticPr fontId="5"/>
  <pageMargins left="0.78740157480314965" right="0.59055118110236227" top="0.78740157480314965" bottom="0.59055118110236227" header="0.31496062992125984" footer="0.31496062992125984"/>
  <pageSetup paperSize="9" scale="47" fitToHeight="0" orientation="portrait" r:id="rId1"/>
  <headerFooter>
    <oddHeader>&amp;R&amp;8ver.4.01</oddHeader>
  </headerFooter>
  <rowBreaks count="1" manualBreakCount="1">
    <brk id="5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C27A-023B-4C9E-9AF4-7FC87A319092}">
  <sheetPr codeName="Sheet33">
    <pageSetUpPr fitToPage="1"/>
  </sheetPr>
  <dimension ref="A1:L62"/>
  <sheetViews>
    <sheetView showGridLines="0" zoomScaleNormal="100" zoomScaleSheetLayoutView="100" workbookViewId="0">
      <pane xSplit="2" ySplit="5" topLeftCell="C52" activePane="bottomRight" state="frozen"/>
      <selection activeCell="L62" sqref="L62"/>
      <selection pane="topRight" activeCell="L62" sqref="L62"/>
      <selection pane="bottomLeft" activeCell="L62" sqref="L62"/>
      <selection pane="bottomRight" activeCell="I59" sqref="I59"/>
    </sheetView>
  </sheetViews>
  <sheetFormatPr defaultColWidth="4.08203125" defaultRowHeight="17.5"/>
  <cols>
    <col min="1" max="2" width="6.1640625" style="498" customWidth="1"/>
    <col min="3" max="3" width="19.08203125" style="498" customWidth="1"/>
    <col min="4" max="5" width="35.58203125" style="498" customWidth="1"/>
    <col min="6" max="6" width="14.58203125" style="498" customWidth="1"/>
    <col min="7" max="7" width="10.1640625" style="498" customWidth="1"/>
    <col min="8" max="8" width="20.1640625" style="498" customWidth="1"/>
    <col min="9" max="9" width="23.5" style="498" customWidth="1"/>
    <col min="10" max="11" width="9" style="498" customWidth="1"/>
    <col min="12" max="12" width="16.4140625" style="498" customWidth="1"/>
    <col min="13" max="245" width="9" style="498" customWidth="1"/>
    <col min="246" max="246" width="1.58203125" style="498" customWidth="1"/>
    <col min="247" max="247" width="1.9140625" style="498" customWidth="1"/>
    <col min="248" max="16384" width="4.08203125" style="498"/>
  </cols>
  <sheetData>
    <row r="1" spans="1:12" ht="18.75" customHeight="1">
      <c r="A1" s="3" t="s">
        <v>1647</v>
      </c>
      <c r="B1" s="4"/>
      <c r="C1" s="4"/>
      <c r="D1" s="4"/>
      <c r="E1" s="4"/>
      <c r="F1" s="4"/>
      <c r="G1" s="4"/>
      <c r="H1" s="109" t="s">
        <v>0</v>
      </c>
      <c r="I1" s="216" t="str">
        <f>IF('0.事業所概要'!D11="","",'0.事業所概要'!D11)</f>
        <v>県庁産業㈱　　本社、浦和支店</v>
      </c>
    </row>
    <row r="2" spans="1:12">
      <c r="A2" s="1805" t="s">
        <v>1648</v>
      </c>
      <c r="B2" s="1805"/>
      <c r="C2" s="1805"/>
      <c r="D2" s="1805"/>
      <c r="E2" s="1805"/>
      <c r="F2" s="4"/>
      <c r="G2" s="4"/>
      <c r="H2" s="4"/>
      <c r="I2" s="164" t="str">
        <f>CONCATENATE('0.事業所概要'!$B$3,'0.事業所概要'!$C$3,"年度")</f>
        <v>令和７年度</v>
      </c>
    </row>
    <row r="3" spans="1:12" ht="23.25" customHeight="1" thickBot="1">
      <c r="A3" s="4"/>
      <c r="B3" s="4"/>
      <c r="C3" s="1186" t="s">
        <v>2480</v>
      </c>
      <c r="D3" s="4"/>
      <c r="E3" s="4"/>
      <c r="F3" s="5"/>
      <c r="G3" s="4"/>
      <c r="H3" s="121"/>
      <c r="I3" s="6"/>
    </row>
    <row r="4" spans="1:12" ht="50.15" customHeight="1">
      <c r="A4" s="7"/>
      <c r="B4" s="1711" t="s">
        <v>1</v>
      </c>
      <c r="C4" s="1740"/>
      <c r="D4" s="1740"/>
      <c r="E4" s="1717"/>
      <c r="F4" s="1808" t="s">
        <v>262</v>
      </c>
      <c r="G4" s="1743"/>
      <c r="H4" s="122" t="s">
        <v>1633</v>
      </c>
      <c r="I4" s="116" t="s">
        <v>3</v>
      </c>
    </row>
    <row r="5" spans="1:12" ht="33" customHeight="1" thickBot="1">
      <c r="A5" s="10"/>
      <c r="B5" s="1715"/>
      <c r="C5" s="1807"/>
      <c r="D5" s="1807"/>
      <c r="E5" s="1719"/>
      <c r="F5" s="11"/>
      <c r="G5" s="12"/>
      <c r="H5" s="119" t="s">
        <v>181</v>
      </c>
      <c r="I5" s="212" t="s">
        <v>177</v>
      </c>
      <c r="L5" s="502"/>
    </row>
    <row r="6" spans="1:12" ht="30.15" customHeight="1">
      <c r="A6" s="1809" t="s">
        <v>264</v>
      </c>
      <c r="B6" s="1812" t="s">
        <v>185</v>
      </c>
      <c r="C6" s="1814" t="s">
        <v>9</v>
      </c>
      <c r="D6" s="1398"/>
      <c r="E6" s="1815"/>
      <c r="F6" s="343" t="str">
        <f>IF(COUNTIFS('12燃料'!$AF:$AF,ROW())=0,"",ROUND(SUMIFS('12燃料'!$AA:$AA,'12燃料'!$AF:$AF,ROW(),'12燃料'!$AH:$AH,2),0))</f>
        <v/>
      </c>
      <c r="G6" s="344" t="s">
        <v>8</v>
      </c>
      <c r="H6" s="345" t="str">
        <f>IF(COUNTIFS('12燃料'!$AF:$AF,ROW())=0,"",SUMIFS('12燃料'!$AC:$AC,'12燃料'!$AF:$AF,ROW(),'12燃料'!$AH:$AH,2))</f>
        <v/>
      </c>
      <c r="I6" s="346" t="str">
        <f>IF(COUNTIFS('12燃料'!$AF:$AF,ROW())=0,"",SUMIFS('12燃料'!$AE:$AE,'12燃料'!$AF:$AF,ROW(),'12燃料'!$AH:$AH,2))</f>
        <v/>
      </c>
    </row>
    <row r="7" spans="1:12" ht="30.15" customHeight="1">
      <c r="A7" s="1810"/>
      <c r="B7" s="1813"/>
      <c r="C7" s="1365" t="s">
        <v>10</v>
      </c>
      <c r="D7" s="1366"/>
      <c r="E7" s="1681"/>
      <c r="F7" s="343" t="str">
        <f>IF(COUNTIFS('12燃料'!$AF:$AF,ROW())=0,"",ROUND(SUMIFS('12燃料'!$AA:$AA,'12燃料'!$AF:$AF,ROW(),'12燃料'!$AH:$AH,2),0))</f>
        <v/>
      </c>
      <c r="G7" s="347" t="s">
        <v>8</v>
      </c>
      <c r="H7" s="345" t="str">
        <f>IF(COUNTIFS('12燃料'!$AF:$AF,ROW())=0,"",SUMIFS('12燃料'!$AC:$AC,'12燃料'!$AF:$AF,ROW(),'12燃料'!$AH:$AH,2))</f>
        <v/>
      </c>
      <c r="I7" s="346" t="str">
        <f>IF(COUNTIFS('12燃料'!$AF:$AF,ROW())=0,"",SUMIFS('12燃料'!$AE:$AE,'12燃料'!$AF:$AF,ROW(),'12燃料'!$AH:$AH,2))</f>
        <v/>
      </c>
    </row>
    <row r="8" spans="1:12" ht="30.15" customHeight="1">
      <c r="A8" s="1810"/>
      <c r="B8" s="1813"/>
      <c r="C8" s="1365" t="s">
        <v>11</v>
      </c>
      <c r="D8" s="1366"/>
      <c r="E8" s="1681"/>
      <c r="F8" s="343">
        <f>IF(COUNTIFS('12燃料'!$AF:$AF,ROW())=0,"",ROUND(SUMIFS('12燃料'!$AA:$AA,'12燃料'!$AF:$AF,ROW(),'12燃料'!$AH:$AH,2),0))</f>
        <v>0</v>
      </c>
      <c r="G8" s="347" t="s">
        <v>8</v>
      </c>
      <c r="H8" s="345">
        <f>IF(COUNTIFS('12燃料'!$AF:$AF,ROW())=0,"",SUMIFS('12燃料'!$AC:$AC,'12燃料'!$AF:$AF,ROW(),'12燃料'!$AH:$AH,2))</f>
        <v>0</v>
      </c>
      <c r="I8" s="346">
        <f>IF(COUNTIFS('12燃料'!$AF:$AF,ROW())=0,"",SUMIFS('12燃料'!$AE:$AE,'12燃料'!$AF:$AF,ROW(),'12燃料'!$AH:$AH,2))</f>
        <v>0</v>
      </c>
    </row>
    <row r="9" spans="1:12" ht="30.15" customHeight="1">
      <c r="A9" s="1810"/>
      <c r="B9" s="1813"/>
      <c r="C9" s="1365" t="s">
        <v>13</v>
      </c>
      <c r="D9" s="1366"/>
      <c r="E9" s="1681"/>
      <c r="F9" s="343" t="str">
        <f>IF(COUNTIFS('12燃料'!$AF:$AF,ROW())=0,"",ROUND(SUMIFS('12燃料'!$AA:$AA,'12燃料'!$AF:$AF,ROW(),'12燃料'!$AH:$AH,2),0))</f>
        <v/>
      </c>
      <c r="G9" s="347" t="s">
        <v>8</v>
      </c>
      <c r="H9" s="345" t="str">
        <f>IF(COUNTIFS('12燃料'!$AF:$AF,ROW())=0,"",SUMIFS('12燃料'!$AC:$AC,'12燃料'!$AF:$AF,ROW(),'12燃料'!$AH:$AH,2))</f>
        <v/>
      </c>
      <c r="I9" s="346" t="str">
        <f>IF(COUNTIFS('12燃料'!$AF:$AF,ROW())=0,"",SUMIFS('12燃料'!$AE:$AE,'12燃料'!$AF:$AF,ROW(),'12燃料'!$AH:$AH,2))</f>
        <v/>
      </c>
    </row>
    <row r="10" spans="1:12" ht="30.15" customHeight="1">
      <c r="A10" s="1810"/>
      <c r="B10" s="1813"/>
      <c r="C10" s="1365" t="s">
        <v>14</v>
      </c>
      <c r="D10" s="1366"/>
      <c r="E10" s="1681"/>
      <c r="F10" s="343">
        <f>IF(COUNTIFS('12燃料'!$AF:$AF,ROW())=0,"",ROUND(SUMIFS('12燃料'!$AA:$AA,'12燃料'!$AF:$AF,ROW(),'12燃料'!$AH:$AH,2),0))</f>
        <v>0</v>
      </c>
      <c r="G10" s="347" t="s">
        <v>8</v>
      </c>
      <c r="H10" s="345">
        <f>IF(COUNTIFS('12燃料'!$AF:$AF,ROW())=0,"",SUMIFS('12燃料'!$AC:$AC,'12燃料'!$AF:$AF,ROW(),'12燃料'!$AH:$AH,2))</f>
        <v>0</v>
      </c>
      <c r="I10" s="346">
        <f>IF(COUNTIFS('12燃料'!$AF:$AF,ROW())=0,"",SUMIFS('12燃料'!$AE:$AE,'12燃料'!$AF:$AF,ROW(),'12燃料'!$AH:$AH,2))</f>
        <v>0</v>
      </c>
    </row>
    <row r="11" spans="1:12" ht="30.15" customHeight="1">
      <c r="A11" s="1810"/>
      <c r="B11" s="1813"/>
      <c r="C11" s="1365" t="s">
        <v>15</v>
      </c>
      <c r="D11" s="1366"/>
      <c r="E11" s="1681"/>
      <c r="F11" s="343">
        <f>IF(COUNTIFS('12燃料'!$AF:$AF,ROW())=0,"",ROUND(SUMIFS('12燃料'!$AA:$AA,'12燃料'!$AF:$AF,ROW(),'12燃料'!$AH:$AH,2),0))</f>
        <v>0</v>
      </c>
      <c r="G11" s="347" t="s">
        <v>8</v>
      </c>
      <c r="H11" s="345">
        <f>IF(COUNTIFS('12燃料'!$AF:$AF,ROW())=0,"",SUMIFS('12燃料'!$AC:$AC,'12燃料'!$AF:$AF,ROW(),'12燃料'!$AH:$AH,2))</f>
        <v>0</v>
      </c>
      <c r="I11" s="346">
        <f>IF(COUNTIFS('12燃料'!$AF:$AF,ROW())=0,"",SUMIFS('12燃料'!$AE:$AE,'12燃料'!$AF:$AF,ROW(),'12燃料'!$AH:$AH,2))</f>
        <v>0</v>
      </c>
    </row>
    <row r="12" spans="1:12" ht="30.15" customHeight="1">
      <c r="A12" s="1810"/>
      <c r="B12" s="1813"/>
      <c r="C12" s="1365" t="s">
        <v>16</v>
      </c>
      <c r="D12" s="1366"/>
      <c r="E12" s="1681"/>
      <c r="F12" s="343">
        <f>IF(COUNTIFS('12燃料'!$AF:$AF,ROW())=0,"",ROUND(SUMIFS('12燃料'!$AA:$AA,'12燃料'!$AF:$AF,ROW(),'12燃料'!$AH:$AH,2),0))</f>
        <v>0</v>
      </c>
      <c r="G12" s="347" t="s">
        <v>8</v>
      </c>
      <c r="H12" s="345">
        <f>IF(COUNTIFS('12燃料'!$AF:$AF,ROW())=0,"",SUMIFS('12燃料'!$AC:$AC,'12燃料'!$AF:$AF,ROW(),'12燃料'!$AH:$AH,2))</f>
        <v>0</v>
      </c>
      <c r="I12" s="346">
        <f>IF(COUNTIFS('12燃料'!$AF:$AF,ROW())=0,"",SUMIFS('12燃料'!$AE:$AE,'12燃料'!$AF:$AF,ROW(),'12燃料'!$AH:$AH,2))</f>
        <v>0</v>
      </c>
    </row>
    <row r="13" spans="1:12" ht="30.15" customHeight="1">
      <c r="A13" s="1810"/>
      <c r="B13" s="1813"/>
      <c r="C13" s="1365" t="s">
        <v>17</v>
      </c>
      <c r="D13" s="1366"/>
      <c r="E13" s="1681"/>
      <c r="F13" s="343" t="str">
        <f>IF(COUNTIFS('12燃料'!$AF:$AF,ROW())=0,"",ROUND(SUMIFS('12燃料'!$AA:$AA,'12燃料'!$AF:$AF,ROW(),'12燃料'!$AH:$AH,2),0))</f>
        <v/>
      </c>
      <c r="G13" s="347" t="s">
        <v>8</v>
      </c>
      <c r="H13" s="345" t="str">
        <f>IF(COUNTIFS('12燃料'!$AF:$AF,ROW())=0,"",SUMIFS('12燃料'!$AC:$AC,'12燃料'!$AF:$AF,ROW(),'12燃料'!$AH:$AH,2))</f>
        <v/>
      </c>
      <c r="I13" s="346" t="str">
        <f>IF(COUNTIFS('12燃料'!$AF:$AF,ROW())=0,"",SUMIFS('12燃料'!$AE:$AE,'12燃料'!$AF:$AF,ROW(),'12燃料'!$AH:$AH,2))</f>
        <v/>
      </c>
    </row>
    <row r="14" spans="1:12" ht="30.15" customHeight="1">
      <c r="A14" s="1810"/>
      <c r="B14" s="1813"/>
      <c r="C14" s="1365" t="s">
        <v>18</v>
      </c>
      <c r="D14" s="1366"/>
      <c r="E14" s="1681"/>
      <c r="F14" s="343" t="str">
        <f>IF(COUNTIFS('12燃料'!$AF:$AF,ROW())=0,"",ROUND(SUMIFS('12燃料'!$AA:$AA,'12燃料'!$AF:$AF,ROW(),'12燃料'!$AH:$AH,2),0))</f>
        <v/>
      </c>
      <c r="G14" s="347" t="s">
        <v>19</v>
      </c>
      <c r="H14" s="345" t="str">
        <f>IF(COUNTIFS('12燃料'!$AF:$AF,ROW())=0,"",SUMIFS('12燃料'!$AC:$AC,'12燃料'!$AF:$AF,ROW(),'12燃料'!$AH:$AH,2))</f>
        <v/>
      </c>
      <c r="I14" s="346" t="str">
        <f>IF(COUNTIFS('12燃料'!$AF:$AF,ROW())=0,"",SUMIFS('12燃料'!$AE:$AE,'12燃料'!$AF:$AF,ROW(),'12燃料'!$AH:$AH,2))</f>
        <v/>
      </c>
    </row>
    <row r="15" spans="1:12" ht="30.15" customHeight="1">
      <c r="A15" s="1810"/>
      <c r="B15" s="1813"/>
      <c r="C15" s="1365" t="s">
        <v>20</v>
      </c>
      <c r="D15" s="1366"/>
      <c r="E15" s="1681"/>
      <c r="F15" s="343" t="str">
        <f>IF(COUNTIFS('12燃料'!$AF:$AF,ROW())=0,"",ROUND(SUMIFS('12燃料'!$AA:$AA,'12燃料'!$AF:$AF,ROW(),'12燃料'!$AH:$AH,2),0))</f>
        <v/>
      </c>
      <c r="G15" s="347" t="s">
        <v>19</v>
      </c>
      <c r="H15" s="345" t="str">
        <f>IF(COUNTIFS('12燃料'!$AF:$AF,ROW())=0,"",SUMIFS('12燃料'!$AC:$AC,'12燃料'!$AF:$AF,ROW(),'12燃料'!$AH:$AH,2))</f>
        <v/>
      </c>
      <c r="I15" s="346" t="str">
        <f>IF(COUNTIFS('12燃料'!$AF:$AF,ROW())=0,"",SUMIFS('12燃料'!$AE:$AE,'12燃料'!$AF:$AF,ROW(),'12燃料'!$AH:$AH,2))</f>
        <v/>
      </c>
    </row>
    <row r="16" spans="1:12" ht="30.15" customHeight="1">
      <c r="A16" s="1810"/>
      <c r="B16" s="1813"/>
      <c r="C16" s="1818" t="s">
        <v>21</v>
      </c>
      <c r="D16" s="1365" t="s">
        <v>22</v>
      </c>
      <c r="E16" s="1681"/>
      <c r="F16" s="343">
        <f>IF(COUNTIFS('12燃料'!$AF:$AF,ROW())=0,"",ROUND(SUMIFS('12燃料'!$AA:$AA,'12燃料'!$AF:$AF,ROW(),'12燃料'!$AH:$AH,2),0))</f>
        <v>0</v>
      </c>
      <c r="G16" s="347" t="s">
        <v>19</v>
      </c>
      <c r="H16" s="345">
        <f>IF(COUNTIFS('12燃料'!$AF:$AF,ROW())=0,"",SUMIFS('12燃料'!$AC:$AC,'12燃料'!$AF:$AF,ROW(),'12燃料'!$AH:$AH,2))</f>
        <v>0</v>
      </c>
      <c r="I16" s="346">
        <f>IF(COUNTIFS('12燃料'!$AF:$AF,ROW())=0,"",SUMIFS('12燃料'!$AE:$AE,'12燃料'!$AF:$AF,ROW(),'12燃料'!$AH:$AH,2))</f>
        <v>0</v>
      </c>
    </row>
    <row r="17" spans="1:9" ht="30.15" customHeight="1">
      <c r="A17" s="1810"/>
      <c r="B17" s="1813"/>
      <c r="C17" s="1797"/>
      <c r="D17" s="1365" t="s">
        <v>23</v>
      </c>
      <c r="E17" s="1681"/>
      <c r="F17" s="343" t="str">
        <f>IF(COUNTIFS('12燃料'!$AF:$AF,ROW())=0,"",ROUND(SUMIFS('12燃料'!$AA:$AA,'12燃料'!$AF:$AF,ROW(),'12燃料'!$AH:$AH,2),0))</f>
        <v/>
      </c>
      <c r="G17" s="347" t="s">
        <v>1646</v>
      </c>
      <c r="H17" s="345" t="str">
        <f>IF(COUNTIFS('12燃料'!$AF:$AF,ROW())=0,"",SUMIFS('12燃料'!$AC:$AC,'12燃料'!$AF:$AF,ROW(),'12燃料'!$AH:$AH,2))</f>
        <v/>
      </c>
      <c r="I17" s="346" t="str">
        <f>IF(COUNTIFS('12燃料'!$AF:$AF,ROW())=0,"",SUMIFS('12燃料'!$AE:$AE,'12燃料'!$AF:$AF,ROW(),'12燃料'!$AH:$AH,2))</f>
        <v/>
      </c>
    </row>
    <row r="18" spans="1:9" ht="30.15" customHeight="1">
      <c r="A18" s="1810"/>
      <c r="B18" s="1813"/>
      <c r="C18" s="1676" t="s">
        <v>24</v>
      </c>
      <c r="D18" s="1365" t="s">
        <v>25</v>
      </c>
      <c r="E18" s="1681"/>
      <c r="F18" s="343" t="str">
        <f>IF(COUNTIFS('12燃料'!$AF:$AF,ROW())=0,"",ROUND(SUMIFS('12燃料'!$AA:$AA,'12燃料'!$AF:$AF,ROW(),'12燃料'!$AH:$AH,2),0))</f>
        <v/>
      </c>
      <c r="G18" s="347" t="s">
        <v>19</v>
      </c>
      <c r="H18" s="345" t="str">
        <f>IF(COUNTIFS('12燃料'!$AF:$AF,ROW())=0,"",SUMIFS('12燃料'!$AC:$AC,'12燃料'!$AF:$AF,ROW(),'12燃料'!$AH:$AH,2))</f>
        <v/>
      </c>
      <c r="I18" s="346" t="str">
        <f>IF(COUNTIFS('12燃料'!$AF:$AF,ROW())=0,"",SUMIFS('12燃料'!$AE:$AE,'12燃料'!$AF:$AF,ROW(),'12燃料'!$AH:$AH,2))</f>
        <v/>
      </c>
    </row>
    <row r="19" spans="1:9" ht="30.15" customHeight="1">
      <c r="A19" s="1810"/>
      <c r="B19" s="1813"/>
      <c r="C19" s="1797"/>
      <c r="D19" s="1365" t="s">
        <v>26</v>
      </c>
      <c r="E19" s="1681"/>
      <c r="F19" s="343" t="str">
        <f>IF(COUNTIFS('12燃料'!$AF:$AF,ROW())=0,"",ROUND(SUMIFS('12燃料'!$AA:$AA,'12燃料'!$AF:$AF,ROW(),'12燃料'!$AH:$AH,2),0))</f>
        <v/>
      </c>
      <c r="G19" s="347" t="s">
        <v>1646</v>
      </c>
      <c r="H19" s="345" t="str">
        <f>IF(COUNTIFS('12燃料'!$AF:$AF,ROW())=0,"",SUMIFS('12燃料'!$AC:$AC,'12燃料'!$AF:$AF,ROW(),'12燃料'!$AH:$AH,2))</f>
        <v/>
      </c>
      <c r="I19" s="346" t="str">
        <f>IF(COUNTIFS('12燃料'!$AF:$AF,ROW())=0,"",SUMIFS('12燃料'!$AE:$AE,'12燃料'!$AF:$AF,ROW(),'12燃料'!$AH:$AH,2))</f>
        <v/>
      </c>
    </row>
    <row r="20" spans="1:9" ht="30.15" customHeight="1">
      <c r="A20" s="1810"/>
      <c r="B20" s="1813"/>
      <c r="C20" s="2013" t="s">
        <v>68</v>
      </c>
      <c r="D20" s="1365" t="s">
        <v>1634</v>
      </c>
      <c r="E20" s="1681"/>
      <c r="F20" s="343" t="str">
        <f>IF(COUNTIFS('12燃料'!$AF:$AF,ROW())=0,"",ROUND(SUMIFS('12燃料'!$AA:$AA,'12燃料'!$AF:$AF,ROW(),'12燃料'!$AH:$AH,2),0))</f>
        <v/>
      </c>
      <c r="G20" s="347" t="s">
        <v>19</v>
      </c>
      <c r="H20" s="345" t="str">
        <f>IF(COUNTIFS('12燃料'!$AF:$AF,ROW())=0,"",SUMIFS('12燃料'!$AC:$AC,'12燃料'!$AF:$AF,ROW(),'12燃料'!$AH:$AH,2))</f>
        <v/>
      </c>
      <c r="I20" s="346" t="str">
        <f>IF(COUNTIFS('12燃料'!$AF:$AF,ROW())=0,"",SUMIFS('12燃料'!$AE:$AE,'12燃料'!$AF:$AF,ROW(),'12燃料'!$AH:$AH,2))</f>
        <v/>
      </c>
    </row>
    <row r="21" spans="1:9" ht="30.15" customHeight="1">
      <c r="A21" s="1810"/>
      <c r="B21" s="1813"/>
      <c r="C21" s="2014"/>
      <c r="D21" s="1365" t="s">
        <v>1635</v>
      </c>
      <c r="E21" s="1681"/>
      <c r="F21" s="343" t="str">
        <f>IF(COUNTIFS('12燃料'!$AF:$AF,ROW())=0,"",ROUND(SUMIFS('12燃料'!$AA:$AA,'12燃料'!$AF:$AF,ROW(),'12燃料'!$AH:$AH,2),0))</f>
        <v/>
      </c>
      <c r="G21" s="347" t="s">
        <v>19</v>
      </c>
      <c r="H21" s="345" t="str">
        <f>IF(COUNTIFS('12燃料'!$AF:$AF,ROW())=0,"",SUMIFS('12燃料'!$AC:$AC,'12燃料'!$AF:$AF,ROW(),'12燃料'!$AH:$AH,2))</f>
        <v/>
      </c>
      <c r="I21" s="346" t="str">
        <f>IF(COUNTIFS('12燃料'!$AF:$AF,ROW())=0,"",SUMIFS('12燃料'!$AE:$AE,'12燃料'!$AF:$AF,ROW(),'12燃料'!$AH:$AH,2))</f>
        <v/>
      </c>
    </row>
    <row r="22" spans="1:9" ht="30.15" customHeight="1">
      <c r="A22" s="1810"/>
      <c r="B22" s="1813"/>
      <c r="C22" s="2015"/>
      <c r="D22" s="1365" t="s">
        <v>1636</v>
      </c>
      <c r="E22" s="1681"/>
      <c r="F22" s="343" t="str">
        <f>IF(COUNTIFS('12燃料'!$AF:$AF,ROW())=0,"",ROUND(SUMIFS('12燃料'!$AA:$AA,'12燃料'!$AF:$AF,ROW(),'12燃料'!$AH:$AH,2),0))</f>
        <v/>
      </c>
      <c r="G22" s="347" t="s">
        <v>19</v>
      </c>
      <c r="H22" s="345" t="str">
        <f>IF(COUNTIFS('12燃料'!$AF:$AF,ROW())=0,"",SUMIFS('12燃料'!$AC:$AC,'12燃料'!$AF:$AF,ROW(),'12燃料'!$AH:$AH,2))</f>
        <v/>
      </c>
      <c r="I22" s="346" t="str">
        <f>IF(COUNTIFS('12燃料'!$AF:$AF,ROW())=0,"",SUMIFS('12燃料'!$AE:$AE,'12燃料'!$AF:$AF,ROW(),'12燃料'!$AH:$AH,2))</f>
        <v/>
      </c>
    </row>
    <row r="23" spans="1:9" ht="30.15" customHeight="1">
      <c r="A23" s="1810"/>
      <c r="B23" s="1813"/>
      <c r="C23" s="1365" t="s">
        <v>27</v>
      </c>
      <c r="D23" s="1366"/>
      <c r="E23" s="1681"/>
      <c r="F23" s="343" t="str">
        <f>IF(COUNTIFS('12燃料'!$AF:$AF,ROW())=0,"",ROUND(SUMIFS('12燃料'!$AA:$AA,'12燃料'!$AF:$AF,ROW(),'12燃料'!$AH:$AH,2),0))</f>
        <v/>
      </c>
      <c r="G23" s="348" t="s">
        <v>19</v>
      </c>
      <c r="H23" s="345" t="str">
        <f>IF(COUNTIFS('12燃料'!$AF:$AF,ROW())=0,"",SUMIFS('12燃料'!$AC:$AC,'12燃料'!$AF:$AF,ROW(),'12燃料'!$AH:$AH,2))</f>
        <v/>
      </c>
      <c r="I23" s="346" t="str">
        <f>IF(COUNTIFS('12燃料'!$AF:$AF,ROW())=0,"",SUMIFS('12燃料'!$AE:$AE,'12燃料'!$AF:$AF,ROW(),'12燃料'!$AH:$AH,2))</f>
        <v/>
      </c>
    </row>
    <row r="24" spans="1:9" ht="30.15" customHeight="1">
      <c r="A24" s="1810"/>
      <c r="B24" s="1813"/>
      <c r="C24" s="1365" t="s">
        <v>28</v>
      </c>
      <c r="D24" s="1366"/>
      <c r="E24" s="1681"/>
      <c r="F24" s="343" t="str">
        <f>IF(COUNTIFS('12燃料'!$AF:$AF,ROW())=0,"",ROUND(SUMIFS('12燃料'!$AA:$AA,'12燃料'!$AF:$AF,ROW(),'12燃料'!$AH:$AH,2),0))</f>
        <v/>
      </c>
      <c r="G24" s="348" t="s">
        <v>19</v>
      </c>
      <c r="H24" s="345" t="str">
        <f>IF(COUNTIFS('12燃料'!$AF:$AF,ROW())=0,"",SUMIFS('12燃料'!$AC:$AC,'12燃料'!$AF:$AF,ROW(),'12燃料'!$AH:$AH,2))</f>
        <v/>
      </c>
      <c r="I24" s="346" t="str">
        <f>IF(COUNTIFS('12燃料'!$AF:$AF,ROW())=0,"",SUMIFS('12燃料'!$AE:$AE,'12燃料'!$AF:$AF,ROW(),'12燃料'!$AH:$AH,2))</f>
        <v/>
      </c>
    </row>
    <row r="25" spans="1:9" ht="30.15" customHeight="1">
      <c r="A25" s="1810"/>
      <c r="B25" s="1813"/>
      <c r="C25" s="1365" t="s">
        <v>71</v>
      </c>
      <c r="D25" s="1366"/>
      <c r="E25" s="1681"/>
      <c r="F25" s="343" t="str">
        <f>IF(COUNTIFS('12燃料'!$AF:$AF,ROW())=0,"",ROUND(SUMIFS('12燃料'!$AA:$AA,'12燃料'!$AF:$AF,ROW(),'12燃料'!$AH:$AH,2),0))</f>
        <v/>
      </c>
      <c r="G25" s="347" t="s">
        <v>1646</v>
      </c>
      <c r="H25" s="345" t="str">
        <f>IF(COUNTIFS('12燃料'!$AF:$AF,ROW())=0,"",SUMIFS('12燃料'!$AC:$AC,'12燃料'!$AF:$AF,ROW(),'12燃料'!$AH:$AH,2))</f>
        <v/>
      </c>
      <c r="I25" s="346" t="str">
        <f>IF(COUNTIFS('12燃料'!$AF:$AF,ROW())=0,"",SUMIFS('12燃料'!$AE:$AE,'12燃料'!$AF:$AF,ROW(),'12燃料'!$AH:$AH,2))</f>
        <v/>
      </c>
    </row>
    <row r="26" spans="1:9" ht="30.15" customHeight="1">
      <c r="A26" s="1810"/>
      <c r="B26" s="1813"/>
      <c r="C26" s="1365" t="s">
        <v>1637</v>
      </c>
      <c r="D26" s="1366"/>
      <c r="E26" s="1681"/>
      <c r="F26" s="343" t="str">
        <f>IF(COUNTIFS('12燃料'!$AF:$AF,ROW())=0,"",ROUND(SUMIFS('12燃料'!$AA:$AA,'12燃料'!$AF:$AF,ROW(),'12燃料'!$AH:$AH,2),0))</f>
        <v/>
      </c>
      <c r="G26" s="347" t="s">
        <v>1646</v>
      </c>
      <c r="H26" s="345" t="str">
        <f>IF(COUNTIFS('12燃料'!$AF:$AF,ROW())=0,"",SUMIFS('12燃料'!$AC:$AC,'12燃料'!$AF:$AF,ROW(),'12燃料'!$AH:$AH,2))</f>
        <v/>
      </c>
      <c r="I26" s="346" t="str">
        <f>IF(COUNTIFS('12燃料'!$AF:$AF,ROW())=0,"",SUMIFS('12燃料'!$AE:$AE,'12燃料'!$AF:$AF,ROW(),'12燃料'!$AH:$AH,2))</f>
        <v/>
      </c>
    </row>
    <row r="27" spans="1:9" ht="30.15" customHeight="1">
      <c r="A27" s="1810"/>
      <c r="B27" s="1813"/>
      <c r="C27" s="1365" t="s">
        <v>30</v>
      </c>
      <c r="D27" s="1366"/>
      <c r="E27" s="1681"/>
      <c r="F27" s="343" t="str">
        <f>IF(COUNTIFS('12燃料'!$AF:$AF,ROW())=0,"",ROUND(SUMIFS('12燃料'!$AA:$AA,'12燃料'!$AF:$AF,ROW(),'12燃料'!$AH:$AH,2),0))</f>
        <v/>
      </c>
      <c r="G27" s="347" t="s">
        <v>1646</v>
      </c>
      <c r="H27" s="345" t="str">
        <f>IF(COUNTIFS('12燃料'!$AF:$AF,ROW())=0,"",SUMIFS('12燃料'!$AC:$AC,'12燃料'!$AF:$AF,ROW(),'12燃料'!$AH:$AH,2))</f>
        <v/>
      </c>
      <c r="I27" s="346" t="str">
        <f>IF(COUNTIFS('12燃料'!$AF:$AF,ROW())=0,"",SUMIFS('12燃料'!$AE:$AE,'12燃料'!$AF:$AF,ROW(),'12燃料'!$AH:$AH,2))</f>
        <v/>
      </c>
    </row>
    <row r="28" spans="1:9" ht="30.15" customHeight="1">
      <c r="A28" s="1810"/>
      <c r="B28" s="1813"/>
      <c r="C28" s="1365" t="s">
        <v>50</v>
      </c>
      <c r="D28" s="1366"/>
      <c r="E28" s="1681"/>
      <c r="F28" s="343" t="str">
        <f>IF(COUNTIFS('12燃料'!$AF:$AF,ROW())=0,"",ROUND(SUMIFS('12燃料'!$AA:$AA,'12燃料'!$AF:$AF,ROW(),'12燃料'!$AH:$AH,2),0))</f>
        <v/>
      </c>
      <c r="G28" s="347" t="s">
        <v>8</v>
      </c>
      <c r="H28" s="345" t="str">
        <f>IF(COUNTIFS('12燃料'!$AF:$AF,ROW())=0,"",SUMIFS('12燃料'!$AC:$AC,'12燃料'!$AF:$AF,ROW(),'12燃料'!$AH:$AH,2))</f>
        <v/>
      </c>
      <c r="I28" s="346" t="str">
        <f>IF(COUNTIFS('12燃料'!$AF:$AF,ROW())=0,"",SUMIFS('12燃料'!$AE:$AE,'12燃料'!$AF:$AF,ROW(),'12燃料'!$AH:$AH,2))</f>
        <v/>
      </c>
    </row>
    <row r="29" spans="1:9" ht="30.15" customHeight="1">
      <c r="A29" s="1810"/>
      <c r="B29" s="1813"/>
      <c r="C29" s="2010" t="s">
        <v>32</v>
      </c>
      <c r="D29" s="2011"/>
      <c r="E29" s="2012"/>
      <c r="F29" s="343">
        <f>IF(COUNTIFS('13電気・熱_都市ガス'!$AW:$AW,ROW())=0,"",ROUND(SUMIFS('13電気・熱_都市ガス'!$AS:$AS,'13電気・熱_都市ガス'!$AW:$AW,ROW(),'13電気・熱_都市ガス'!$BI:$BI,2),0))</f>
        <v>0</v>
      </c>
      <c r="G29" s="347" t="s">
        <v>1646</v>
      </c>
      <c r="H29" s="345">
        <f>IF(COUNTIFS('13電気・熱_都市ガス'!$AW:$AW,ROW())=0,"",SUMIFS('13電気・熱_都市ガス'!$AT:$AT,'13電気・熱_都市ガス'!$AW:$AW,ROW(),'13電気・熱_都市ガス'!$BI:$BI,2))</f>
        <v>0</v>
      </c>
      <c r="I29" s="346">
        <f>IF(COUNTIFS('13電気・熱_都市ガス'!$AW:$AW,ROW())=0,"",SUMIFS('13電気・熱_都市ガス'!$AV:$AV,'13電気・熱_都市ガス'!$AW:$AW,ROW(),'13電気・熱_都市ガス'!$BI:$BI,2))</f>
        <v>0</v>
      </c>
    </row>
    <row r="30" spans="1:9" ht="30.15" customHeight="1">
      <c r="A30" s="1810"/>
      <c r="B30" s="1813"/>
      <c r="C30" s="1801" t="s">
        <v>31</v>
      </c>
      <c r="D30" s="1802" t="str">
        <f>IF('0.事業所概要'!J25="","その他燃料①",'0.事業所概要'!J25)</f>
        <v>その他燃料①</v>
      </c>
      <c r="E30" s="1803"/>
      <c r="F30" s="343" t="str">
        <f>IF(COUNTIFS('12燃料'!$AF:$AF,ROW())=0,"",ROUND(SUMIFS('12燃料'!$AA:$AA,'12燃料'!$AF:$AF,ROW(),'12燃料'!$AH:$AH,2),0))</f>
        <v/>
      </c>
      <c r="G30" s="350" t="str">
        <f>IF('0.事業所概要'!L21="","",'0.事業所概要'!L21)</f>
        <v/>
      </c>
      <c r="H30" s="345" t="str">
        <f>IF(COUNTIFS('12燃料'!$AF:$AF,ROW())=0,"",SUMIFS('12燃料'!$AC:$AC,'12燃料'!$AF:$AF,ROW(),'12燃料'!$AH:$AH,2))</f>
        <v/>
      </c>
      <c r="I30" s="346" t="str">
        <f>IF(COUNTIFS('12燃料'!$AF:$AF,ROW())=0,"",SUMIFS('12燃料'!$AE:$AE,'12燃料'!$AF:$AF,ROW(),'12燃料'!$AH:$AH,2))</f>
        <v/>
      </c>
    </row>
    <row r="31" spans="1:9" ht="30.15" customHeight="1">
      <c r="A31" s="1810"/>
      <c r="B31" s="1813"/>
      <c r="C31" s="1801"/>
      <c r="D31" s="1802" t="str">
        <f>IF('0.事業所概要'!J26="","その他燃料②",'0.事業所概要'!J26)</f>
        <v>その他燃料②</v>
      </c>
      <c r="E31" s="1803"/>
      <c r="F31" s="343" t="str">
        <f>IF(COUNTIFS('12燃料'!$AF:$AF,ROW())=0,"",ROUND(SUMIFS('12燃料'!$AA:$AA,'12燃料'!$AF:$AF,ROW(),'12燃料'!$AH:$AH,2),0))</f>
        <v/>
      </c>
      <c r="G31" s="350" t="str">
        <f>IF('0.事業所概要'!L22="","",'0.事業所概要'!L22)</f>
        <v/>
      </c>
      <c r="H31" s="345" t="str">
        <f>IF(COUNTIFS('12燃料'!$AF:$AF,ROW())=0,"",SUMIFS('12燃料'!$AC:$AC,'12燃料'!$AF:$AF,ROW(),'12燃料'!$AH:$AH,2))</f>
        <v/>
      </c>
      <c r="I31" s="346" t="str">
        <f>IF(COUNTIFS('12燃料'!$AF:$AF,ROW())=0,"",SUMIFS('12燃料'!$AE:$AE,'12燃料'!$AF:$AF,ROW(),'12燃料'!$AH:$AH,2))</f>
        <v/>
      </c>
    </row>
    <row r="32" spans="1:9" ht="30.15" customHeight="1" thickBot="1">
      <c r="A32" s="1810"/>
      <c r="B32" s="171"/>
      <c r="C32" s="1696" t="s">
        <v>37</v>
      </c>
      <c r="D32" s="1776"/>
      <c r="E32" s="1697"/>
      <c r="F32" s="1774"/>
      <c r="G32" s="1775"/>
      <c r="H32" s="351">
        <f>IF(COUNT(H6:H31)=0,"",SUM(H6:H31))</f>
        <v>0</v>
      </c>
      <c r="I32" s="353">
        <f>IF(COUNT(I6:I31)=0,"",SUM(I6:I31))</f>
        <v>0</v>
      </c>
    </row>
    <row r="33" spans="1:9" ht="30.15" customHeight="1" thickTop="1">
      <c r="A33" s="1810"/>
      <c r="B33" s="1777" t="s">
        <v>273</v>
      </c>
      <c r="C33" s="1780" t="s">
        <v>188</v>
      </c>
      <c r="D33" s="1783" t="s">
        <v>33</v>
      </c>
      <c r="E33" s="1784"/>
      <c r="F33" s="390" t="str">
        <f>IF(COUNTIFS('13電気・熱_都市ガス'!$AW:$AW,ROW())=0,"",ROUND(SUMIFS('13電気・熱_都市ガス'!$AS:$AS,'13電気・熱_都市ガス'!$AW:$AW,ROW(),'13電気・熱_都市ガス'!$BI:$BI,2),0))</f>
        <v/>
      </c>
      <c r="G33" s="355" t="s">
        <v>7</v>
      </c>
      <c r="H33" s="391"/>
      <c r="I33" s="357" t="str">
        <f>IF(COUNTIFS('13電気・熱_都市ガス'!$AW:$AW,ROW())=0,"",SUMIFS('13電気・熱_都市ガス'!$AV:$AV,'13電気・熱_都市ガス'!$AW:$AW,ROW(),'13電気・熱_都市ガス'!$BI:$BI,2))</f>
        <v/>
      </c>
    </row>
    <row r="34" spans="1:9" ht="30.15" customHeight="1">
      <c r="A34" s="1810"/>
      <c r="B34" s="1778"/>
      <c r="C34" s="1781"/>
      <c r="D34" s="1785" t="s">
        <v>34</v>
      </c>
      <c r="E34" s="1786"/>
      <c r="F34" s="392" t="str">
        <f>IF(COUNTIFS('13電気・熱_都市ガス'!$AW:$AW,ROW())=0,"",ROUND(SUMIFS('13電気・熱_都市ガス'!$AS:$AS,'13電気・熱_都市ガス'!$AW:$AW,ROW(),'13電気・熱_都市ガス'!$BI:$BI,2),0))</f>
        <v/>
      </c>
      <c r="G34" s="347" t="s">
        <v>7</v>
      </c>
      <c r="H34" s="367"/>
      <c r="I34" s="346" t="str">
        <f>IF(COUNTIFS('13電気・熱_都市ガス'!$AW:$AW,ROW())=0,"",SUMIFS('13電気・熱_都市ガス'!$AV:$AV,'13電気・熱_都市ガス'!$AW:$AW,ROW(),'13電気・熱_都市ガス'!$BI:$BI,2))</f>
        <v/>
      </c>
    </row>
    <row r="35" spans="1:9" ht="30.15" customHeight="1">
      <c r="A35" s="1810"/>
      <c r="B35" s="1778"/>
      <c r="C35" s="1781"/>
      <c r="D35" s="1365" t="s">
        <v>35</v>
      </c>
      <c r="E35" s="1681"/>
      <c r="F35" s="392" t="str">
        <f>IF(COUNTIFS('13電気・熱_都市ガス'!$AW:$AW,ROW())=0,"",ROUND(SUMIFS('13電気・熱_都市ガス'!$AS:$AS,'13電気・熱_都市ガス'!$AW:$AW,ROW(),'13電気・熱_都市ガス'!$BI:$BI,2),0))</f>
        <v/>
      </c>
      <c r="G35" s="347" t="s">
        <v>7</v>
      </c>
      <c r="H35" s="367"/>
      <c r="I35" s="346" t="str">
        <f>IF(COUNTIFS('13電気・熱_都市ガス'!$AW:$AW,ROW())=0,"",SUMIFS('13電気・熱_都市ガス'!$AV:$AV,'13電気・熱_都市ガス'!$AW:$AW,ROW(),'13電気・熱_都市ガス'!$BI:$BI,2))</f>
        <v/>
      </c>
    </row>
    <row r="36" spans="1:9" ht="30.15" customHeight="1">
      <c r="A36" s="1810"/>
      <c r="B36" s="1778"/>
      <c r="C36" s="1782"/>
      <c r="D36" s="1365" t="s">
        <v>36</v>
      </c>
      <c r="E36" s="1681"/>
      <c r="F36" s="392" t="str">
        <f>IF(COUNTIFS('13電気・熱_都市ガス'!$AW:$AW,ROW())=0,"",ROUND(SUMIFS('13電気・熱_都市ガス'!$AS:$AS,'13電気・熱_都市ガス'!$AW:$AW,ROW(),'13電気・熱_都市ガス'!$BI:$BI,2),0))</f>
        <v/>
      </c>
      <c r="G36" s="347" t="s">
        <v>7</v>
      </c>
      <c r="H36" s="367"/>
      <c r="I36" s="346" t="str">
        <f>IF(COUNTIFS('13電気・熱_都市ガス'!$AW:$AW,ROW())=0,"",SUMIFS('13電気・熱_都市ガス'!$AV:$AV,'13電気・熱_都市ガス'!$AW:$AW,ROW(),'13電気・熱_都市ガス'!$BI:$BI,2))</f>
        <v/>
      </c>
    </row>
    <row r="37" spans="1:9" ht="30.15" customHeight="1">
      <c r="A37" s="1810"/>
      <c r="B37" s="1778"/>
      <c r="C37" s="1787" t="s">
        <v>189</v>
      </c>
      <c r="D37" s="1769" t="s">
        <v>58</v>
      </c>
      <c r="E37" s="14" t="s">
        <v>56</v>
      </c>
      <c r="F37" s="358" t="str">
        <f>IF(COUNTIFS('14再エネ電気・熱'!$AT:$AT,ROW())=0,"",ROUND(SUMIFS('14再エネ電気・熱'!$AI:$AI,'14再エネ電気・熱'!$AT:$AT,ROW(),'14再エネ電気・熱'!$BE:$BE,2),0))</f>
        <v/>
      </c>
      <c r="G37" s="347" t="s">
        <v>7</v>
      </c>
      <c r="H37" s="359"/>
      <c r="I37" s="346" t="str">
        <f>IF(COUNTIFS('14再エネ電気・熱'!$AT:$AT,ROW())=0,"",SUMIFS('14再エネ電気・熱'!$AL:$AL,'14再エネ電気・熱'!$AT:$AT,ROW(),'14再エネ電気・熱'!$BE:$BE,2))</f>
        <v/>
      </c>
    </row>
    <row r="38" spans="1:9" ht="30.15" customHeight="1">
      <c r="A38" s="1810"/>
      <c r="B38" s="1778"/>
      <c r="C38" s="1788"/>
      <c r="D38" s="1770"/>
      <c r="E38" s="14" t="s">
        <v>57</v>
      </c>
      <c r="F38" s="358" t="str">
        <f>IF(COUNTIFS('14再エネ電気・熱'!$AT:$AT,ROW())=0,"",ROUND(SUMIFS('14再エネ電気・熱'!$AI:$AI,'14再エネ電気・熱'!$AT:$AT,ROW(),'14再エネ電気・熱'!$BE:$BE,2),0))</f>
        <v/>
      </c>
      <c r="G38" s="347" t="s">
        <v>7</v>
      </c>
      <c r="H38" s="360"/>
      <c r="I38" s="346" t="str">
        <f>IF(COUNTIFS('14再エネ電気・熱'!$AT:$AT,ROW())=0,"",SUMIFS('14再エネ電気・熱'!$AL:$AL,'14再エネ電気・熱'!$AT:$AT,ROW(),'14再エネ電気・熱'!$BE:$BE,2))</f>
        <v/>
      </c>
    </row>
    <row r="39" spans="1:9" ht="30.15" customHeight="1">
      <c r="A39" s="1810"/>
      <c r="B39" s="1778"/>
      <c r="C39" s="1788"/>
      <c r="D39" s="1769" t="s">
        <v>65</v>
      </c>
      <c r="E39" s="14" t="s">
        <v>56</v>
      </c>
      <c r="F39" s="358" t="str">
        <f>IF(COUNTIFS('14再エネ電気・熱'!$AT:$AT,ROW())=0,"",ROUND(SUMIFS('14再エネ電気・熱'!$AI:$AI,'14再エネ電気・熱'!$AT:$AT,ROW(),'14再エネ電気・熱'!$BE:$BE,2),0))</f>
        <v/>
      </c>
      <c r="G39" s="347" t="s">
        <v>7</v>
      </c>
      <c r="H39" s="360"/>
      <c r="I39" s="346" t="str">
        <f>IF(COUNTIFS('14再エネ電気・熱'!$AT:$AT,ROW())=0,"",SUMIFS('14再エネ電気・熱'!$AL:$AL,'14再エネ電気・熱'!$AT:$AT,ROW(),'14再エネ電気・熱'!$BE:$BE,2))</f>
        <v/>
      </c>
    </row>
    <row r="40" spans="1:9" ht="30.15" customHeight="1">
      <c r="A40" s="1810"/>
      <c r="B40" s="1778"/>
      <c r="C40" s="1788"/>
      <c r="D40" s="1770"/>
      <c r="E40" s="14" t="s">
        <v>57</v>
      </c>
      <c r="F40" s="358" t="str">
        <f>IF(COUNTIFS('14再エネ電気・熱'!$AT:$AT,ROW())=0,"",ROUND(SUMIFS('14再エネ電気・熱'!$AI:$AI,'14再エネ電気・熱'!$AT:$AT,ROW(),'14再エネ電気・熱'!$BE:$BE,2),0))</f>
        <v/>
      </c>
      <c r="G40" s="347" t="s">
        <v>7</v>
      </c>
      <c r="H40" s="360"/>
      <c r="I40" s="346" t="str">
        <f>IF(COUNTIFS('14再エネ電気・熱'!$AT:$AT,ROW())=0,"",SUMIFS('14再エネ電気・熱'!$AL:$AL,'14再エネ電気・熱'!$AT:$AT,ROW(),'14再エネ電気・熱'!$BE:$BE,2))</f>
        <v/>
      </c>
    </row>
    <row r="41" spans="1:9" ht="45" customHeight="1">
      <c r="A41" s="1810"/>
      <c r="B41" s="1778"/>
      <c r="C41" s="1789"/>
      <c r="D41" s="1670" t="s">
        <v>186</v>
      </c>
      <c r="E41" s="1671"/>
      <c r="F41" s="358" t="str">
        <f>IF(COUNTIFS('14再エネ電気・熱'!$AT:$AT,ROW())=0,"",ROUND(SUMIFS('14再エネ電気・熱'!$AI:$AI,'14再エネ電気・熱'!$AT:$AT,ROW(),'14再エネ電気・熱'!$BE:$BE,2),0))</f>
        <v/>
      </c>
      <c r="G41" s="347" t="s">
        <v>7</v>
      </c>
      <c r="H41" s="359"/>
      <c r="I41" s="346" t="str">
        <f>IF(COUNTIFS('14再エネ電気・熱'!$AT:$AT,ROW())=0,"",SUMIFS('14再エネ電気・熱'!$AL:$AL,'14再エネ電気・熱'!$AT:$AT,ROW(),'14再エネ電気・熱'!$BE:$BE,2))</f>
        <v/>
      </c>
    </row>
    <row r="42" spans="1:9" ht="35.15" customHeight="1" thickBot="1">
      <c r="A42" s="1810"/>
      <c r="B42" s="1779"/>
      <c r="C42" s="1790" t="s">
        <v>37</v>
      </c>
      <c r="D42" s="1791"/>
      <c r="E42" s="1792"/>
      <c r="F42" s="1793"/>
      <c r="G42" s="1794"/>
      <c r="H42" s="393"/>
      <c r="I42" s="353" t="str">
        <f>IF(COUNT(I33:I41)=0,"",SUM(I33:I41))</f>
        <v/>
      </c>
    </row>
    <row r="43" spans="1:9" ht="35.25" customHeight="1" thickTop="1">
      <c r="A43" s="1810"/>
      <c r="B43" s="1762" t="s">
        <v>274</v>
      </c>
      <c r="C43" s="172" t="s">
        <v>192</v>
      </c>
      <c r="D43" s="1764" t="s">
        <v>190</v>
      </c>
      <c r="E43" s="1765"/>
      <c r="F43" s="343">
        <f>IF(COUNTIFS('13電気・熱_都市ガス'!$AW:$AW,ROW())=0,"",ROUND(SUMIFS('13電気・熱_都市ガス'!$AS:$AS,'13電気・熱_都市ガス'!$AW:$AW,ROW(),'13電気・熱_都市ガス'!$BI:$BI,2),0))</f>
        <v>0</v>
      </c>
      <c r="G43" s="347" t="s">
        <v>38</v>
      </c>
      <c r="H43" s="388"/>
      <c r="I43" s="365">
        <f>IF(COUNTIFS('13電気・熱_都市ガス'!$AW:$AW,ROW())=0,"",SUMIFS('13電気・熱_都市ガス'!$AV:$AV,'13電気・熱_都市ガス'!$AW:$AW,ROW(),'13電気・熱_都市ガス'!$BI:$BI,2))</f>
        <v>0</v>
      </c>
    </row>
    <row r="44" spans="1:9" ht="30" customHeight="1">
      <c r="A44" s="1810"/>
      <c r="B44" s="1762"/>
      <c r="C44" s="1787" t="s">
        <v>189</v>
      </c>
      <c r="D44" s="1769" t="s">
        <v>66</v>
      </c>
      <c r="E44" s="14" t="s">
        <v>56</v>
      </c>
      <c r="F44" s="349">
        <f>IF(COUNTIFS('14再エネ電気・熱'!$AT:$AT,ROW())=0,"",ROUND(SUMIFS('14再エネ電気・熱'!$AI:$AI,'14再エネ電気・熱'!$AT:$AT,ROW(),'14再エネ電気・熱'!$BE:$BE,2),0))</f>
        <v>0</v>
      </c>
      <c r="G44" s="347" t="s">
        <v>38</v>
      </c>
      <c r="H44" s="359"/>
      <c r="I44" s="346">
        <f>IF(COUNTIFS('14再エネ電気・熱'!$AT:$AT,ROW())=0,"",SUMIFS('14再エネ電気・熱'!$AL:$AL,'14再エネ電気・熱'!$AT:$AT,ROW(),'14再エネ電気・熱'!$BE:$BE,2))</f>
        <v>0</v>
      </c>
    </row>
    <row r="45" spans="1:9" ht="30.15" customHeight="1">
      <c r="A45" s="1810"/>
      <c r="B45" s="1762"/>
      <c r="C45" s="1788"/>
      <c r="D45" s="1770"/>
      <c r="E45" s="14" t="s">
        <v>57</v>
      </c>
      <c r="F45" s="343">
        <f>IF(COUNTIFS('14再エネ電気・熱'!$AT:$AT,ROW())=0,"",ROUND(SUMIFS('14再エネ電気・熱'!$AI:$AI,'14再エネ電気・熱'!$AT:$AT,ROW(),'14再エネ電気・熱'!$BE:$BE,2),0))</f>
        <v>0</v>
      </c>
      <c r="G45" s="347" t="s">
        <v>38</v>
      </c>
      <c r="H45" s="360"/>
      <c r="I45" s="346">
        <f>IF(COUNTIFS('14再エネ電気・熱'!$AT:$AT,ROW())=0,"",SUMIFS('14再エネ電気・熱'!$AL:$AL,'14再エネ電気・熱'!$AT:$AT,ROW(),'14再エネ電気・熱'!$BE:$BE,2))</f>
        <v>0</v>
      </c>
    </row>
    <row r="46" spans="1:9" ht="30.15" customHeight="1">
      <c r="A46" s="1810"/>
      <c r="B46" s="1762"/>
      <c r="C46" s="1788"/>
      <c r="D46" s="1769" t="s">
        <v>67</v>
      </c>
      <c r="E46" s="14" t="s">
        <v>56</v>
      </c>
      <c r="F46" s="343" t="str">
        <f>IF(COUNTIFS('14再エネ電気・熱'!$AT:$AT,ROW())=0,"",ROUND(SUMIFS('14再エネ電気・熱'!$AI:$AI,'14再エネ電気・熱'!$AT:$AT,ROW(),'14再エネ電気・熱'!$BE:$BE,2),0))</f>
        <v/>
      </c>
      <c r="G46" s="347" t="s">
        <v>38</v>
      </c>
      <c r="H46" s="360"/>
      <c r="I46" s="346" t="str">
        <f>IF(COUNTIFS('14再エネ電気・熱'!$AT:$AT,ROW())=0,"",SUMIFS('14再エネ電気・熱'!$AL:$AL,'14再エネ電気・熱'!$AT:$AT,ROW(),'14再エネ電気・熱'!$BE:$BE,2))</f>
        <v/>
      </c>
    </row>
    <row r="47" spans="1:9" ht="30.15" customHeight="1">
      <c r="A47" s="1810"/>
      <c r="B47" s="1762"/>
      <c r="C47" s="1788"/>
      <c r="D47" s="1770"/>
      <c r="E47" s="14" t="s">
        <v>57</v>
      </c>
      <c r="F47" s="343" t="str">
        <f>IF(COUNTIFS('14再エネ電気・熱'!$AT:$AT,ROW())=0,"",ROUND(SUMIFS('14再エネ電気・熱'!$AI:$AI,'14再エネ電気・熱'!$AT:$AT,ROW(),'14再エネ電気・熱'!$BE:$BE,2),0))</f>
        <v/>
      </c>
      <c r="G47" s="347" t="s">
        <v>38</v>
      </c>
      <c r="H47" s="360"/>
      <c r="I47" s="346" t="str">
        <f>IF(COUNTIFS('14再エネ電気・熱'!$AT:$AT,ROW())=0,"",SUMIFS('14再エネ電気・熱'!$AL:$AL,'14再エネ電気・熱'!$AT:$AT,ROW(),'14再エネ電気・熱'!$BE:$BE,2))</f>
        <v/>
      </c>
    </row>
    <row r="48" spans="1:9" ht="45" customHeight="1">
      <c r="A48" s="1810"/>
      <c r="B48" s="1762"/>
      <c r="C48" s="1788"/>
      <c r="D48" s="1670" t="s">
        <v>186</v>
      </c>
      <c r="E48" s="1671"/>
      <c r="F48" s="349" t="str">
        <f>IF(COUNTIFS('14再エネ電気・熱'!$AT:$AT,ROW())=0,"",ROUND(SUMIFS('14再エネ電気・熱'!$AI:$AI,'14再エネ電気・熱'!$AT:$AT,ROW(),'14再エネ電気・熱'!$BE:$BE,2),0))</f>
        <v/>
      </c>
      <c r="G48" s="348" t="s">
        <v>38</v>
      </c>
      <c r="H48" s="361"/>
      <c r="I48" s="346" t="str">
        <f>IF(COUNTIFS('14再エネ電気・熱'!$AT:$AT,ROW())=0,"",SUMIFS('14再エネ電気・熱'!$AL:$AL,'14再エネ電気・熱'!$AT:$AT,ROW(),'14再エネ電気・熱'!$BE:$BE,2))</f>
        <v/>
      </c>
    </row>
    <row r="49" spans="1:9" ht="45" customHeight="1">
      <c r="A49" s="1810"/>
      <c r="B49" s="1762"/>
      <c r="C49" s="1789"/>
      <c r="D49" s="1670" t="s">
        <v>187</v>
      </c>
      <c r="E49" s="1671"/>
      <c r="F49" s="343" t="str">
        <f>IF(COUNTIFS('14再エネ電気・熱'!$AT:$AT,ROW())=0,"",ROUND(SUMIFS('14再エネ電気・熱'!$AI:$AI,'14再エネ電気・熱'!$AT:$AT,ROW(),'14再エネ電気・熱'!$BE:$BE,2),0))</f>
        <v/>
      </c>
      <c r="G49" s="347" t="s">
        <v>38</v>
      </c>
      <c r="H49" s="361"/>
      <c r="I49" s="346" t="str">
        <f>IF(COUNTIFS('14再エネ電気・熱'!$AT:$AT,ROW())=0,"",SUMIFS('14再エネ電気・熱'!$AL:$AL,'14再エネ電気・熱'!$AT:$AT,ROW(),'14再エネ電気・熱'!$BE:$BE,2))</f>
        <v/>
      </c>
    </row>
    <row r="50" spans="1:9" ht="35.15" customHeight="1" thickBot="1">
      <c r="A50" s="1811"/>
      <c r="B50" s="1763"/>
      <c r="C50" s="1771" t="s">
        <v>37</v>
      </c>
      <c r="D50" s="1772"/>
      <c r="E50" s="1773"/>
      <c r="F50" s="2008"/>
      <c r="G50" s="2009"/>
      <c r="H50" s="389"/>
      <c r="I50" s="353">
        <f>IF(COUNT(I43:I49)=0,"",SUM(I43:I49))</f>
        <v>0</v>
      </c>
    </row>
    <row r="51" spans="1:9" ht="35.15" customHeight="1" thickTop="1">
      <c r="A51" s="15"/>
      <c r="B51" s="16"/>
      <c r="C51" s="17"/>
      <c r="D51" s="17"/>
      <c r="E51" s="17"/>
      <c r="F51" s="18"/>
      <c r="G51" s="18"/>
      <c r="H51" s="110"/>
      <c r="I51" s="110" t="s">
        <v>268</v>
      </c>
    </row>
    <row r="52" spans="1:9" ht="35.15" customHeight="1" thickBot="1">
      <c r="A52" s="4" t="s">
        <v>266</v>
      </c>
      <c r="B52" s="21"/>
      <c r="C52" s="22"/>
      <c r="D52" s="22"/>
      <c r="E52" s="22"/>
      <c r="F52" s="23"/>
      <c r="G52" s="23"/>
      <c r="H52" s="24"/>
      <c r="I52" s="24"/>
    </row>
    <row r="53" spans="1:9" ht="51.75" customHeight="1">
      <c r="A53" s="1737" t="s">
        <v>265</v>
      </c>
      <c r="B53" s="1711" t="s">
        <v>1</v>
      </c>
      <c r="C53" s="1740"/>
      <c r="D53" s="1740"/>
      <c r="E53" s="1717"/>
      <c r="F53" s="1808" t="s">
        <v>262</v>
      </c>
      <c r="G53" s="1743"/>
      <c r="H53" s="8" t="s">
        <v>2</v>
      </c>
      <c r="I53" s="116" t="s">
        <v>3</v>
      </c>
    </row>
    <row r="54" spans="1:9" ht="20" thickBot="1">
      <c r="A54" s="1738"/>
      <c r="B54" s="1713"/>
      <c r="C54" s="1741"/>
      <c r="D54" s="1741"/>
      <c r="E54" s="1718"/>
      <c r="F54" s="27"/>
      <c r="G54" s="28"/>
      <c r="H54" s="29" t="s">
        <v>7</v>
      </c>
      <c r="I54" s="31" t="s">
        <v>177</v>
      </c>
    </row>
    <row r="55" spans="1:9" ht="30.15" customHeight="1" thickTop="1">
      <c r="A55" s="1738"/>
      <c r="B55" s="1744" t="s">
        <v>39</v>
      </c>
      <c r="C55" s="1746" t="s">
        <v>40</v>
      </c>
      <c r="D55" s="1747"/>
      <c r="E55" s="1748"/>
      <c r="F55" s="398" t="str">
        <f>IF(COUNTIFS('13電気・熱_都市ガス'!$AW:$AW,ROW())=0,"",ROUND(SUMIFS('13電気・熱_都市ガス'!$AS:$AS,'13電気・熱_都市ガス'!$AW:$AW,ROW(),'13電気・熱_都市ガス'!$BI:$BI,2),0))</f>
        <v/>
      </c>
      <c r="G55" s="355" t="s">
        <v>7</v>
      </c>
      <c r="H55" s="388"/>
      <c r="I55" s="357" t="str">
        <f>IF(COUNTIFS('13電気・熱_都市ガス'!$AW:$AW,ROW())=0,"",SUMIFS('13電気・熱_都市ガス'!$AV:$AV,'13電気・熱_都市ガス'!$AW:$AW,ROW(),'13電気・熱_都市ガス'!$BI:$BI,2))</f>
        <v/>
      </c>
    </row>
    <row r="56" spans="1:9" ht="30.15" customHeight="1">
      <c r="A56" s="1738"/>
      <c r="B56" s="1745"/>
      <c r="C56" s="1749" t="s">
        <v>41</v>
      </c>
      <c r="D56" s="1726"/>
      <c r="E56" s="1727"/>
      <c r="F56" s="349" t="str">
        <f>IF(COUNTIFS('13電気・熱_都市ガス'!$AW:$AW,ROW())=0,"",ROUND(SUMIFS('13電気・熱_都市ガス'!$AS:$AS,'13電気・熱_都市ガス'!$AW:$AW,ROW(),'13電気・熱_都市ガス'!$BI:$BI,2),0))</f>
        <v/>
      </c>
      <c r="G56" s="347" t="s">
        <v>38</v>
      </c>
      <c r="H56" s="359"/>
      <c r="I56" s="365" t="str">
        <f>IF(COUNTIFS('13電気・熱_都市ガス'!$AW:$AW,ROW())=0,"",SUMIFS('13電気・熱_都市ガス'!$AV:$AV,'13電気・熱_都市ガス'!$AW:$AW,ROW(),'13電気・熱_都市ガス'!$BI:$BI,2))</f>
        <v/>
      </c>
    </row>
    <row r="57" spans="1:9" ht="31.5" customHeight="1" thickBot="1">
      <c r="A57" s="1738"/>
      <c r="B57" s="2005"/>
      <c r="C57" s="1750" t="s">
        <v>37</v>
      </c>
      <c r="D57" s="1731"/>
      <c r="E57" s="1732"/>
      <c r="F57" s="2006"/>
      <c r="G57" s="2007"/>
      <c r="H57" s="399"/>
      <c r="I57" s="353" t="str">
        <f>IF(COUNT(I55:I56)=0,"",SUM(I55:I56))</f>
        <v/>
      </c>
    </row>
    <row r="58" spans="1:9" ht="39.9" customHeight="1" thickTop="1" thickBot="1">
      <c r="A58" s="1739"/>
      <c r="B58" s="2000" t="s">
        <v>42</v>
      </c>
      <c r="C58" s="2001"/>
      <c r="D58" s="2001"/>
      <c r="E58" s="2002"/>
      <c r="F58" s="2003"/>
      <c r="G58" s="2004"/>
      <c r="H58" s="501"/>
      <c r="I58" s="387">
        <f>IF(COUNT(I32,I42,I50,I57)=0,"",IF(SUM(I32,I42,I50,I57)&lt;0,0,SUM(I32,I42,I50,I57)))</f>
        <v>0</v>
      </c>
    </row>
    <row r="60" spans="1:9" ht="18.75" customHeight="1"/>
    <row r="62" spans="1:9" ht="23.5" thickTop="1" thickBot="1">
      <c r="I62" s="499"/>
    </row>
  </sheetData>
  <sheetProtection algorithmName="SHA-512" hashValue="v/9RPhRO20y/fdRFBoR9Ws6PQWrdn4+5eDnP1jBHGkRsjc819IuibYJfHKt/Mwq/+hdr/HAMz42/CaKUaNf+vQ==" saltValue="mx2/UoDflPnuZJqzQP9JUA==" spinCount="100000" sheet="1" objects="1" scenarios="1"/>
  <mergeCells count="68">
    <mergeCell ref="B58:E58"/>
    <mergeCell ref="F58:G58"/>
    <mergeCell ref="F50:G50"/>
    <mergeCell ref="A53:A58"/>
    <mergeCell ref="B53:E54"/>
    <mergeCell ref="F53:G53"/>
    <mergeCell ref="B55:B57"/>
    <mergeCell ref="C55:E55"/>
    <mergeCell ref="C56:E56"/>
    <mergeCell ref="C57:E57"/>
    <mergeCell ref="F57:G57"/>
    <mergeCell ref="C42:E42"/>
    <mergeCell ref="F42:G42"/>
    <mergeCell ref="B43:B50"/>
    <mergeCell ref="D43:E43"/>
    <mergeCell ref="C44:C49"/>
    <mergeCell ref="D44:D45"/>
    <mergeCell ref="D46:D47"/>
    <mergeCell ref="D48:E48"/>
    <mergeCell ref="D49:E49"/>
    <mergeCell ref="C50:E50"/>
    <mergeCell ref="B33:B42"/>
    <mergeCell ref="C33:C36"/>
    <mergeCell ref="D33:E33"/>
    <mergeCell ref="D34:E34"/>
    <mergeCell ref="D35:E35"/>
    <mergeCell ref="D36:E36"/>
    <mergeCell ref="C37:C41"/>
    <mergeCell ref="D37:D38"/>
    <mergeCell ref="D39:D40"/>
    <mergeCell ref="D41:E41"/>
    <mergeCell ref="C29:E29"/>
    <mergeCell ref="C30:C31"/>
    <mergeCell ref="D30:E30"/>
    <mergeCell ref="D31:E31"/>
    <mergeCell ref="C32:E32"/>
    <mergeCell ref="C20:C22"/>
    <mergeCell ref="D20:E20"/>
    <mergeCell ref="D21:E21"/>
    <mergeCell ref="D22:E22"/>
    <mergeCell ref="F32:G32"/>
    <mergeCell ref="C23:E23"/>
    <mergeCell ref="C24:E24"/>
    <mergeCell ref="C25:E25"/>
    <mergeCell ref="C26:E26"/>
    <mergeCell ref="C27:E27"/>
    <mergeCell ref="C28:E28"/>
    <mergeCell ref="A2:E2"/>
    <mergeCell ref="B4:E5"/>
    <mergeCell ref="C11:E11"/>
    <mergeCell ref="C12:E12"/>
    <mergeCell ref="C13:E13"/>
    <mergeCell ref="F4:G4"/>
    <mergeCell ref="A6:A50"/>
    <mergeCell ref="B6:B31"/>
    <mergeCell ref="C6:E6"/>
    <mergeCell ref="C7:E7"/>
    <mergeCell ref="C8:E8"/>
    <mergeCell ref="C9:E9"/>
    <mergeCell ref="C10:E10"/>
    <mergeCell ref="C16:C17"/>
    <mergeCell ref="D16:E16"/>
    <mergeCell ref="D17:E17"/>
    <mergeCell ref="C14:E14"/>
    <mergeCell ref="C15:E15"/>
    <mergeCell ref="C18:C19"/>
    <mergeCell ref="D18:E18"/>
    <mergeCell ref="D19:E19"/>
  </mergeCells>
  <phoneticPr fontId="5"/>
  <pageMargins left="0.78740157480314965" right="0.59055118110236227" top="0.78740157480314965" bottom="0.59055118110236227" header="0.31496062992125984" footer="0.31496062992125984"/>
  <pageSetup paperSize="9" scale="47" fitToHeight="0" orientation="portrait" r:id="rId1"/>
  <headerFooter>
    <oddHeader>&amp;R&amp;8ver.4.01</oddHeader>
  </headerFooter>
  <rowBreaks count="1" manualBreakCount="1">
    <brk id="5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0CA9-F17D-44E5-A511-D004B89E584A}">
  <sheetPr codeName="Sheet34">
    <pageSetUpPr fitToPage="1"/>
  </sheetPr>
  <dimension ref="A1:L62"/>
  <sheetViews>
    <sheetView showGridLines="0" zoomScaleNormal="100" zoomScaleSheetLayoutView="100" workbookViewId="0">
      <pane xSplit="2" ySplit="5" topLeftCell="C50" activePane="bottomRight" state="frozen"/>
      <selection activeCell="L62" sqref="L62"/>
      <selection pane="topRight" activeCell="L62" sqref="L62"/>
      <selection pane="bottomLeft" activeCell="L62" sqref="L62"/>
      <selection pane="bottomRight" activeCell="I59" sqref="I59"/>
    </sheetView>
  </sheetViews>
  <sheetFormatPr defaultColWidth="4.08203125" defaultRowHeight="17.5"/>
  <cols>
    <col min="1" max="2" width="6.1640625" style="498" customWidth="1"/>
    <col min="3" max="3" width="19.08203125" style="498" customWidth="1"/>
    <col min="4" max="5" width="35.58203125" style="498" customWidth="1"/>
    <col min="6" max="6" width="14.58203125" style="498" customWidth="1"/>
    <col min="7" max="7" width="10.1640625" style="498" customWidth="1"/>
    <col min="8" max="8" width="20.1640625" style="498" customWidth="1"/>
    <col min="9" max="9" width="23.5" style="498" customWidth="1"/>
    <col min="10" max="11" width="9" style="498" customWidth="1"/>
    <col min="12" max="12" width="16.4140625" style="498" customWidth="1"/>
    <col min="13" max="245" width="9" style="498" customWidth="1"/>
    <col min="246" max="246" width="1.58203125" style="498" customWidth="1"/>
    <col min="247" max="247" width="1.9140625" style="498" customWidth="1"/>
    <col min="248" max="16384" width="4.08203125" style="498"/>
  </cols>
  <sheetData>
    <row r="1" spans="1:12" ht="18.75" customHeight="1">
      <c r="A1" s="3" t="s">
        <v>1647</v>
      </c>
      <c r="B1" s="4"/>
      <c r="C1" s="4"/>
      <c r="D1" s="4"/>
      <c r="E1" s="4"/>
      <c r="F1" s="4"/>
      <c r="G1" s="4"/>
      <c r="H1" s="109" t="s">
        <v>0</v>
      </c>
      <c r="I1" s="216" t="str">
        <f>IF('0.事業所概要'!D11="","",'0.事業所概要'!D11)</f>
        <v>県庁産業㈱　　本社、浦和支店</v>
      </c>
    </row>
    <row r="2" spans="1:12">
      <c r="A2" s="1805" t="s">
        <v>1648</v>
      </c>
      <c r="B2" s="1805"/>
      <c r="C2" s="1805"/>
      <c r="D2" s="1805"/>
      <c r="E2" s="1805"/>
      <c r="F2" s="4"/>
      <c r="G2" s="4"/>
      <c r="H2" s="4"/>
      <c r="I2" s="164" t="str">
        <f>CONCATENATE('0.事業所概要'!$B$3,'0.事業所概要'!$C$3,"年度")</f>
        <v>令和７年度</v>
      </c>
    </row>
    <row r="3" spans="1:12" ht="23.25" customHeight="1" thickBot="1">
      <c r="A3" s="4"/>
      <c r="B3" s="4"/>
      <c r="C3" s="1187" t="s">
        <v>2481</v>
      </c>
      <c r="D3" s="4"/>
      <c r="E3" s="4"/>
      <c r="F3" s="5"/>
      <c r="G3" s="4"/>
      <c r="H3" s="121"/>
      <c r="I3" s="6"/>
    </row>
    <row r="4" spans="1:12" ht="50.15" customHeight="1">
      <c r="A4" s="7"/>
      <c r="B4" s="1711" t="s">
        <v>1</v>
      </c>
      <c r="C4" s="1740"/>
      <c r="D4" s="1740"/>
      <c r="E4" s="1717"/>
      <c r="F4" s="1808" t="s">
        <v>262</v>
      </c>
      <c r="G4" s="1743"/>
      <c r="H4" s="122" t="s">
        <v>1633</v>
      </c>
      <c r="I4" s="116" t="s">
        <v>3</v>
      </c>
    </row>
    <row r="5" spans="1:12" ht="33" customHeight="1" thickBot="1">
      <c r="A5" s="10"/>
      <c r="B5" s="1715"/>
      <c r="C5" s="1807"/>
      <c r="D5" s="1807"/>
      <c r="E5" s="1719"/>
      <c r="F5" s="11"/>
      <c r="G5" s="12"/>
      <c r="H5" s="119" t="s">
        <v>181</v>
      </c>
      <c r="I5" s="212" t="s">
        <v>177</v>
      </c>
      <c r="L5" s="502"/>
    </row>
    <row r="6" spans="1:12" ht="30.15" customHeight="1">
      <c r="A6" s="1809" t="s">
        <v>264</v>
      </c>
      <c r="B6" s="1812" t="s">
        <v>185</v>
      </c>
      <c r="C6" s="1814" t="s">
        <v>9</v>
      </c>
      <c r="D6" s="1398"/>
      <c r="E6" s="1815"/>
      <c r="F6" s="343" t="str">
        <f>IF(COUNTIFS('12燃料'!$AF:$AF,ROW())=0,"",ROUND(SUMIFS('12燃料'!$AA:$AA,'12燃料'!$AF:$AF,ROW(),'12燃料'!$AH:$AH,3),0))</f>
        <v/>
      </c>
      <c r="G6" s="344" t="s">
        <v>8</v>
      </c>
      <c r="H6" s="345" t="str">
        <f>IF(COUNTIFS('12燃料'!$AF:$AF,ROW())=0,"",SUMIFS('12燃料'!$AC:$AC,'12燃料'!$AF:$AF,ROW(),'12燃料'!$AH:$AH,3))</f>
        <v/>
      </c>
      <c r="I6" s="346" t="str">
        <f>IF(COUNTIFS('12燃料'!$AF:$AF,ROW())=0,"",SUMIFS('12燃料'!$AE:$AE,'12燃料'!$AF:$AF,ROW(),'12燃料'!$AH:$AH,3))</f>
        <v/>
      </c>
    </row>
    <row r="7" spans="1:12" ht="30.15" customHeight="1">
      <c r="A7" s="1810"/>
      <c r="B7" s="1813"/>
      <c r="C7" s="1365" t="s">
        <v>10</v>
      </c>
      <c r="D7" s="1366"/>
      <c r="E7" s="1681"/>
      <c r="F7" s="343" t="str">
        <f>IF(COUNTIFS('12燃料'!$AF:$AF,ROW())=0,"",ROUND(SUMIFS('12燃料'!$AA:$AA,'12燃料'!$AF:$AF,ROW(),'12燃料'!$AH:$AH,3),0))</f>
        <v/>
      </c>
      <c r="G7" s="347" t="s">
        <v>8</v>
      </c>
      <c r="H7" s="345" t="str">
        <f>IF(COUNTIFS('12燃料'!$AF:$AF,ROW())=0,"",SUMIFS('12燃料'!$AC:$AC,'12燃料'!$AF:$AF,ROW(),'12燃料'!$AH:$AH,3))</f>
        <v/>
      </c>
      <c r="I7" s="346" t="str">
        <f>IF(COUNTIFS('12燃料'!$AF:$AF,ROW())=0,"",SUMIFS('12燃料'!$AE:$AE,'12燃料'!$AF:$AF,ROW(),'12燃料'!$AH:$AH,3))</f>
        <v/>
      </c>
    </row>
    <row r="8" spans="1:12" ht="30.15" customHeight="1">
      <c r="A8" s="1810"/>
      <c r="B8" s="1813"/>
      <c r="C8" s="1365" t="s">
        <v>11</v>
      </c>
      <c r="D8" s="1366"/>
      <c r="E8" s="1681"/>
      <c r="F8" s="343">
        <f>IF(COUNTIFS('12燃料'!$AF:$AF,ROW())=0,"",ROUND(SUMIFS('12燃料'!$AA:$AA,'12燃料'!$AF:$AF,ROW(),'12燃料'!$AH:$AH,3),0))</f>
        <v>0</v>
      </c>
      <c r="G8" s="347" t="s">
        <v>8</v>
      </c>
      <c r="H8" s="345">
        <f>IF(COUNTIFS('12燃料'!$AF:$AF,ROW())=0,"",SUMIFS('12燃料'!$AC:$AC,'12燃料'!$AF:$AF,ROW(),'12燃料'!$AH:$AH,3))</f>
        <v>0</v>
      </c>
      <c r="I8" s="346">
        <f>IF(COUNTIFS('12燃料'!$AF:$AF,ROW())=0,"",SUMIFS('12燃料'!$AE:$AE,'12燃料'!$AF:$AF,ROW(),'12燃料'!$AH:$AH,3))</f>
        <v>0</v>
      </c>
    </row>
    <row r="9" spans="1:12" ht="30.15" customHeight="1">
      <c r="A9" s="1810"/>
      <c r="B9" s="1813"/>
      <c r="C9" s="1365" t="s">
        <v>13</v>
      </c>
      <c r="D9" s="1366"/>
      <c r="E9" s="1681"/>
      <c r="F9" s="343" t="str">
        <f>IF(COUNTIFS('12燃料'!$AF:$AF,ROW())=0,"",ROUND(SUMIFS('12燃料'!$AA:$AA,'12燃料'!$AF:$AF,ROW(),'12燃料'!$AH:$AH,3),0))</f>
        <v/>
      </c>
      <c r="G9" s="347" t="s">
        <v>8</v>
      </c>
      <c r="H9" s="345" t="str">
        <f>IF(COUNTIFS('12燃料'!$AF:$AF,ROW())=0,"",SUMIFS('12燃料'!$AC:$AC,'12燃料'!$AF:$AF,ROW(),'12燃料'!$AH:$AH,3))</f>
        <v/>
      </c>
      <c r="I9" s="346" t="str">
        <f>IF(COUNTIFS('12燃料'!$AF:$AF,ROW())=0,"",SUMIFS('12燃料'!$AE:$AE,'12燃料'!$AF:$AF,ROW(),'12燃料'!$AH:$AH,3))</f>
        <v/>
      </c>
    </row>
    <row r="10" spans="1:12" ht="30.15" customHeight="1">
      <c r="A10" s="1810"/>
      <c r="B10" s="1813"/>
      <c r="C10" s="1365" t="s">
        <v>14</v>
      </c>
      <c r="D10" s="1366"/>
      <c r="E10" s="1681"/>
      <c r="F10" s="343">
        <f>IF(COUNTIFS('12燃料'!$AF:$AF,ROW())=0,"",ROUND(SUMIFS('12燃料'!$AA:$AA,'12燃料'!$AF:$AF,ROW(),'12燃料'!$AH:$AH,3),0))</f>
        <v>0</v>
      </c>
      <c r="G10" s="347" t="s">
        <v>8</v>
      </c>
      <c r="H10" s="345">
        <f>IF(COUNTIFS('12燃料'!$AF:$AF,ROW())=0,"",SUMIFS('12燃料'!$AC:$AC,'12燃料'!$AF:$AF,ROW(),'12燃料'!$AH:$AH,3))</f>
        <v>0</v>
      </c>
      <c r="I10" s="346">
        <f>IF(COUNTIFS('12燃料'!$AF:$AF,ROW())=0,"",SUMIFS('12燃料'!$AE:$AE,'12燃料'!$AF:$AF,ROW(),'12燃料'!$AH:$AH,3))</f>
        <v>0</v>
      </c>
    </row>
    <row r="11" spans="1:12" ht="30.15" customHeight="1">
      <c r="A11" s="1810"/>
      <c r="B11" s="1813"/>
      <c r="C11" s="1365" t="s">
        <v>15</v>
      </c>
      <c r="D11" s="1366"/>
      <c r="E11" s="1681"/>
      <c r="F11" s="343">
        <f>IF(COUNTIFS('12燃料'!$AF:$AF,ROW())=0,"",ROUND(SUMIFS('12燃料'!$AA:$AA,'12燃料'!$AF:$AF,ROW(),'12燃料'!$AH:$AH,3),0))</f>
        <v>0</v>
      </c>
      <c r="G11" s="347" t="s">
        <v>8</v>
      </c>
      <c r="H11" s="345">
        <f>IF(COUNTIFS('12燃料'!$AF:$AF,ROW())=0,"",SUMIFS('12燃料'!$AC:$AC,'12燃料'!$AF:$AF,ROW(),'12燃料'!$AH:$AH,3))</f>
        <v>0</v>
      </c>
      <c r="I11" s="346">
        <f>IF(COUNTIFS('12燃料'!$AF:$AF,ROW())=0,"",SUMIFS('12燃料'!$AE:$AE,'12燃料'!$AF:$AF,ROW(),'12燃料'!$AH:$AH,3))</f>
        <v>0</v>
      </c>
    </row>
    <row r="12" spans="1:12" ht="30.15" customHeight="1">
      <c r="A12" s="1810"/>
      <c r="B12" s="1813"/>
      <c r="C12" s="1365" t="s">
        <v>16</v>
      </c>
      <c r="D12" s="1366"/>
      <c r="E12" s="1681"/>
      <c r="F12" s="343">
        <f>IF(COUNTIFS('12燃料'!$AF:$AF,ROW())=0,"",ROUND(SUMIFS('12燃料'!$AA:$AA,'12燃料'!$AF:$AF,ROW(),'12燃料'!$AH:$AH,3),0))</f>
        <v>0</v>
      </c>
      <c r="G12" s="347" t="s">
        <v>8</v>
      </c>
      <c r="H12" s="345">
        <f>IF(COUNTIFS('12燃料'!$AF:$AF,ROW())=0,"",SUMIFS('12燃料'!$AC:$AC,'12燃料'!$AF:$AF,ROW(),'12燃料'!$AH:$AH,3))</f>
        <v>0</v>
      </c>
      <c r="I12" s="346">
        <f>IF(COUNTIFS('12燃料'!$AF:$AF,ROW())=0,"",SUMIFS('12燃料'!$AE:$AE,'12燃料'!$AF:$AF,ROW(),'12燃料'!$AH:$AH,3))</f>
        <v>0</v>
      </c>
    </row>
    <row r="13" spans="1:12" ht="30.15" customHeight="1">
      <c r="A13" s="1810"/>
      <c r="B13" s="1813"/>
      <c r="C13" s="1365" t="s">
        <v>17</v>
      </c>
      <c r="D13" s="1366"/>
      <c r="E13" s="1681"/>
      <c r="F13" s="343" t="str">
        <f>IF(COUNTIFS('12燃料'!$AF:$AF,ROW())=0,"",ROUND(SUMIFS('12燃料'!$AA:$AA,'12燃料'!$AF:$AF,ROW(),'12燃料'!$AH:$AH,3),0))</f>
        <v/>
      </c>
      <c r="G13" s="347" t="s">
        <v>8</v>
      </c>
      <c r="H13" s="345" t="str">
        <f>IF(COUNTIFS('12燃料'!$AF:$AF,ROW())=0,"",SUMIFS('12燃料'!$AC:$AC,'12燃料'!$AF:$AF,ROW(),'12燃料'!$AH:$AH,3))</f>
        <v/>
      </c>
      <c r="I13" s="346" t="str">
        <f>IF(COUNTIFS('12燃料'!$AF:$AF,ROW())=0,"",SUMIFS('12燃料'!$AE:$AE,'12燃料'!$AF:$AF,ROW(),'12燃料'!$AH:$AH,3))</f>
        <v/>
      </c>
    </row>
    <row r="14" spans="1:12" ht="30.15" customHeight="1">
      <c r="A14" s="1810"/>
      <c r="B14" s="1813"/>
      <c r="C14" s="1365" t="s">
        <v>18</v>
      </c>
      <c r="D14" s="1366"/>
      <c r="E14" s="1681"/>
      <c r="F14" s="343" t="str">
        <f>IF(COUNTIFS('12燃料'!$AF:$AF,ROW())=0,"",ROUND(SUMIFS('12燃料'!$AA:$AA,'12燃料'!$AF:$AF,ROW(),'12燃料'!$AH:$AH,3),0))</f>
        <v/>
      </c>
      <c r="G14" s="347" t="s">
        <v>19</v>
      </c>
      <c r="H14" s="345" t="str">
        <f>IF(COUNTIFS('12燃料'!$AF:$AF,ROW())=0,"",SUMIFS('12燃料'!$AC:$AC,'12燃料'!$AF:$AF,ROW(),'12燃料'!$AH:$AH,3))</f>
        <v/>
      </c>
      <c r="I14" s="346" t="str">
        <f>IF(COUNTIFS('12燃料'!$AF:$AF,ROW())=0,"",SUMIFS('12燃料'!$AE:$AE,'12燃料'!$AF:$AF,ROW(),'12燃料'!$AH:$AH,3))</f>
        <v/>
      </c>
    </row>
    <row r="15" spans="1:12" ht="30.15" customHeight="1">
      <c r="A15" s="1810"/>
      <c r="B15" s="1813"/>
      <c r="C15" s="1365" t="s">
        <v>20</v>
      </c>
      <c r="D15" s="1366"/>
      <c r="E15" s="1681"/>
      <c r="F15" s="343" t="str">
        <f>IF(COUNTIFS('12燃料'!$AF:$AF,ROW())=0,"",ROUND(SUMIFS('12燃料'!$AA:$AA,'12燃料'!$AF:$AF,ROW(),'12燃料'!$AH:$AH,3),0))</f>
        <v/>
      </c>
      <c r="G15" s="347" t="s">
        <v>19</v>
      </c>
      <c r="H15" s="345" t="str">
        <f>IF(COUNTIFS('12燃料'!$AF:$AF,ROW())=0,"",SUMIFS('12燃料'!$AC:$AC,'12燃料'!$AF:$AF,ROW(),'12燃料'!$AH:$AH,3))</f>
        <v/>
      </c>
      <c r="I15" s="346" t="str">
        <f>IF(COUNTIFS('12燃料'!$AF:$AF,ROW())=0,"",SUMIFS('12燃料'!$AE:$AE,'12燃料'!$AF:$AF,ROW(),'12燃料'!$AH:$AH,3))</f>
        <v/>
      </c>
    </row>
    <row r="16" spans="1:12" ht="30.15" customHeight="1">
      <c r="A16" s="1810"/>
      <c r="B16" s="1813"/>
      <c r="C16" s="1818" t="s">
        <v>21</v>
      </c>
      <c r="D16" s="1365" t="s">
        <v>22</v>
      </c>
      <c r="E16" s="1681"/>
      <c r="F16" s="343">
        <f>IF(COUNTIFS('12燃料'!$AF:$AF,ROW())=0,"",ROUND(SUMIFS('12燃料'!$AA:$AA,'12燃料'!$AF:$AF,ROW(),'12燃料'!$AH:$AH,3),0))</f>
        <v>0</v>
      </c>
      <c r="G16" s="347" t="s">
        <v>19</v>
      </c>
      <c r="H16" s="345">
        <f>IF(COUNTIFS('12燃料'!$AF:$AF,ROW())=0,"",SUMIFS('12燃料'!$AC:$AC,'12燃料'!$AF:$AF,ROW(),'12燃料'!$AH:$AH,3))</f>
        <v>0</v>
      </c>
      <c r="I16" s="346">
        <f>IF(COUNTIFS('12燃料'!$AF:$AF,ROW())=0,"",SUMIFS('12燃料'!$AE:$AE,'12燃料'!$AF:$AF,ROW(),'12燃料'!$AH:$AH,3))</f>
        <v>0</v>
      </c>
    </row>
    <row r="17" spans="1:9" ht="30.15" customHeight="1">
      <c r="A17" s="1810"/>
      <c r="B17" s="1813"/>
      <c r="C17" s="1797"/>
      <c r="D17" s="1365" t="s">
        <v>23</v>
      </c>
      <c r="E17" s="1681"/>
      <c r="F17" s="343" t="str">
        <f>IF(COUNTIFS('12燃料'!$AF:$AF,ROW())=0,"",ROUND(SUMIFS('12燃料'!$AA:$AA,'12燃料'!$AF:$AF,ROW(),'12燃料'!$AH:$AH,3),0))</f>
        <v/>
      </c>
      <c r="G17" s="347" t="s">
        <v>1646</v>
      </c>
      <c r="H17" s="345" t="str">
        <f>IF(COUNTIFS('12燃料'!$AF:$AF,ROW())=0,"",SUMIFS('12燃料'!$AC:$AC,'12燃料'!$AF:$AF,ROW(),'12燃料'!$AH:$AH,3))</f>
        <v/>
      </c>
      <c r="I17" s="346" t="str">
        <f>IF(COUNTIFS('12燃料'!$AF:$AF,ROW())=0,"",SUMIFS('12燃料'!$AE:$AE,'12燃料'!$AF:$AF,ROW(),'12燃料'!$AH:$AH,3))</f>
        <v/>
      </c>
    </row>
    <row r="18" spans="1:9" ht="30.15" customHeight="1">
      <c r="A18" s="1810"/>
      <c r="B18" s="1813"/>
      <c r="C18" s="1676" t="s">
        <v>24</v>
      </c>
      <c r="D18" s="1365" t="s">
        <v>25</v>
      </c>
      <c r="E18" s="1681"/>
      <c r="F18" s="343" t="str">
        <f>IF(COUNTIFS('12燃料'!$AF:$AF,ROW())=0,"",ROUND(SUMIFS('12燃料'!$AA:$AA,'12燃料'!$AF:$AF,ROW(),'12燃料'!$AH:$AH,3),0))</f>
        <v/>
      </c>
      <c r="G18" s="347" t="s">
        <v>19</v>
      </c>
      <c r="H18" s="345" t="str">
        <f>IF(COUNTIFS('12燃料'!$AF:$AF,ROW())=0,"",SUMIFS('12燃料'!$AC:$AC,'12燃料'!$AF:$AF,ROW(),'12燃料'!$AH:$AH,3))</f>
        <v/>
      </c>
      <c r="I18" s="346" t="str">
        <f>IF(COUNTIFS('12燃料'!$AF:$AF,ROW())=0,"",SUMIFS('12燃料'!$AE:$AE,'12燃料'!$AF:$AF,ROW(),'12燃料'!$AH:$AH,3))</f>
        <v/>
      </c>
    </row>
    <row r="19" spans="1:9" ht="30.15" customHeight="1">
      <c r="A19" s="1810"/>
      <c r="B19" s="1813"/>
      <c r="C19" s="1797"/>
      <c r="D19" s="1365" t="s">
        <v>26</v>
      </c>
      <c r="E19" s="1681"/>
      <c r="F19" s="343" t="str">
        <f>IF(COUNTIFS('12燃料'!$AF:$AF,ROW())=0,"",ROUND(SUMIFS('12燃料'!$AA:$AA,'12燃料'!$AF:$AF,ROW(),'12燃料'!$AH:$AH,3),0))</f>
        <v/>
      </c>
      <c r="G19" s="347" t="s">
        <v>1646</v>
      </c>
      <c r="H19" s="345" t="str">
        <f>IF(COUNTIFS('12燃料'!$AF:$AF,ROW())=0,"",SUMIFS('12燃料'!$AC:$AC,'12燃料'!$AF:$AF,ROW(),'12燃料'!$AH:$AH,3))</f>
        <v/>
      </c>
      <c r="I19" s="346" t="str">
        <f>IF(COUNTIFS('12燃料'!$AF:$AF,ROW())=0,"",SUMIFS('12燃料'!$AE:$AE,'12燃料'!$AF:$AF,ROW(),'12燃料'!$AH:$AH,3))</f>
        <v/>
      </c>
    </row>
    <row r="20" spans="1:9" ht="30.15" customHeight="1">
      <c r="A20" s="1810"/>
      <c r="B20" s="1813"/>
      <c r="C20" s="2013" t="s">
        <v>68</v>
      </c>
      <c r="D20" s="1365" t="s">
        <v>1634</v>
      </c>
      <c r="E20" s="1681"/>
      <c r="F20" s="343" t="str">
        <f>IF(COUNTIFS('12燃料'!$AF:$AF,ROW())=0,"",ROUND(SUMIFS('12燃料'!$AA:$AA,'12燃料'!$AF:$AF,ROW(),'12燃料'!$AH:$AH,3),0))</f>
        <v/>
      </c>
      <c r="G20" s="347" t="s">
        <v>19</v>
      </c>
      <c r="H20" s="345" t="str">
        <f>IF(COUNTIFS('12燃料'!$AF:$AF,ROW())=0,"",SUMIFS('12燃料'!$AC:$AC,'12燃料'!$AF:$AF,ROW(),'12燃料'!$AH:$AH,3))</f>
        <v/>
      </c>
      <c r="I20" s="346" t="str">
        <f>IF(COUNTIFS('12燃料'!$AF:$AF,ROW())=0,"",SUMIFS('12燃料'!$AE:$AE,'12燃料'!$AF:$AF,ROW(),'12燃料'!$AH:$AH,3))</f>
        <v/>
      </c>
    </row>
    <row r="21" spans="1:9" ht="30.15" customHeight="1">
      <c r="A21" s="1810"/>
      <c r="B21" s="1813"/>
      <c r="C21" s="2014"/>
      <c r="D21" s="1365" t="s">
        <v>1635</v>
      </c>
      <c r="E21" s="1681"/>
      <c r="F21" s="343" t="str">
        <f>IF(COUNTIFS('12燃料'!$AF:$AF,ROW())=0,"",ROUND(SUMIFS('12燃料'!$AA:$AA,'12燃料'!$AF:$AF,ROW(),'12燃料'!$AH:$AH,3),0))</f>
        <v/>
      </c>
      <c r="G21" s="347" t="s">
        <v>19</v>
      </c>
      <c r="H21" s="345" t="str">
        <f>IF(COUNTIFS('12燃料'!$AF:$AF,ROW())=0,"",SUMIFS('12燃料'!$AC:$AC,'12燃料'!$AF:$AF,ROW(),'12燃料'!$AH:$AH,3))</f>
        <v/>
      </c>
      <c r="I21" s="346" t="str">
        <f>IF(COUNTIFS('12燃料'!$AF:$AF,ROW())=0,"",SUMIFS('12燃料'!$AE:$AE,'12燃料'!$AF:$AF,ROW(),'12燃料'!$AH:$AH,3))</f>
        <v/>
      </c>
    </row>
    <row r="22" spans="1:9" ht="30.15" customHeight="1">
      <c r="A22" s="1810"/>
      <c r="B22" s="1813"/>
      <c r="C22" s="2015"/>
      <c r="D22" s="1365" t="s">
        <v>1636</v>
      </c>
      <c r="E22" s="1681"/>
      <c r="F22" s="343" t="str">
        <f>IF(COUNTIFS('12燃料'!$AF:$AF,ROW())=0,"",ROUND(SUMIFS('12燃料'!$AA:$AA,'12燃料'!$AF:$AF,ROW(),'12燃料'!$AH:$AH,3),0))</f>
        <v/>
      </c>
      <c r="G22" s="347" t="s">
        <v>19</v>
      </c>
      <c r="H22" s="345" t="str">
        <f>IF(COUNTIFS('12燃料'!$AF:$AF,ROW())=0,"",SUMIFS('12燃料'!$AC:$AC,'12燃料'!$AF:$AF,ROW(),'12燃料'!$AH:$AH,3))</f>
        <v/>
      </c>
      <c r="I22" s="346" t="str">
        <f>IF(COUNTIFS('12燃料'!$AF:$AF,ROW())=0,"",SUMIFS('12燃料'!$AE:$AE,'12燃料'!$AF:$AF,ROW(),'12燃料'!$AH:$AH,3))</f>
        <v/>
      </c>
    </row>
    <row r="23" spans="1:9" ht="30.15" customHeight="1">
      <c r="A23" s="1810"/>
      <c r="B23" s="1813"/>
      <c r="C23" s="1365" t="s">
        <v>27</v>
      </c>
      <c r="D23" s="1366"/>
      <c r="E23" s="1681"/>
      <c r="F23" s="343" t="str">
        <f>IF(COUNTIFS('12燃料'!$AF:$AF,ROW())=0,"",ROUND(SUMIFS('12燃料'!$AA:$AA,'12燃料'!$AF:$AF,ROW(),'12燃料'!$AH:$AH,3),0))</f>
        <v/>
      </c>
      <c r="G23" s="348" t="s">
        <v>19</v>
      </c>
      <c r="H23" s="345" t="str">
        <f>IF(COUNTIFS('12燃料'!$AF:$AF,ROW())=0,"",SUMIFS('12燃料'!$AC:$AC,'12燃料'!$AF:$AF,ROW(),'12燃料'!$AH:$AH,3))</f>
        <v/>
      </c>
      <c r="I23" s="346" t="str">
        <f>IF(COUNTIFS('12燃料'!$AF:$AF,ROW())=0,"",SUMIFS('12燃料'!$AE:$AE,'12燃料'!$AF:$AF,ROW(),'12燃料'!$AH:$AH,3))</f>
        <v/>
      </c>
    </row>
    <row r="24" spans="1:9" ht="30.15" customHeight="1">
      <c r="A24" s="1810"/>
      <c r="B24" s="1813"/>
      <c r="C24" s="1365" t="s">
        <v>28</v>
      </c>
      <c r="D24" s="1366"/>
      <c r="E24" s="1681"/>
      <c r="F24" s="343" t="str">
        <f>IF(COUNTIFS('12燃料'!$AF:$AF,ROW())=0,"",ROUND(SUMIFS('12燃料'!$AA:$AA,'12燃料'!$AF:$AF,ROW(),'12燃料'!$AH:$AH,3),0))</f>
        <v/>
      </c>
      <c r="G24" s="348" t="s">
        <v>19</v>
      </c>
      <c r="H24" s="345" t="str">
        <f>IF(COUNTIFS('12燃料'!$AF:$AF,ROW())=0,"",SUMIFS('12燃料'!$AC:$AC,'12燃料'!$AF:$AF,ROW(),'12燃料'!$AH:$AH,3))</f>
        <v/>
      </c>
      <c r="I24" s="346" t="str">
        <f>IF(COUNTIFS('12燃料'!$AF:$AF,ROW())=0,"",SUMIFS('12燃料'!$AE:$AE,'12燃料'!$AF:$AF,ROW(),'12燃料'!$AH:$AH,3))</f>
        <v/>
      </c>
    </row>
    <row r="25" spans="1:9" ht="30.15" customHeight="1">
      <c r="A25" s="1810"/>
      <c r="B25" s="1813"/>
      <c r="C25" s="1365" t="s">
        <v>71</v>
      </c>
      <c r="D25" s="1366"/>
      <c r="E25" s="1681"/>
      <c r="F25" s="343" t="str">
        <f>IF(COUNTIFS('12燃料'!$AF:$AF,ROW())=0,"",ROUND(SUMIFS('12燃料'!$AA:$AA,'12燃料'!$AF:$AF,ROW(),'12燃料'!$AH:$AH,3),0))</f>
        <v/>
      </c>
      <c r="G25" s="347" t="s">
        <v>1646</v>
      </c>
      <c r="H25" s="345" t="str">
        <f>IF(COUNTIFS('12燃料'!$AF:$AF,ROW())=0,"",SUMIFS('12燃料'!$AC:$AC,'12燃料'!$AF:$AF,ROW(),'12燃料'!$AH:$AH,3))</f>
        <v/>
      </c>
      <c r="I25" s="346" t="str">
        <f>IF(COUNTIFS('12燃料'!$AF:$AF,ROW())=0,"",SUMIFS('12燃料'!$AE:$AE,'12燃料'!$AF:$AF,ROW(),'12燃料'!$AH:$AH,3))</f>
        <v/>
      </c>
    </row>
    <row r="26" spans="1:9" ht="30.15" customHeight="1">
      <c r="A26" s="1810"/>
      <c r="B26" s="1813"/>
      <c r="C26" s="1365" t="s">
        <v>1637</v>
      </c>
      <c r="D26" s="1366"/>
      <c r="E26" s="1681"/>
      <c r="F26" s="343" t="str">
        <f>IF(COUNTIFS('12燃料'!$AF:$AF,ROW())=0,"",ROUND(SUMIFS('12燃料'!$AA:$AA,'12燃料'!$AF:$AF,ROW(),'12燃料'!$AH:$AH,3),0))</f>
        <v/>
      </c>
      <c r="G26" s="347" t="s">
        <v>1646</v>
      </c>
      <c r="H26" s="345" t="str">
        <f>IF(COUNTIFS('12燃料'!$AF:$AF,ROW())=0,"",SUMIFS('12燃料'!$AC:$AC,'12燃料'!$AF:$AF,ROW(),'12燃料'!$AH:$AH,3))</f>
        <v/>
      </c>
      <c r="I26" s="346" t="str">
        <f>IF(COUNTIFS('12燃料'!$AF:$AF,ROW())=0,"",SUMIFS('12燃料'!$AE:$AE,'12燃料'!$AF:$AF,ROW(),'12燃料'!$AH:$AH,3))</f>
        <v/>
      </c>
    </row>
    <row r="27" spans="1:9" ht="30.15" customHeight="1">
      <c r="A27" s="1810"/>
      <c r="B27" s="1813"/>
      <c r="C27" s="1365" t="s">
        <v>30</v>
      </c>
      <c r="D27" s="1366"/>
      <c r="E27" s="1681"/>
      <c r="F27" s="343" t="str">
        <f>IF(COUNTIFS('12燃料'!$AF:$AF,ROW())=0,"",ROUND(SUMIFS('12燃料'!$AA:$AA,'12燃料'!$AF:$AF,ROW(),'12燃料'!$AH:$AH,3),0))</f>
        <v/>
      </c>
      <c r="G27" s="347" t="s">
        <v>1646</v>
      </c>
      <c r="H27" s="345" t="str">
        <f>IF(COUNTIFS('12燃料'!$AF:$AF,ROW())=0,"",SUMIFS('12燃料'!$AC:$AC,'12燃料'!$AF:$AF,ROW(),'12燃料'!$AH:$AH,3))</f>
        <v/>
      </c>
      <c r="I27" s="346" t="str">
        <f>IF(COUNTIFS('12燃料'!$AF:$AF,ROW())=0,"",SUMIFS('12燃料'!$AE:$AE,'12燃料'!$AF:$AF,ROW(),'12燃料'!$AH:$AH,3))</f>
        <v/>
      </c>
    </row>
    <row r="28" spans="1:9" ht="30.15" customHeight="1">
      <c r="A28" s="1810"/>
      <c r="B28" s="1813"/>
      <c r="C28" s="1365" t="s">
        <v>50</v>
      </c>
      <c r="D28" s="1366"/>
      <c r="E28" s="1681"/>
      <c r="F28" s="343" t="str">
        <f>IF(COUNTIFS('12燃料'!$AF:$AF,ROW())=0,"",ROUND(SUMIFS('12燃料'!$AA:$AA,'12燃料'!$AF:$AF,ROW(),'12燃料'!$AH:$AH,3),0))</f>
        <v/>
      </c>
      <c r="G28" s="347" t="s">
        <v>8</v>
      </c>
      <c r="H28" s="345" t="str">
        <f>IF(COUNTIFS('12燃料'!$AF:$AF,ROW())=0,"",SUMIFS('12燃料'!$AC:$AC,'12燃料'!$AF:$AF,ROW(),'12燃料'!$AH:$AH,3))</f>
        <v/>
      </c>
      <c r="I28" s="346" t="str">
        <f>IF(COUNTIFS('12燃料'!$AF:$AF,ROW())=0,"",SUMIFS('12燃料'!$AE:$AE,'12燃料'!$AF:$AF,ROW(),'12燃料'!$AH:$AH,3))</f>
        <v/>
      </c>
    </row>
    <row r="29" spans="1:9" ht="30.15" customHeight="1">
      <c r="A29" s="1810"/>
      <c r="B29" s="1813"/>
      <c r="C29" s="2010" t="s">
        <v>32</v>
      </c>
      <c r="D29" s="2011"/>
      <c r="E29" s="2012"/>
      <c r="F29" s="343">
        <f>IF(COUNTIFS('13電気・熱_都市ガス'!$AW:$AW,ROW())=0,"",ROUND(SUMIFS('13電気・熱_都市ガス'!$AS:$AS,'13電気・熱_都市ガス'!$AW:$AW,ROW(),'13電気・熱_都市ガス'!$BI:$BI,2),0))</f>
        <v>0</v>
      </c>
      <c r="G29" s="347" t="s">
        <v>1646</v>
      </c>
      <c r="H29" s="345">
        <f>IF(COUNTIFS('13電気・熱_都市ガス'!$AW:$AW,ROW())=0,"",SUMIFS('13電気・熱_都市ガス'!$AT:$AT,'13電気・熱_都市ガス'!$AW:$AW,ROW(),'13電気・熱_都市ガス'!$BI:$BI,2))</f>
        <v>0</v>
      </c>
      <c r="I29" s="346">
        <f>IF(COUNTIFS('13電気・熱_都市ガス'!$AW:$AW,ROW())=0,"",SUMIFS('13電気・熱_都市ガス'!$AV:$AV,'13電気・熱_都市ガス'!$AW:$AW,ROW(),'13電気・熱_都市ガス'!$BI:$BI,2))</f>
        <v>0</v>
      </c>
    </row>
    <row r="30" spans="1:9" ht="30.15" customHeight="1">
      <c r="A30" s="1810"/>
      <c r="B30" s="1813"/>
      <c r="C30" s="1801" t="s">
        <v>31</v>
      </c>
      <c r="D30" s="1802" t="str">
        <f>IF('0.事業所概要'!J25="","その他燃料①",'0.事業所概要'!J25)</f>
        <v>その他燃料①</v>
      </c>
      <c r="E30" s="1803"/>
      <c r="F30" s="343" t="str">
        <f>IF(COUNTIFS('12燃料'!$AF:$AF,ROW())=0,"",ROUND(SUMIFS('12燃料'!$AA:$AA,'12燃料'!$AF:$AF,ROW(),'12燃料'!$AH:$AH,3),0))</f>
        <v/>
      </c>
      <c r="G30" s="350" t="str">
        <f>IF('0.事業所概要'!L21="","",'0.事業所概要'!L21)</f>
        <v/>
      </c>
      <c r="H30" s="345" t="str">
        <f>IF(COUNTIFS('12燃料'!$AF:$AF,ROW())=0,"",SUMIFS('12燃料'!$AC:$AC,'12燃料'!$AF:$AF,ROW(),'12燃料'!$AH:$AH,3))</f>
        <v/>
      </c>
      <c r="I30" s="346" t="str">
        <f>IF(COUNTIFS('12燃料'!$AF:$AF,ROW())=0,"",SUMIFS('12燃料'!$AE:$AE,'12燃料'!$AF:$AF,ROW(),'12燃料'!$AH:$AH,3))</f>
        <v/>
      </c>
    </row>
    <row r="31" spans="1:9" ht="30.15" customHeight="1">
      <c r="A31" s="1810"/>
      <c r="B31" s="1813"/>
      <c r="C31" s="1801"/>
      <c r="D31" s="1802" t="str">
        <f>IF('0.事業所概要'!J26="","その他燃料②",'0.事業所概要'!J26)</f>
        <v>その他燃料②</v>
      </c>
      <c r="E31" s="1803"/>
      <c r="F31" s="343" t="str">
        <f>IF(COUNTIFS('12燃料'!$AF:$AF,ROW())=0,"",ROUND(SUMIFS('12燃料'!$AA:$AA,'12燃料'!$AF:$AF,ROW(),'12燃料'!$AH:$AH,3),0))</f>
        <v/>
      </c>
      <c r="G31" s="350" t="str">
        <f>IF('0.事業所概要'!L22="","",'0.事業所概要'!L22)</f>
        <v/>
      </c>
      <c r="H31" s="345" t="str">
        <f>IF(COUNTIFS('12燃料'!$AF:$AF,ROW())=0,"",SUMIFS('12燃料'!$AC:$AC,'12燃料'!$AF:$AF,ROW(),'12燃料'!$AH:$AH,3))</f>
        <v/>
      </c>
      <c r="I31" s="346" t="str">
        <f>IF(COUNTIFS('12燃料'!$AF:$AF,ROW())=0,"",SUMIFS('12燃料'!$AE:$AE,'12燃料'!$AF:$AF,ROW(),'12燃料'!$AH:$AH,3))</f>
        <v/>
      </c>
    </row>
    <row r="32" spans="1:9" ht="30.15" customHeight="1" thickBot="1">
      <c r="A32" s="1810"/>
      <c r="B32" s="171"/>
      <c r="C32" s="1696" t="s">
        <v>37</v>
      </c>
      <c r="D32" s="1776"/>
      <c r="E32" s="1697"/>
      <c r="F32" s="1774"/>
      <c r="G32" s="1775"/>
      <c r="H32" s="351">
        <f>IF(COUNT(H6:H31)=0,"",SUM(H6:H31))</f>
        <v>0</v>
      </c>
      <c r="I32" s="353">
        <f>IF(COUNT(I6:I31)=0,"",SUM(I6:I31))</f>
        <v>0</v>
      </c>
    </row>
    <row r="33" spans="1:9" ht="30.15" customHeight="1" thickTop="1">
      <c r="A33" s="1810"/>
      <c r="B33" s="1777" t="s">
        <v>273</v>
      </c>
      <c r="C33" s="1780" t="s">
        <v>188</v>
      </c>
      <c r="D33" s="1783" t="s">
        <v>33</v>
      </c>
      <c r="E33" s="1784"/>
      <c r="F33" s="390" t="str">
        <f>IF(COUNTIFS('13電気・熱_都市ガス'!$AW:$AW,ROW())=0,"",ROUND(SUMIFS('13電気・熱_都市ガス'!$AS:$AS,'13電気・熱_都市ガス'!$AW:$AW,ROW(),'13電気・熱_都市ガス'!$BI:$BI,2),0))</f>
        <v/>
      </c>
      <c r="G33" s="355" t="s">
        <v>7</v>
      </c>
      <c r="H33" s="391"/>
      <c r="I33" s="357" t="str">
        <f>IF(COUNTIFS('13電気・熱_都市ガス'!$AW:$AW,ROW())=0,"",SUMIFS('13電気・熱_都市ガス'!$AV:$AV,'13電気・熱_都市ガス'!$AW:$AW,ROW(),'13電気・熱_都市ガス'!$BI:$BI,2))</f>
        <v/>
      </c>
    </row>
    <row r="34" spans="1:9" ht="30.15" customHeight="1">
      <c r="A34" s="1810"/>
      <c r="B34" s="1778"/>
      <c r="C34" s="1781"/>
      <c r="D34" s="1785" t="s">
        <v>34</v>
      </c>
      <c r="E34" s="1786"/>
      <c r="F34" s="392" t="str">
        <f>IF(COUNTIFS('13電気・熱_都市ガス'!$AW:$AW,ROW())=0,"",ROUND(SUMIFS('13電気・熱_都市ガス'!$AS:$AS,'13電気・熱_都市ガス'!$AW:$AW,ROW(),'13電気・熱_都市ガス'!$BI:$BI,2),0))</f>
        <v/>
      </c>
      <c r="G34" s="347" t="s">
        <v>7</v>
      </c>
      <c r="H34" s="367"/>
      <c r="I34" s="346" t="str">
        <f>IF(COUNTIFS('13電気・熱_都市ガス'!$AW:$AW,ROW())=0,"",SUMIFS('13電気・熱_都市ガス'!$AV:$AV,'13電気・熱_都市ガス'!$AW:$AW,ROW(),'13電気・熱_都市ガス'!$BI:$BI,2))</f>
        <v/>
      </c>
    </row>
    <row r="35" spans="1:9" ht="30.15" customHeight="1">
      <c r="A35" s="1810"/>
      <c r="B35" s="1778"/>
      <c r="C35" s="1781"/>
      <c r="D35" s="1365" t="s">
        <v>35</v>
      </c>
      <c r="E35" s="1681"/>
      <c r="F35" s="392" t="str">
        <f>IF(COUNTIFS('13電気・熱_都市ガス'!$AW:$AW,ROW())=0,"",ROUND(SUMIFS('13電気・熱_都市ガス'!$AS:$AS,'13電気・熱_都市ガス'!$AW:$AW,ROW(),'13電気・熱_都市ガス'!$BI:$BI,2),0))</f>
        <v/>
      </c>
      <c r="G35" s="347" t="s">
        <v>7</v>
      </c>
      <c r="H35" s="367"/>
      <c r="I35" s="346" t="str">
        <f>IF(COUNTIFS('13電気・熱_都市ガス'!$AW:$AW,ROW())=0,"",SUMIFS('13電気・熱_都市ガス'!$AV:$AV,'13電気・熱_都市ガス'!$AW:$AW,ROW(),'13電気・熱_都市ガス'!$BI:$BI,2))</f>
        <v/>
      </c>
    </row>
    <row r="36" spans="1:9" ht="30.15" customHeight="1">
      <c r="A36" s="1810"/>
      <c r="B36" s="1778"/>
      <c r="C36" s="1782"/>
      <c r="D36" s="1365" t="s">
        <v>36</v>
      </c>
      <c r="E36" s="1681"/>
      <c r="F36" s="392" t="str">
        <f>IF(COUNTIFS('13電気・熱_都市ガス'!$AW:$AW,ROW())=0,"",ROUND(SUMIFS('13電気・熱_都市ガス'!$AS:$AS,'13電気・熱_都市ガス'!$AW:$AW,ROW(),'13電気・熱_都市ガス'!$BI:$BI,2),0))</f>
        <v/>
      </c>
      <c r="G36" s="347" t="s">
        <v>7</v>
      </c>
      <c r="H36" s="367"/>
      <c r="I36" s="346" t="str">
        <f>IF(COUNTIFS('13電気・熱_都市ガス'!$AW:$AW,ROW())=0,"",SUMIFS('13電気・熱_都市ガス'!$AV:$AV,'13電気・熱_都市ガス'!$AW:$AW,ROW(),'13電気・熱_都市ガス'!$BI:$BI,2))</f>
        <v/>
      </c>
    </row>
    <row r="37" spans="1:9" ht="30.15" customHeight="1">
      <c r="A37" s="1810"/>
      <c r="B37" s="1778"/>
      <c r="C37" s="1787" t="s">
        <v>189</v>
      </c>
      <c r="D37" s="1769" t="s">
        <v>58</v>
      </c>
      <c r="E37" s="14" t="s">
        <v>56</v>
      </c>
      <c r="F37" s="358" t="str">
        <f>IF(COUNTIFS('14再エネ電気・熱'!$AT:$AT,ROW())=0,"",ROUND(SUMIFS('14再エネ電気・熱'!$AI:$AI,'14再エネ電気・熱'!$AT:$AT,ROW(),'14再エネ電気・熱'!$BE:$BE,3),0))</f>
        <v/>
      </c>
      <c r="G37" s="347" t="s">
        <v>7</v>
      </c>
      <c r="H37" s="359"/>
      <c r="I37" s="346" t="str">
        <f>IF(COUNTIFS('14再エネ電気・熱'!$AT:$AT,ROW())=0,"",SUMIFS('14再エネ電気・熱'!$AL:$AL,'14再エネ電気・熱'!$AT:$AT,ROW(),'14再エネ電気・熱'!$BE:$BE,3))</f>
        <v/>
      </c>
    </row>
    <row r="38" spans="1:9" ht="30.15" customHeight="1">
      <c r="A38" s="1810"/>
      <c r="B38" s="1778"/>
      <c r="C38" s="1788"/>
      <c r="D38" s="1770"/>
      <c r="E38" s="14" t="s">
        <v>57</v>
      </c>
      <c r="F38" s="358" t="str">
        <f>IF(COUNTIFS('14再エネ電気・熱'!$AT:$AT,ROW())=0,"",ROUND(SUMIFS('14再エネ電気・熱'!$AI:$AI,'14再エネ電気・熱'!$AT:$AT,ROW(),'14再エネ電気・熱'!$BE:$BE,3),0))</f>
        <v/>
      </c>
      <c r="G38" s="347" t="s">
        <v>7</v>
      </c>
      <c r="H38" s="360"/>
      <c r="I38" s="346" t="str">
        <f>IF(COUNTIFS('14再エネ電気・熱'!$AT:$AT,ROW())=0,"",SUMIFS('14再エネ電気・熱'!$AL:$AL,'14再エネ電気・熱'!$AT:$AT,ROW(),'14再エネ電気・熱'!$BE:$BE,3))</f>
        <v/>
      </c>
    </row>
    <row r="39" spans="1:9" ht="30.15" customHeight="1">
      <c r="A39" s="1810"/>
      <c r="B39" s="1778"/>
      <c r="C39" s="1788"/>
      <c r="D39" s="1769" t="s">
        <v>65</v>
      </c>
      <c r="E39" s="14" t="s">
        <v>56</v>
      </c>
      <c r="F39" s="358" t="str">
        <f>IF(COUNTIFS('14再エネ電気・熱'!$AT:$AT,ROW())=0,"",ROUND(SUMIFS('14再エネ電気・熱'!$AI:$AI,'14再エネ電気・熱'!$AT:$AT,ROW(),'14再エネ電気・熱'!$BE:$BE,3),0))</f>
        <v/>
      </c>
      <c r="G39" s="347" t="s">
        <v>7</v>
      </c>
      <c r="H39" s="360"/>
      <c r="I39" s="346" t="str">
        <f>IF(COUNTIFS('14再エネ電気・熱'!$AT:$AT,ROW())=0,"",SUMIFS('14再エネ電気・熱'!$AL:$AL,'14再エネ電気・熱'!$AT:$AT,ROW(),'14再エネ電気・熱'!$BE:$BE,3))</f>
        <v/>
      </c>
    </row>
    <row r="40" spans="1:9" ht="30.15" customHeight="1">
      <c r="A40" s="1810"/>
      <c r="B40" s="1778"/>
      <c r="C40" s="1788"/>
      <c r="D40" s="1770"/>
      <c r="E40" s="14" t="s">
        <v>57</v>
      </c>
      <c r="F40" s="358" t="str">
        <f>IF(COUNTIFS('14再エネ電気・熱'!$AT:$AT,ROW())=0,"",ROUND(SUMIFS('14再エネ電気・熱'!$AI:$AI,'14再エネ電気・熱'!$AT:$AT,ROW(),'14再エネ電気・熱'!$BE:$BE,3),0))</f>
        <v/>
      </c>
      <c r="G40" s="347" t="s">
        <v>7</v>
      </c>
      <c r="H40" s="360"/>
      <c r="I40" s="346" t="str">
        <f>IF(COUNTIFS('14再エネ電気・熱'!$AT:$AT,ROW())=0,"",SUMIFS('14再エネ電気・熱'!$AL:$AL,'14再エネ電気・熱'!$AT:$AT,ROW(),'14再エネ電気・熱'!$BE:$BE,3))</f>
        <v/>
      </c>
    </row>
    <row r="41" spans="1:9" ht="45" customHeight="1">
      <c r="A41" s="1810"/>
      <c r="B41" s="1778"/>
      <c r="C41" s="1789"/>
      <c r="D41" s="1670" t="s">
        <v>186</v>
      </c>
      <c r="E41" s="1671"/>
      <c r="F41" s="358" t="str">
        <f>IF(COUNTIFS('14再エネ電気・熱'!$AT:$AT,ROW())=0,"",ROUND(SUMIFS('14再エネ電気・熱'!$AI:$AI,'14再エネ電気・熱'!$AT:$AT,ROW(),'14再エネ電気・熱'!$BE:$BE,3),0))</f>
        <v/>
      </c>
      <c r="G41" s="347" t="s">
        <v>7</v>
      </c>
      <c r="H41" s="359"/>
      <c r="I41" s="346" t="str">
        <f>IF(COUNTIFS('14再エネ電気・熱'!$AT:$AT,ROW())=0,"",SUMIFS('14再エネ電気・熱'!$AL:$AL,'14再エネ電気・熱'!$AT:$AT,ROW(),'14再エネ電気・熱'!$BE:$BE,3))</f>
        <v/>
      </c>
    </row>
    <row r="42" spans="1:9" ht="35.15" customHeight="1" thickBot="1">
      <c r="A42" s="1810"/>
      <c r="B42" s="1779"/>
      <c r="C42" s="1790" t="s">
        <v>37</v>
      </c>
      <c r="D42" s="1791"/>
      <c r="E42" s="1792"/>
      <c r="F42" s="1793"/>
      <c r="G42" s="1794"/>
      <c r="H42" s="393"/>
      <c r="I42" s="353" t="str">
        <f>IF(COUNT(I33:I41)=0,"",SUM(I33:I41))</f>
        <v/>
      </c>
    </row>
    <row r="43" spans="1:9" ht="35.25" customHeight="1" thickTop="1">
      <c r="A43" s="1810"/>
      <c r="B43" s="1762" t="s">
        <v>274</v>
      </c>
      <c r="C43" s="172" t="s">
        <v>192</v>
      </c>
      <c r="D43" s="1764" t="s">
        <v>190</v>
      </c>
      <c r="E43" s="1765"/>
      <c r="F43" s="392">
        <f>IF(COUNTIFS('13電気・熱_都市ガス'!$AW:$AW,ROW())=0,"",ROUND(SUMIFS('13電気・熱_都市ガス'!$AS:$AS,'13電気・熱_都市ガス'!$AW:$AW,ROW(),'13電気・熱_都市ガス'!$BI:$BI,2),0))</f>
        <v>0</v>
      </c>
      <c r="G43" s="347" t="s">
        <v>38</v>
      </c>
      <c r="H43" s="388"/>
      <c r="I43" s="365">
        <f>IF(COUNTIFS('13電気・熱_都市ガス'!$AW:$AW,ROW())=0,"",SUMIFS('13電気・熱_都市ガス'!$AV:$AV,'13電気・熱_都市ガス'!$AW:$AW,ROW(),'13電気・熱_都市ガス'!$BI:$BI,2))</f>
        <v>0</v>
      </c>
    </row>
    <row r="44" spans="1:9" ht="30" customHeight="1">
      <c r="A44" s="1810"/>
      <c r="B44" s="1762"/>
      <c r="C44" s="1787" t="s">
        <v>189</v>
      </c>
      <c r="D44" s="1769" t="s">
        <v>66</v>
      </c>
      <c r="E44" s="14" t="s">
        <v>56</v>
      </c>
      <c r="F44" s="349">
        <f>IF(COUNTIFS('14再エネ電気・熱'!$AT:$AT,ROW())=0,"",ROUND(SUMIFS('14再エネ電気・熱'!$AI:$AI,'14再エネ電気・熱'!$AT:$AT,ROW(),'14再エネ電気・熱'!$BE:$BE,3),0))</f>
        <v>0</v>
      </c>
      <c r="G44" s="347" t="s">
        <v>38</v>
      </c>
      <c r="H44" s="359"/>
      <c r="I44" s="346">
        <f>IF(COUNTIFS('14再エネ電気・熱'!$AT:$AT,ROW())=0,"",SUMIFS('14再エネ電気・熱'!$AL:$AL,'14再エネ電気・熱'!$AT:$AT,ROW(),'14再エネ電気・熱'!$BE:$BE,3))</f>
        <v>0</v>
      </c>
    </row>
    <row r="45" spans="1:9" ht="30.15" customHeight="1">
      <c r="A45" s="1810"/>
      <c r="B45" s="1762"/>
      <c r="C45" s="1788"/>
      <c r="D45" s="1770"/>
      <c r="E45" s="14" t="s">
        <v>57</v>
      </c>
      <c r="F45" s="343">
        <f>IF(COUNTIFS('14再エネ電気・熱'!$AT:$AT,ROW())=0,"",ROUND(SUMIFS('14再エネ電気・熱'!$AI:$AI,'14再エネ電気・熱'!$AT:$AT,ROW(),'14再エネ電気・熱'!$BE:$BE,3),0))</f>
        <v>0</v>
      </c>
      <c r="G45" s="347" t="s">
        <v>38</v>
      </c>
      <c r="H45" s="360"/>
      <c r="I45" s="346">
        <f>IF(COUNTIFS('14再エネ電気・熱'!$AT:$AT,ROW())=0,"",SUMIFS('14再エネ電気・熱'!$AL:$AL,'14再エネ電気・熱'!$AT:$AT,ROW(),'14再エネ電気・熱'!$BE:$BE,3))</f>
        <v>0</v>
      </c>
    </row>
    <row r="46" spans="1:9" ht="30.15" customHeight="1">
      <c r="A46" s="1810"/>
      <c r="B46" s="1762"/>
      <c r="C46" s="1788"/>
      <c r="D46" s="1769" t="s">
        <v>67</v>
      </c>
      <c r="E46" s="14" t="s">
        <v>56</v>
      </c>
      <c r="F46" s="343" t="str">
        <f>IF(COUNTIFS('14再エネ電気・熱'!$AT:$AT,ROW())=0,"",ROUND(SUMIFS('14再エネ電気・熱'!$AI:$AI,'14再エネ電気・熱'!$AT:$AT,ROW(),'14再エネ電気・熱'!$BE:$BE,3),0))</f>
        <v/>
      </c>
      <c r="G46" s="347" t="s">
        <v>38</v>
      </c>
      <c r="H46" s="360"/>
      <c r="I46" s="346" t="str">
        <f>IF(COUNTIFS('14再エネ電気・熱'!$AT:$AT,ROW())=0,"",SUMIFS('14再エネ電気・熱'!$AL:$AL,'14再エネ電気・熱'!$AT:$AT,ROW(),'14再エネ電気・熱'!$BE:$BE,3))</f>
        <v/>
      </c>
    </row>
    <row r="47" spans="1:9" ht="30.15" customHeight="1">
      <c r="A47" s="1810"/>
      <c r="B47" s="1762"/>
      <c r="C47" s="1788"/>
      <c r="D47" s="1770"/>
      <c r="E47" s="14" t="s">
        <v>57</v>
      </c>
      <c r="F47" s="343" t="str">
        <f>IF(COUNTIFS('14再エネ電気・熱'!$AT:$AT,ROW())=0,"",ROUND(SUMIFS('14再エネ電気・熱'!$AI:$AI,'14再エネ電気・熱'!$AT:$AT,ROW(),'14再エネ電気・熱'!$BE:$BE,3),0))</f>
        <v/>
      </c>
      <c r="G47" s="347" t="s">
        <v>38</v>
      </c>
      <c r="H47" s="360"/>
      <c r="I47" s="346" t="str">
        <f>IF(COUNTIFS('14再エネ電気・熱'!$AT:$AT,ROW())=0,"",SUMIFS('14再エネ電気・熱'!$AL:$AL,'14再エネ電気・熱'!$AT:$AT,ROW(),'14再エネ電気・熱'!$BE:$BE,3))</f>
        <v/>
      </c>
    </row>
    <row r="48" spans="1:9" ht="45" customHeight="1">
      <c r="A48" s="1810"/>
      <c r="B48" s="1762"/>
      <c r="C48" s="1788"/>
      <c r="D48" s="1670" t="s">
        <v>186</v>
      </c>
      <c r="E48" s="1671"/>
      <c r="F48" s="343" t="str">
        <f>IF(COUNTIFS('14再エネ電気・熱'!$AT:$AT,ROW())=0,"",ROUND(SUMIFS('14再エネ電気・熱'!$AI:$AI,'14再エネ電気・熱'!$AT:$AT,ROW(),'14再エネ電気・熱'!$BE:$BE,3),0))</f>
        <v/>
      </c>
      <c r="G48" s="348" t="s">
        <v>38</v>
      </c>
      <c r="H48" s="361"/>
      <c r="I48" s="346" t="str">
        <f>IF(COUNTIFS('14再エネ電気・熱'!$AT:$AT,ROW())=0,"",SUMIFS('14再エネ電気・熱'!$AL:$AL,'14再エネ電気・熱'!$AT:$AT,ROW(),'14再エネ電気・熱'!$BE:$BE,3))</f>
        <v/>
      </c>
    </row>
    <row r="49" spans="1:9" ht="45" customHeight="1">
      <c r="A49" s="1810"/>
      <c r="B49" s="1762"/>
      <c r="C49" s="1789"/>
      <c r="D49" s="1670" t="s">
        <v>187</v>
      </c>
      <c r="E49" s="1671"/>
      <c r="F49" s="343" t="str">
        <f>IF(COUNTIFS('14再エネ電気・熱'!$AT:$AT,ROW())=0,"",ROUND(SUMIFS('14再エネ電気・熱'!$AI:$AI,'14再エネ電気・熱'!$AT:$AT,ROW(),'14再エネ電気・熱'!$BE:$BE,3),0))</f>
        <v/>
      </c>
      <c r="G49" s="347" t="s">
        <v>38</v>
      </c>
      <c r="H49" s="361"/>
      <c r="I49" s="346" t="str">
        <f>IF(COUNTIFS('14再エネ電気・熱'!$AT:$AT,ROW())=0,"",SUMIFS('14再エネ電気・熱'!$AL:$AL,'14再エネ電気・熱'!$AT:$AT,ROW(),'14再エネ電気・熱'!$BE:$BE,3))</f>
        <v/>
      </c>
    </row>
    <row r="50" spans="1:9" ht="35.15" customHeight="1" thickBot="1">
      <c r="A50" s="1811"/>
      <c r="B50" s="1763"/>
      <c r="C50" s="1771" t="s">
        <v>37</v>
      </c>
      <c r="D50" s="1772"/>
      <c r="E50" s="1773"/>
      <c r="F50" s="2008"/>
      <c r="G50" s="2009"/>
      <c r="H50" s="389"/>
      <c r="I50" s="353">
        <f>IF(COUNT(I43:I49)=0,"",SUM(I43:I49))</f>
        <v>0</v>
      </c>
    </row>
    <row r="51" spans="1:9" ht="35.15" customHeight="1" thickTop="1">
      <c r="A51" s="15"/>
      <c r="B51" s="16"/>
      <c r="C51" s="17"/>
      <c r="D51" s="17"/>
      <c r="E51" s="17"/>
      <c r="F51" s="18"/>
      <c r="G51" s="18"/>
      <c r="H51" s="110"/>
      <c r="I51" s="110" t="s">
        <v>268</v>
      </c>
    </row>
    <row r="52" spans="1:9" ht="35.15" customHeight="1" thickBot="1">
      <c r="A52" s="4" t="s">
        <v>266</v>
      </c>
      <c r="B52" s="21"/>
      <c r="C52" s="22"/>
      <c r="D52" s="22"/>
      <c r="E52" s="22"/>
      <c r="F52" s="23"/>
      <c r="G52" s="23"/>
      <c r="H52" s="24"/>
      <c r="I52" s="24"/>
    </row>
    <row r="53" spans="1:9" ht="51.75" customHeight="1">
      <c r="A53" s="1737" t="s">
        <v>265</v>
      </c>
      <c r="B53" s="1711" t="s">
        <v>1</v>
      </c>
      <c r="C53" s="1740"/>
      <c r="D53" s="1740"/>
      <c r="E53" s="1717"/>
      <c r="F53" s="1808" t="s">
        <v>262</v>
      </c>
      <c r="G53" s="1743"/>
      <c r="H53" s="8" t="s">
        <v>2</v>
      </c>
      <c r="I53" s="116" t="s">
        <v>3</v>
      </c>
    </row>
    <row r="54" spans="1:9" ht="20" thickBot="1">
      <c r="A54" s="1738"/>
      <c r="B54" s="1713"/>
      <c r="C54" s="1741"/>
      <c r="D54" s="1741"/>
      <c r="E54" s="1718"/>
      <c r="F54" s="27"/>
      <c r="G54" s="28"/>
      <c r="H54" s="29" t="s">
        <v>7</v>
      </c>
      <c r="I54" s="31" t="s">
        <v>177</v>
      </c>
    </row>
    <row r="55" spans="1:9" ht="30.15" customHeight="1" thickTop="1">
      <c r="A55" s="1738"/>
      <c r="B55" s="1744" t="s">
        <v>39</v>
      </c>
      <c r="C55" s="1746" t="s">
        <v>40</v>
      </c>
      <c r="D55" s="1747"/>
      <c r="E55" s="1748"/>
      <c r="F55" s="398" t="str">
        <f>IF(COUNTIFS('13電気・熱_都市ガス'!$AW:$AW,ROW())=0,"",ROUND(SUMIFS('13電気・熱_都市ガス'!$AS:$AS,'13電気・熱_都市ガス'!$AW:$AW,ROW(),'13電気・熱_都市ガス'!$BI:$BI,2),0))</f>
        <v/>
      </c>
      <c r="G55" s="355" t="s">
        <v>7</v>
      </c>
      <c r="H55" s="388"/>
      <c r="I55" s="357" t="str">
        <f>IF(COUNTIFS('13電気・熱_都市ガス'!$AW:$AW,ROW())=0,"",SUMIFS('13電気・熱_都市ガス'!$AV:$AV,'13電気・熱_都市ガス'!$AW:$AW,ROW(),'13電気・熱_都市ガス'!$BI:$BI,2))</f>
        <v/>
      </c>
    </row>
    <row r="56" spans="1:9" ht="30.15" customHeight="1">
      <c r="A56" s="1738"/>
      <c r="B56" s="1745"/>
      <c r="C56" s="1749" t="s">
        <v>41</v>
      </c>
      <c r="D56" s="1726"/>
      <c r="E56" s="1727"/>
      <c r="F56" s="349" t="str">
        <f>IF(COUNTIFS('13電気・熱_都市ガス'!$AW:$AW,ROW())=0,"",ROUND(SUMIFS('13電気・熱_都市ガス'!$AS:$AS,'13電気・熱_都市ガス'!$AW:$AW,ROW(),'13電気・熱_都市ガス'!$BI:$BI,2),0))</f>
        <v/>
      </c>
      <c r="G56" s="347" t="s">
        <v>38</v>
      </c>
      <c r="H56" s="359"/>
      <c r="I56" s="365" t="str">
        <f>IF(COUNTIFS('13電気・熱_都市ガス'!$AW:$AW,ROW())=0,"",SUMIFS('13電気・熱_都市ガス'!$AV:$AV,'13電気・熱_都市ガス'!$AW:$AW,ROW(),'13電気・熱_都市ガス'!$BI:$BI,2))</f>
        <v/>
      </c>
    </row>
    <row r="57" spans="1:9" ht="31.5" customHeight="1" thickBot="1">
      <c r="A57" s="1738"/>
      <c r="B57" s="2005"/>
      <c r="C57" s="1750" t="s">
        <v>37</v>
      </c>
      <c r="D57" s="1731"/>
      <c r="E57" s="1732"/>
      <c r="F57" s="2006"/>
      <c r="G57" s="2007"/>
      <c r="H57" s="399"/>
      <c r="I57" s="353" t="str">
        <f>IF(COUNT(I55:I56)=0,"",SUM(I55:I56))</f>
        <v/>
      </c>
    </row>
    <row r="58" spans="1:9" ht="39.9" customHeight="1" thickTop="1" thickBot="1">
      <c r="A58" s="1739"/>
      <c r="B58" s="2000" t="s">
        <v>42</v>
      </c>
      <c r="C58" s="2001"/>
      <c r="D58" s="2001"/>
      <c r="E58" s="2002"/>
      <c r="F58" s="2003"/>
      <c r="G58" s="2004"/>
      <c r="H58" s="501"/>
      <c r="I58" s="387">
        <f>IF(COUNT(I32,I42,I50,I57)=0,"",IF(SUM(I32,I42,I50,I57)&lt;0,0,SUM(I32,I42,I50,I57)))</f>
        <v>0</v>
      </c>
    </row>
    <row r="60" spans="1:9" ht="18.75" customHeight="1"/>
    <row r="62" spans="1:9" ht="22.5">
      <c r="I62" s="499"/>
    </row>
  </sheetData>
  <sheetProtection algorithmName="SHA-512" hashValue="Hty+HwhzFLDh0MH2t0ArMwgdH2xPrrVX58uqmpbm/MDc7zRrOUwABAyUq1Wg69QbmhrpqGM7pCLG3rcOfHnysQ==" saltValue="bSvow9CzMx4nv1tmnawhLQ==" spinCount="100000" sheet="1" objects="1" scenarios="1"/>
  <mergeCells count="68">
    <mergeCell ref="B58:E58"/>
    <mergeCell ref="F58:G58"/>
    <mergeCell ref="F50:G50"/>
    <mergeCell ref="A53:A58"/>
    <mergeCell ref="B53:E54"/>
    <mergeCell ref="F53:G53"/>
    <mergeCell ref="B55:B57"/>
    <mergeCell ref="C55:E55"/>
    <mergeCell ref="C56:E56"/>
    <mergeCell ref="C57:E57"/>
    <mergeCell ref="F57:G57"/>
    <mergeCell ref="C42:E42"/>
    <mergeCell ref="F42:G42"/>
    <mergeCell ref="B43:B50"/>
    <mergeCell ref="D43:E43"/>
    <mergeCell ref="C44:C49"/>
    <mergeCell ref="D44:D45"/>
    <mergeCell ref="D46:D47"/>
    <mergeCell ref="D48:E48"/>
    <mergeCell ref="D49:E49"/>
    <mergeCell ref="C50:E50"/>
    <mergeCell ref="B33:B42"/>
    <mergeCell ref="C33:C36"/>
    <mergeCell ref="D33:E33"/>
    <mergeCell ref="D34:E34"/>
    <mergeCell ref="D35:E35"/>
    <mergeCell ref="D36:E36"/>
    <mergeCell ref="C37:C41"/>
    <mergeCell ref="D37:D38"/>
    <mergeCell ref="D39:D40"/>
    <mergeCell ref="D41:E41"/>
    <mergeCell ref="C29:E29"/>
    <mergeCell ref="C30:C31"/>
    <mergeCell ref="D30:E30"/>
    <mergeCell ref="D31:E31"/>
    <mergeCell ref="C32:E32"/>
    <mergeCell ref="C20:C22"/>
    <mergeCell ref="D20:E20"/>
    <mergeCell ref="D21:E21"/>
    <mergeCell ref="D22:E22"/>
    <mergeCell ref="F32:G32"/>
    <mergeCell ref="C23:E23"/>
    <mergeCell ref="C24:E24"/>
    <mergeCell ref="C25:E25"/>
    <mergeCell ref="C26:E26"/>
    <mergeCell ref="C27:E27"/>
    <mergeCell ref="C28:E28"/>
    <mergeCell ref="A2:E2"/>
    <mergeCell ref="B4:E5"/>
    <mergeCell ref="C11:E11"/>
    <mergeCell ref="C12:E12"/>
    <mergeCell ref="C13:E13"/>
    <mergeCell ref="F4:G4"/>
    <mergeCell ref="A6:A50"/>
    <mergeCell ref="B6:B31"/>
    <mergeCell ref="C6:E6"/>
    <mergeCell ref="C7:E7"/>
    <mergeCell ref="C8:E8"/>
    <mergeCell ref="C9:E9"/>
    <mergeCell ref="C10:E10"/>
    <mergeCell ref="C16:C17"/>
    <mergeCell ref="D16:E16"/>
    <mergeCell ref="D17:E17"/>
    <mergeCell ref="C14:E14"/>
    <mergeCell ref="C15:E15"/>
    <mergeCell ref="C18:C19"/>
    <mergeCell ref="D18:E18"/>
    <mergeCell ref="D19:E19"/>
  </mergeCells>
  <phoneticPr fontId="5"/>
  <pageMargins left="0.78740157480314965" right="0.59055118110236227" top="0.78740157480314965" bottom="0.59055118110236227" header="0.31496062992125984" footer="0.31496062992125984"/>
  <pageSetup paperSize="9" scale="47" fitToHeight="0" orientation="portrait" r:id="rId1"/>
  <headerFooter>
    <oddHeader>&amp;R&amp;8ver.4.01</oddHeader>
  </headerFooter>
  <rowBreaks count="1" manualBreakCount="1">
    <brk id="5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0" tint="-0.14999847407452621"/>
  </sheetPr>
  <dimension ref="A1:Y41"/>
  <sheetViews>
    <sheetView topLeftCell="R1" zoomScaleNormal="100" workbookViewId="0">
      <selection activeCell="X28" sqref="X28"/>
    </sheetView>
  </sheetViews>
  <sheetFormatPr defaultColWidth="9" defaultRowHeight="18"/>
  <cols>
    <col min="2" max="2" width="3" customWidth="1"/>
    <col min="3" max="3" width="34.9140625" customWidth="1"/>
    <col min="4" max="5" width="4.58203125" customWidth="1"/>
    <col min="6" max="6" width="40" bestFit="1" customWidth="1"/>
    <col min="7" max="8" width="4.58203125" customWidth="1"/>
    <col min="9" max="9" width="59.58203125" bestFit="1" customWidth="1"/>
    <col min="10" max="10" width="4.58203125" customWidth="1"/>
    <col min="11" max="11" width="48.08203125" bestFit="1" customWidth="1"/>
    <col min="12" max="13" width="4.58203125" customWidth="1"/>
    <col min="14" max="14" width="58" customWidth="1"/>
    <col min="15" max="15" width="4.58203125" customWidth="1"/>
    <col min="16" max="16" width="55.58203125" customWidth="1"/>
    <col min="17" max="17" width="4.58203125" customWidth="1"/>
    <col min="18" max="18" width="35" bestFit="1" customWidth="1"/>
    <col min="19" max="19" width="4.58203125" customWidth="1"/>
    <col min="20" max="20" width="21.4140625" bestFit="1" customWidth="1"/>
    <col min="21" max="21" width="4.4140625" customWidth="1"/>
    <col min="22" max="22" width="46.5" customWidth="1"/>
    <col min="24" max="24" width="31.9140625" bestFit="1" customWidth="1"/>
    <col min="25" max="25" width="32.4140625" bestFit="1" customWidth="1"/>
  </cols>
  <sheetData>
    <row r="1" spans="1:25">
      <c r="A1" s="144" t="s">
        <v>328</v>
      </c>
      <c r="C1" s="144" t="s">
        <v>360</v>
      </c>
      <c r="F1" s="144" t="s">
        <v>360</v>
      </c>
      <c r="I1" s="144" t="s">
        <v>361</v>
      </c>
      <c r="K1" s="144" t="s">
        <v>361</v>
      </c>
      <c r="N1" s="144" t="s">
        <v>1466</v>
      </c>
      <c r="P1" s="332" t="s">
        <v>1466</v>
      </c>
      <c r="R1" s="144" t="s">
        <v>1466</v>
      </c>
      <c r="T1" s="144" t="s">
        <v>1466</v>
      </c>
      <c r="V1" s="144" t="s">
        <v>1604</v>
      </c>
    </row>
    <row r="2" spans="1:25">
      <c r="A2" s="146" t="s">
        <v>329</v>
      </c>
      <c r="C2" s="146" t="s">
        <v>1469</v>
      </c>
      <c r="F2" s="146" t="s">
        <v>1471</v>
      </c>
      <c r="I2" s="146" t="s">
        <v>1469</v>
      </c>
      <c r="K2" s="146" t="s">
        <v>1468</v>
      </c>
      <c r="N2" s="146" t="s">
        <v>1947</v>
      </c>
      <c r="P2" s="146" t="s">
        <v>1949</v>
      </c>
      <c r="R2" s="146" t="s">
        <v>1488</v>
      </c>
      <c r="T2" s="146" t="s">
        <v>1500</v>
      </c>
      <c r="V2" s="146" t="s">
        <v>1605</v>
      </c>
      <c r="X2" s="572" t="s">
        <v>221</v>
      </c>
      <c r="Y2" s="572" t="s">
        <v>2030</v>
      </c>
    </row>
    <row r="3" spans="1:25">
      <c r="C3" t="s">
        <v>330</v>
      </c>
      <c r="F3" t="s">
        <v>340</v>
      </c>
      <c r="I3" t="s">
        <v>1467</v>
      </c>
      <c r="K3" t="s">
        <v>1487</v>
      </c>
      <c r="N3" t="s">
        <v>1476</v>
      </c>
      <c r="P3" t="s">
        <v>1484</v>
      </c>
      <c r="R3" t="s">
        <v>1489</v>
      </c>
      <c r="T3" t="s">
        <v>1501</v>
      </c>
      <c r="V3" t="s">
        <v>59</v>
      </c>
      <c r="X3" s="120" t="s">
        <v>1489</v>
      </c>
      <c r="Y3" s="120">
        <v>1</v>
      </c>
    </row>
    <row r="4" spans="1:25">
      <c r="F4" t="s">
        <v>341</v>
      </c>
      <c r="I4" t="s">
        <v>1476</v>
      </c>
      <c r="K4" t="s">
        <v>1892</v>
      </c>
      <c r="N4" t="s">
        <v>383</v>
      </c>
      <c r="P4" t="s">
        <v>1485</v>
      </c>
      <c r="R4" t="s">
        <v>1490</v>
      </c>
      <c r="T4" t="s">
        <v>1502</v>
      </c>
      <c r="V4" t="s">
        <v>1602</v>
      </c>
      <c r="X4" s="120" t="s">
        <v>1490</v>
      </c>
      <c r="Y4" s="120">
        <v>2</v>
      </c>
    </row>
    <row r="5" spans="1:25">
      <c r="C5" s="146" t="s">
        <v>1470</v>
      </c>
      <c r="F5" t="s">
        <v>342</v>
      </c>
      <c r="I5" t="s">
        <v>383</v>
      </c>
      <c r="P5" t="s">
        <v>1486</v>
      </c>
      <c r="R5" t="s">
        <v>1491</v>
      </c>
      <c r="T5" t="s">
        <v>1503</v>
      </c>
      <c r="V5" t="s">
        <v>60</v>
      </c>
      <c r="X5" s="120" t="s">
        <v>1491</v>
      </c>
      <c r="Y5" s="120">
        <v>3</v>
      </c>
    </row>
    <row r="6" spans="1:25">
      <c r="C6" t="s">
        <v>331</v>
      </c>
      <c r="F6" t="s">
        <v>250</v>
      </c>
      <c r="I6" t="s">
        <v>362</v>
      </c>
      <c r="K6" s="146" t="s">
        <v>1477</v>
      </c>
      <c r="R6" t="s">
        <v>1492</v>
      </c>
      <c r="T6" t="s">
        <v>1504</v>
      </c>
      <c r="V6" t="s">
        <v>1983</v>
      </c>
      <c r="X6" s="120" t="s">
        <v>1492</v>
      </c>
      <c r="Y6" s="120">
        <v>4</v>
      </c>
    </row>
    <row r="7" spans="1:25">
      <c r="C7" t="s">
        <v>332</v>
      </c>
      <c r="F7" t="s">
        <v>14</v>
      </c>
      <c r="K7" t="s">
        <v>2019</v>
      </c>
      <c r="N7" s="146" t="s">
        <v>1946</v>
      </c>
      <c r="P7" s="146" t="s">
        <v>1948</v>
      </c>
      <c r="R7" t="s">
        <v>1495</v>
      </c>
      <c r="T7" t="s">
        <v>1505</v>
      </c>
      <c r="V7" s="340" t="s">
        <v>1980</v>
      </c>
      <c r="X7" s="120" t="s">
        <v>2031</v>
      </c>
      <c r="Y7" s="120">
        <v>5</v>
      </c>
    </row>
    <row r="8" spans="1:25">
      <c r="C8" t="s">
        <v>333</v>
      </c>
      <c r="F8" t="s">
        <v>15</v>
      </c>
      <c r="I8" s="146" t="s">
        <v>1470</v>
      </c>
      <c r="N8" t="s">
        <v>1467</v>
      </c>
      <c r="P8" t="s">
        <v>1480</v>
      </c>
      <c r="R8" t="s">
        <v>1493</v>
      </c>
      <c r="T8" t="s">
        <v>1506</v>
      </c>
      <c r="V8" s="340" t="s">
        <v>1981</v>
      </c>
      <c r="X8" s="120" t="s">
        <v>1493</v>
      </c>
      <c r="Y8" s="120">
        <v>6</v>
      </c>
    </row>
    <row r="9" spans="1:25">
      <c r="C9" t="s">
        <v>334</v>
      </c>
      <c r="F9" t="s">
        <v>16</v>
      </c>
      <c r="I9" t="s">
        <v>331</v>
      </c>
      <c r="K9" s="146" t="s">
        <v>1472</v>
      </c>
      <c r="N9" t="s">
        <v>383</v>
      </c>
      <c r="P9" t="s">
        <v>1481</v>
      </c>
      <c r="R9" t="s">
        <v>1494</v>
      </c>
      <c r="T9" t="s">
        <v>1507</v>
      </c>
      <c r="X9" s="120" t="s">
        <v>1494</v>
      </c>
      <c r="Y9" s="120">
        <v>7</v>
      </c>
    </row>
    <row r="10" spans="1:25">
      <c r="F10" t="s">
        <v>17</v>
      </c>
      <c r="I10" t="s">
        <v>332</v>
      </c>
      <c r="K10" t="s">
        <v>1480</v>
      </c>
      <c r="P10" t="s">
        <v>1482</v>
      </c>
      <c r="R10" t="s">
        <v>1496</v>
      </c>
      <c r="V10" s="146" t="s">
        <v>2015</v>
      </c>
      <c r="X10" s="120" t="s">
        <v>1496</v>
      </c>
      <c r="Y10" s="120">
        <v>8</v>
      </c>
    </row>
    <row r="11" spans="1:25">
      <c r="F11" t="s">
        <v>18</v>
      </c>
      <c r="I11" t="s">
        <v>333</v>
      </c>
      <c r="K11" t="s">
        <v>1481</v>
      </c>
      <c r="N11" s="146" t="s">
        <v>1478</v>
      </c>
      <c r="P11" t="s">
        <v>1483</v>
      </c>
      <c r="R11" t="s">
        <v>1497</v>
      </c>
      <c r="V11" t="s">
        <v>59</v>
      </c>
      <c r="X11" s="120" t="s">
        <v>1497</v>
      </c>
      <c r="Y11" s="120">
        <v>9</v>
      </c>
    </row>
    <row r="12" spans="1:25">
      <c r="F12" t="s">
        <v>20</v>
      </c>
      <c r="I12" t="s">
        <v>334</v>
      </c>
      <c r="K12" t="s">
        <v>1482</v>
      </c>
      <c r="N12" t="s">
        <v>1956</v>
      </c>
      <c r="R12" t="s">
        <v>1498</v>
      </c>
      <c r="V12" t="s">
        <v>60</v>
      </c>
      <c r="X12" s="120" t="s">
        <v>1498</v>
      </c>
      <c r="Y12" s="120">
        <v>10</v>
      </c>
    </row>
    <row r="13" spans="1:25">
      <c r="F13" t="s">
        <v>336</v>
      </c>
      <c r="I13" t="s">
        <v>352</v>
      </c>
      <c r="K13" t="s">
        <v>1483</v>
      </c>
      <c r="N13" t="s">
        <v>1957</v>
      </c>
      <c r="P13" s="333" t="s">
        <v>1950</v>
      </c>
      <c r="R13" t="s">
        <v>1499</v>
      </c>
      <c r="V13" t="s">
        <v>1983</v>
      </c>
      <c r="X13" s="120" t="s">
        <v>1499</v>
      </c>
      <c r="Y13" s="120">
        <v>11</v>
      </c>
    </row>
    <row r="14" spans="1:25">
      <c r="F14" t="s">
        <v>337</v>
      </c>
      <c r="N14" t="s">
        <v>1958</v>
      </c>
      <c r="P14" t="s">
        <v>1479</v>
      </c>
      <c r="R14" t="s">
        <v>1666</v>
      </c>
      <c r="V14" s="340" t="s">
        <v>1980</v>
      </c>
      <c r="X14" s="120" t="s">
        <v>1666</v>
      </c>
      <c r="Y14" s="120">
        <v>12</v>
      </c>
    </row>
    <row r="15" spans="1:25">
      <c r="F15" t="s">
        <v>338</v>
      </c>
      <c r="K15" s="146" t="s">
        <v>1473</v>
      </c>
      <c r="N15" t="s">
        <v>1959</v>
      </c>
      <c r="P15" t="s">
        <v>1663</v>
      </c>
      <c r="V15" s="340" t="s">
        <v>1981</v>
      </c>
    </row>
    <row r="16" spans="1:25">
      <c r="F16" t="s">
        <v>339</v>
      </c>
      <c r="K16" t="s">
        <v>211</v>
      </c>
      <c r="N16" t="s">
        <v>1960</v>
      </c>
      <c r="P16" t="s">
        <v>1664</v>
      </c>
    </row>
    <row r="17" spans="6:25">
      <c r="F17" t="s">
        <v>23</v>
      </c>
      <c r="N17" t="s">
        <v>1965</v>
      </c>
      <c r="P17" t="s">
        <v>1931</v>
      </c>
      <c r="V17" s="146" t="s">
        <v>2016</v>
      </c>
      <c r="X17" s="573" t="s">
        <v>1500</v>
      </c>
      <c r="Y17" s="572" t="s">
        <v>2032</v>
      </c>
    </row>
    <row r="18" spans="6:25">
      <c r="F18" t="s">
        <v>343</v>
      </c>
      <c r="K18" s="146" t="s">
        <v>1474</v>
      </c>
      <c r="N18" t="s">
        <v>1961</v>
      </c>
      <c r="V18" t="s">
        <v>1602</v>
      </c>
      <c r="X18" s="120" t="s">
        <v>1501</v>
      </c>
      <c r="Y18" s="120">
        <v>1</v>
      </c>
    </row>
    <row r="19" spans="6:25">
      <c r="F19" t="s">
        <v>26</v>
      </c>
      <c r="K19" t="s">
        <v>1487</v>
      </c>
      <c r="N19" t="s">
        <v>1962</v>
      </c>
      <c r="P19" s="146" t="s">
        <v>1951</v>
      </c>
      <c r="V19" s="340" t="s">
        <v>1980</v>
      </c>
      <c r="X19" s="120" t="s">
        <v>1502</v>
      </c>
      <c r="Y19" s="120">
        <v>2</v>
      </c>
    </row>
    <row r="20" spans="6:25">
      <c r="F20" t="s">
        <v>344</v>
      </c>
      <c r="K20" t="s">
        <v>1892</v>
      </c>
      <c r="P20" t="s">
        <v>1480</v>
      </c>
      <c r="V20" s="340" t="s">
        <v>1981</v>
      </c>
      <c r="X20" s="120" t="s">
        <v>1503</v>
      </c>
      <c r="Y20" s="120">
        <v>3</v>
      </c>
    </row>
    <row r="21" spans="6:25">
      <c r="F21" t="s">
        <v>345</v>
      </c>
      <c r="K21" t="s">
        <v>2019</v>
      </c>
      <c r="P21" t="s">
        <v>1481</v>
      </c>
      <c r="X21" s="120" t="s">
        <v>1504</v>
      </c>
      <c r="Y21" s="120">
        <v>4</v>
      </c>
    </row>
    <row r="22" spans="6:25">
      <c r="F22" t="s">
        <v>346</v>
      </c>
      <c r="K22" t="s">
        <v>1480</v>
      </c>
      <c r="P22" t="s">
        <v>1482</v>
      </c>
      <c r="V22" s="146" t="s">
        <v>2017</v>
      </c>
      <c r="X22" s="120" t="s">
        <v>1505</v>
      </c>
      <c r="Y22" s="120">
        <v>5</v>
      </c>
    </row>
    <row r="23" spans="6:25">
      <c r="F23" t="s">
        <v>347</v>
      </c>
      <c r="K23" t="s">
        <v>1481</v>
      </c>
      <c r="P23" t="s">
        <v>1483</v>
      </c>
      <c r="V23" s="340" t="s">
        <v>1980</v>
      </c>
      <c r="X23" s="120" t="s">
        <v>1506</v>
      </c>
      <c r="Y23" s="120">
        <v>6</v>
      </c>
    </row>
    <row r="24" spans="6:25">
      <c r="F24" t="s">
        <v>348</v>
      </c>
      <c r="K24" t="s">
        <v>1482</v>
      </c>
      <c r="V24" s="340" t="s">
        <v>1981</v>
      </c>
      <c r="X24" s="120" t="s">
        <v>1507</v>
      </c>
      <c r="Y24" s="120">
        <v>7</v>
      </c>
    </row>
    <row r="25" spans="6:25">
      <c r="F25" t="s">
        <v>349</v>
      </c>
      <c r="K25" t="s">
        <v>1483</v>
      </c>
      <c r="P25" s="146" t="s">
        <v>1963</v>
      </c>
    </row>
    <row r="26" spans="6:25">
      <c r="F26" t="s">
        <v>27</v>
      </c>
      <c r="K26" t="s">
        <v>363</v>
      </c>
      <c r="P26" t="s">
        <v>1484</v>
      </c>
    </row>
    <row r="27" spans="6:25">
      <c r="F27" t="s">
        <v>305</v>
      </c>
      <c r="P27" t="s">
        <v>1485</v>
      </c>
    </row>
    <row r="28" spans="6:25">
      <c r="F28" t="s">
        <v>335</v>
      </c>
      <c r="K28" s="146" t="s">
        <v>1475</v>
      </c>
      <c r="P28" t="s">
        <v>1486</v>
      </c>
    </row>
    <row r="29" spans="6:25">
      <c r="F29" t="s">
        <v>350</v>
      </c>
      <c r="K29" t="s">
        <v>1654</v>
      </c>
      <c r="P29" t="s">
        <v>1480</v>
      </c>
    </row>
    <row r="30" spans="6:25">
      <c r="F30" t="s">
        <v>351</v>
      </c>
      <c r="K30" t="s">
        <v>1653</v>
      </c>
      <c r="P30" t="s">
        <v>1481</v>
      </c>
    </row>
    <row r="31" spans="6:25">
      <c r="F31" t="s">
        <v>30</v>
      </c>
      <c r="P31" t="s">
        <v>1482</v>
      </c>
    </row>
    <row r="32" spans="6:25">
      <c r="F32" t="s">
        <v>50</v>
      </c>
      <c r="P32" t="s">
        <v>1483</v>
      </c>
    </row>
    <row r="33" spans="6:16">
      <c r="F33" t="str">
        <f>IF('0.事業所概要'!J25="","その他の燃料①",'0.事業所概要'!J25)</f>
        <v>その他の燃料①</v>
      </c>
    </row>
    <row r="34" spans="6:16">
      <c r="F34" t="str">
        <f>IF('0.事業所概要'!J26="","その他の燃料②",'0.事業所概要'!J26)</f>
        <v>その他の燃料②</v>
      </c>
      <c r="P34" s="146" t="s">
        <v>1964</v>
      </c>
    </row>
    <row r="35" spans="6:16">
      <c r="P35" t="s">
        <v>1479</v>
      </c>
    </row>
    <row r="36" spans="6:16">
      <c r="P36" t="s">
        <v>1663</v>
      </c>
    </row>
    <row r="37" spans="6:16">
      <c r="P37" t="s">
        <v>1664</v>
      </c>
    </row>
    <row r="38" spans="6:16">
      <c r="P38" t="s">
        <v>1480</v>
      </c>
    </row>
    <row r="39" spans="6:16">
      <c r="P39" t="s">
        <v>1481</v>
      </c>
    </row>
    <row r="40" spans="6:16">
      <c r="P40" t="s">
        <v>1482</v>
      </c>
    </row>
    <row r="41" spans="6:16">
      <c r="P41" t="s">
        <v>1483</v>
      </c>
    </row>
  </sheetData>
  <sheetProtection algorithmName="SHA-512" hashValue="0NnRYwAqTOR5lDMNRQ3/xHeAHig0mo687lz65qSiBcW+IEMejZw56J/J7Sym/c44uMKgzyfp22wmoRDWljb2qA==" saltValue="irtUbmq4H+1mZgkQpVIP7g==" spinCount="100000" sheet="1" objects="1" scenarios="1"/>
  <phoneticPr fontId="5"/>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0" tint="-0.14999847407452621"/>
  </sheetPr>
  <dimension ref="A1:AG33"/>
  <sheetViews>
    <sheetView zoomScaleNormal="100" workbookViewId="0">
      <selection activeCell="D15" sqref="D15"/>
    </sheetView>
  </sheetViews>
  <sheetFormatPr defaultColWidth="9" defaultRowHeight="18"/>
  <cols>
    <col min="2" max="2" width="4.58203125" customWidth="1"/>
    <col min="3" max="3" width="20.4140625" bestFit="1" customWidth="1"/>
    <col min="4" max="4" width="4.58203125" customWidth="1"/>
    <col min="5" max="5" width="20.4140625" bestFit="1" customWidth="1"/>
    <col min="6" max="6" width="4.58203125" customWidth="1"/>
    <col min="7" max="7" width="20.4140625" bestFit="1" customWidth="1"/>
    <col min="8" max="8" width="5.58203125" customWidth="1"/>
    <col min="9" max="9" width="23" bestFit="1" customWidth="1"/>
    <col min="10" max="10" width="4.58203125" customWidth="1"/>
    <col min="11" max="11" width="13" bestFit="1" customWidth="1"/>
    <col min="12" max="12" width="4.58203125" customWidth="1"/>
    <col min="13" max="13" width="17.1640625" bestFit="1" customWidth="1"/>
    <col min="14" max="14" width="4.58203125" customWidth="1"/>
    <col min="15" max="15" width="27" customWidth="1"/>
    <col min="16" max="16" width="4.58203125" customWidth="1"/>
    <col min="17" max="17" width="22.6640625" customWidth="1"/>
    <col min="18" max="18" width="4.58203125" customWidth="1"/>
    <col min="19" max="19" width="19.1640625" bestFit="1" customWidth="1"/>
    <col min="20" max="20" width="4.58203125" customWidth="1"/>
    <col min="21" max="21" width="29.58203125" bestFit="1" customWidth="1"/>
    <col min="22" max="22" width="4.58203125" customWidth="1"/>
    <col min="23" max="23" width="23.5" bestFit="1" customWidth="1"/>
    <col min="24" max="24" width="4.58203125" customWidth="1"/>
    <col min="25" max="25" width="29.1640625" bestFit="1" customWidth="1"/>
    <col min="26" max="26" width="4.58203125" customWidth="1"/>
    <col min="27" max="27" width="16" bestFit="1" customWidth="1"/>
    <col min="28" max="28" width="4.58203125" customWidth="1"/>
    <col min="29" max="29" width="34.9140625" customWidth="1"/>
    <col min="31" max="31" width="28.9140625" customWidth="1"/>
    <col min="33" max="33" width="25.58203125" customWidth="1"/>
  </cols>
  <sheetData>
    <row r="1" spans="1:33" s="340" customFormat="1" ht="54">
      <c r="A1" s="145" t="s">
        <v>328</v>
      </c>
      <c r="C1" s="145" t="s">
        <v>317</v>
      </c>
      <c r="E1" s="145" t="s">
        <v>317</v>
      </c>
      <c r="G1" s="145" t="s">
        <v>317</v>
      </c>
      <c r="I1" s="145" t="s">
        <v>316</v>
      </c>
      <c r="K1" s="145" t="s">
        <v>323</v>
      </c>
      <c r="M1" s="145" t="s">
        <v>323</v>
      </c>
      <c r="O1" s="145" t="s">
        <v>1529</v>
      </c>
      <c r="Q1" s="145" t="s">
        <v>1929</v>
      </c>
      <c r="S1" s="145" t="s">
        <v>361</v>
      </c>
      <c r="U1" s="145" t="s">
        <v>361</v>
      </c>
      <c r="W1" s="145" t="s">
        <v>1465</v>
      </c>
      <c r="Y1" s="145" t="s">
        <v>1466</v>
      </c>
      <c r="AA1" s="145" t="s">
        <v>1466</v>
      </c>
      <c r="AC1" s="145" t="s">
        <v>1466</v>
      </c>
      <c r="AE1" s="145" t="s">
        <v>1466</v>
      </c>
      <c r="AG1" s="145" t="s">
        <v>1529</v>
      </c>
    </row>
    <row r="2" spans="1:33">
      <c r="A2" s="146" t="s">
        <v>329</v>
      </c>
      <c r="C2" s="146" t="s">
        <v>287</v>
      </c>
      <c r="E2" s="146" t="s">
        <v>288</v>
      </c>
      <c r="G2" s="146" t="s">
        <v>290</v>
      </c>
      <c r="I2" s="146" t="s">
        <v>318</v>
      </c>
      <c r="K2" s="146" t="s">
        <v>324</v>
      </c>
      <c r="M2" s="146" t="s">
        <v>325</v>
      </c>
      <c r="O2" s="146" t="s">
        <v>1462</v>
      </c>
      <c r="Q2" s="146" t="s">
        <v>366</v>
      </c>
      <c r="S2" s="146" t="s">
        <v>1459</v>
      </c>
      <c r="U2" s="146" t="s">
        <v>1522</v>
      </c>
      <c r="W2" s="146" t="s">
        <v>1524</v>
      </c>
      <c r="Y2" s="146" t="s">
        <v>1525</v>
      </c>
      <c r="AA2" s="146" t="s">
        <v>1508</v>
      </c>
      <c r="AC2" s="146" t="s">
        <v>1526</v>
      </c>
      <c r="AE2" s="146" t="s">
        <v>1930</v>
      </c>
      <c r="AG2" s="146" t="s">
        <v>2022</v>
      </c>
    </row>
    <row r="3" spans="1:33">
      <c r="C3" s="113" t="s">
        <v>286</v>
      </c>
      <c r="E3" t="s">
        <v>296</v>
      </c>
      <c r="G3" t="s">
        <v>291</v>
      </c>
      <c r="I3" s="114" t="s">
        <v>241</v>
      </c>
      <c r="K3" t="s">
        <v>320</v>
      </c>
      <c r="M3" t="s">
        <v>326</v>
      </c>
      <c r="O3" t="s">
        <v>364</v>
      </c>
      <c r="Q3" t="s">
        <v>367</v>
      </c>
      <c r="S3" t="s">
        <v>364</v>
      </c>
      <c r="U3" t="s">
        <v>1460</v>
      </c>
      <c r="W3" t="s">
        <v>1463</v>
      </c>
      <c r="Y3" t="s">
        <v>364</v>
      </c>
      <c r="AA3" t="s">
        <v>364</v>
      </c>
      <c r="AC3" t="s">
        <v>1936</v>
      </c>
      <c r="AE3" t="s">
        <v>367</v>
      </c>
      <c r="AG3" s="507"/>
    </row>
    <row r="4" spans="1:33">
      <c r="C4" s="113" t="s">
        <v>2463</v>
      </c>
      <c r="E4" t="s">
        <v>289</v>
      </c>
      <c r="G4" t="s">
        <v>292</v>
      </c>
      <c r="I4" s="114" t="s">
        <v>242</v>
      </c>
      <c r="K4" t="s">
        <v>321</v>
      </c>
      <c r="M4" t="s">
        <v>327</v>
      </c>
      <c r="O4" t="s">
        <v>365</v>
      </c>
      <c r="Q4" t="s">
        <v>368</v>
      </c>
      <c r="S4" t="s">
        <v>365</v>
      </c>
      <c r="U4" t="s">
        <v>1461</v>
      </c>
      <c r="W4" t="s">
        <v>1464</v>
      </c>
      <c r="Y4" t="s">
        <v>365</v>
      </c>
      <c r="AA4" t="s">
        <v>365</v>
      </c>
      <c r="AE4" t="s">
        <v>368</v>
      </c>
      <c r="AG4" s="508">
        <v>1.05</v>
      </c>
    </row>
    <row r="5" spans="1:33">
      <c r="C5" s="113" t="s">
        <v>2464</v>
      </c>
      <c r="G5" t="s">
        <v>294</v>
      </c>
      <c r="I5" s="114" t="s">
        <v>243</v>
      </c>
      <c r="K5" t="s">
        <v>322</v>
      </c>
      <c r="Q5" t="s">
        <v>369</v>
      </c>
      <c r="U5" t="s">
        <v>1650</v>
      </c>
      <c r="AC5" s="146" t="s">
        <v>1528</v>
      </c>
      <c r="AE5" t="s">
        <v>369</v>
      </c>
      <c r="AG5" s="507">
        <v>1</v>
      </c>
    </row>
    <row r="6" spans="1:33">
      <c r="C6" s="113" t="s">
        <v>2465</v>
      </c>
      <c r="G6" t="s">
        <v>293</v>
      </c>
      <c r="I6" s="114" t="s">
        <v>244</v>
      </c>
      <c r="AA6" s="146" t="s">
        <v>1932</v>
      </c>
      <c r="AC6" t="s">
        <v>1527</v>
      </c>
    </row>
    <row r="7" spans="1:33">
      <c r="C7" s="113" t="s">
        <v>2466</v>
      </c>
      <c r="I7" s="114" t="s">
        <v>245</v>
      </c>
      <c r="U7" s="146" t="s">
        <v>1523</v>
      </c>
      <c r="AA7" t="s">
        <v>364</v>
      </c>
      <c r="AG7" s="146" t="s">
        <v>2023</v>
      </c>
    </row>
    <row r="8" spans="1:33">
      <c r="C8" s="1175" t="s">
        <v>2467</v>
      </c>
      <c r="I8" s="114" t="s">
        <v>246</v>
      </c>
      <c r="U8" t="s">
        <v>1460</v>
      </c>
      <c r="AC8" s="146" t="s">
        <v>1934</v>
      </c>
      <c r="AE8" s="146" t="s">
        <v>1954</v>
      </c>
      <c r="AG8" s="507"/>
    </row>
    <row r="9" spans="1:33">
      <c r="C9" s="1175" t="s">
        <v>2468</v>
      </c>
      <c r="I9" s="114" t="s">
        <v>247</v>
      </c>
      <c r="U9" t="s">
        <v>1461</v>
      </c>
      <c r="AA9" s="146" t="s">
        <v>2012</v>
      </c>
      <c r="AC9" t="s">
        <v>1460</v>
      </c>
      <c r="AE9" t="s">
        <v>367</v>
      </c>
      <c r="AG9" s="508">
        <v>0.95</v>
      </c>
    </row>
    <row r="10" spans="1:33">
      <c r="C10" s="1175" t="s">
        <v>2469</v>
      </c>
      <c r="I10" s="114" t="s">
        <v>248</v>
      </c>
      <c r="AA10" t="s">
        <v>365</v>
      </c>
      <c r="AC10" t="s">
        <v>1935</v>
      </c>
      <c r="AE10" t="s">
        <v>368</v>
      </c>
      <c r="AG10" s="507">
        <v>1</v>
      </c>
    </row>
    <row r="11" spans="1:33">
      <c r="C11" s="1175" t="s">
        <v>2470</v>
      </c>
      <c r="I11" s="114" t="s">
        <v>248</v>
      </c>
      <c r="U11" s="146" t="s">
        <v>1649</v>
      </c>
      <c r="AC11" t="s">
        <v>1650</v>
      </c>
      <c r="AE11" t="s">
        <v>369</v>
      </c>
    </row>
    <row r="12" spans="1:33">
      <c r="C12" s="1175" t="s">
        <v>2471</v>
      </c>
      <c r="I12" s="114" t="s">
        <v>249</v>
      </c>
      <c r="U12" t="s">
        <v>1651</v>
      </c>
    </row>
    <row r="13" spans="1:33">
      <c r="I13" s="114" t="s">
        <v>250</v>
      </c>
      <c r="AC13" s="146" t="s">
        <v>1953</v>
      </c>
    </row>
    <row r="14" spans="1:33">
      <c r="I14" s="114" t="s">
        <v>251</v>
      </c>
      <c r="AC14" t="s">
        <v>1527</v>
      </c>
    </row>
    <row r="15" spans="1:33">
      <c r="I15" s="114" t="s">
        <v>252</v>
      </c>
    </row>
    <row r="16" spans="1:33">
      <c r="I16" s="114" t="s">
        <v>253</v>
      </c>
    </row>
    <row r="17" spans="9:9">
      <c r="I17" s="114" t="s">
        <v>254</v>
      </c>
    </row>
    <row r="18" spans="9:9">
      <c r="I18" s="115" t="s">
        <v>301</v>
      </c>
    </row>
    <row r="19" spans="9:9">
      <c r="I19" s="115" t="s">
        <v>302</v>
      </c>
    </row>
    <row r="20" spans="9:9">
      <c r="I20" s="115" t="s">
        <v>303</v>
      </c>
    </row>
    <row r="21" spans="9:9">
      <c r="I21" s="115" t="s">
        <v>304</v>
      </c>
    </row>
    <row r="22" spans="9:9">
      <c r="I22" s="115" t="s">
        <v>305</v>
      </c>
    </row>
    <row r="23" spans="9:9">
      <c r="I23" s="115" t="s">
        <v>306</v>
      </c>
    </row>
    <row r="24" spans="9:9">
      <c r="I24" s="115" t="s">
        <v>307</v>
      </c>
    </row>
    <row r="25" spans="9:9">
      <c r="I25" s="115" t="s">
        <v>308</v>
      </c>
    </row>
    <row r="26" spans="9:9">
      <c r="I26" s="115" t="s">
        <v>319</v>
      </c>
    </row>
    <row r="27" spans="9:9">
      <c r="I27" s="115" t="s">
        <v>309</v>
      </c>
    </row>
    <row r="28" spans="9:9">
      <c r="I28" s="115" t="s">
        <v>310</v>
      </c>
    </row>
    <row r="29" spans="9:9">
      <c r="I29" s="115" t="s">
        <v>311</v>
      </c>
    </row>
    <row r="30" spans="9:9">
      <c r="I30" s="115" t="s">
        <v>312</v>
      </c>
    </row>
    <row r="31" spans="9:9">
      <c r="I31" s="115" t="s">
        <v>313</v>
      </c>
    </row>
    <row r="32" spans="9:9">
      <c r="I32" s="115" t="s">
        <v>314</v>
      </c>
    </row>
    <row r="33" spans="9:9">
      <c r="I33" s="115" t="s">
        <v>315</v>
      </c>
    </row>
  </sheetData>
  <sheetProtection algorithmName="SHA-512" hashValue="3JrmWJzNLiFzxGDeroGOwHCDxP3wBkiLoUeTIddeRChLJU18kWpvefbp+8QGKmtMidtYsE/p4jomGihRoDi6uw==" saltValue="MRV38D+v2sj5gz2B/EOscA==" spinCount="100000" sheet="1" objects="1" scenarios="1"/>
  <phoneticPr fontId="5"/>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0" tint="-0.14999847407452621"/>
  </sheetPr>
  <dimension ref="B1:V98"/>
  <sheetViews>
    <sheetView zoomScaleNormal="100" workbookViewId="0"/>
  </sheetViews>
  <sheetFormatPr defaultRowHeight="18"/>
  <cols>
    <col min="2" max="2" width="40.6640625" customWidth="1"/>
    <col min="3" max="3" width="14.5" customWidth="1"/>
    <col min="4" max="4" width="14.6640625" customWidth="1"/>
    <col min="6" max="6" width="42.1640625" bestFit="1" customWidth="1"/>
    <col min="7" max="8" width="12.08203125" bestFit="1" customWidth="1"/>
    <col min="10" max="10" width="16.9140625" customWidth="1"/>
    <col min="11" max="12" width="16.6640625" customWidth="1"/>
    <col min="13" max="13" width="15.08203125" bestFit="1" customWidth="1"/>
    <col min="14" max="16" width="13.08203125" customWidth="1"/>
    <col min="17" max="17" width="47" customWidth="1"/>
    <col min="18" max="19" width="17.4140625" customWidth="1"/>
    <col min="21" max="21" width="18.4140625" bestFit="1" customWidth="1"/>
  </cols>
  <sheetData>
    <row r="1" spans="2:22">
      <c r="J1" t="s">
        <v>1966</v>
      </c>
      <c r="Q1" t="s">
        <v>1991</v>
      </c>
    </row>
    <row r="2" spans="2:22" ht="36">
      <c r="B2" s="169" t="s">
        <v>1891</v>
      </c>
      <c r="C2" s="177" t="s">
        <v>1638</v>
      </c>
      <c r="D2" s="177" t="s">
        <v>1639</v>
      </c>
      <c r="F2" s="169" t="s">
        <v>1890</v>
      </c>
      <c r="G2" s="177" t="s">
        <v>1638</v>
      </c>
      <c r="H2" s="177" t="s">
        <v>1639</v>
      </c>
      <c r="J2" s="169" t="s">
        <v>1970</v>
      </c>
      <c r="K2" s="169" t="s">
        <v>1969</v>
      </c>
      <c r="L2" s="169" t="s">
        <v>1971</v>
      </c>
      <c r="M2" s="177" t="s">
        <v>1974</v>
      </c>
      <c r="N2" s="177" t="s">
        <v>1638</v>
      </c>
      <c r="O2" s="177" t="s">
        <v>1639</v>
      </c>
      <c r="Q2" s="169" t="s">
        <v>205</v>
      </c>
      <c r="R2" s="177" t="s">
        <v>1638</v>
      </c>
      <c r="S2" s="177" t="s">
        <v>1639</v>
      </c>
      <c r="U2" s="120" t="s">
        <v>1638</v>
      </c>
      <c r="V2" s="120" t="s">
        <v>2033</v>
      </c>
    </row>
    <row r="3" spans="2:22">
      <c r="B3" s="120" t="s">
        <v>340</v>
      </c>
      <c r="C3" s="120">
        <v>6</v>
      </c>
      <c r="D3" s="120">
        <v>6</v>
      </c>
      <c r="F3" s="120" t="s">
        <v>1487</v>
      </c>
      <c r="G3" s="120">
        <v>47</v>
      </c>
      <c r="H3" s="120">
        <v>43</v>
      </c>
      <c r="J3" s="120" t="s">
        <v>1968</v>
      </c>
      <c r="K3" s="120" t="s">
        <v>1925</v>
      </c>
      <c r="L3" s="120" t="s">
        <v>1971</v>
      </c>
      <c r="M3" s="120"/>
      <c r="N3" s="120">
        <v>41</v>
      </c>
      <c r="O3" s="120">
        <v>37</v>
      </c>
      <c r="Q3" s="120" t="s">
        <v>59</v>
      </c>
      <c r="R3" s="120">
        <v>62</v>
      </c>
      <c r="S3" s="120">
        <v>58</v>
      </c>
      <c r="U3" s="120">
        <v>6</v>
      </c>
      <c r="V3" s="120">
        <v>1</v>
      </c>
    </row>
    <row r="4" spans="2:22">
      <c r="B4" s="120" t="s">
        <v>341</v>
      </c>
      <c r="C4" s="120">
        <f>C3+1</f>
        <v>7</v>
      </c>
      <c r="D4" s="120">
        <f>D3+1</f>
        <v>7</v>
      </c>
      <c r="F4" s="120" t="s">
        <v>1664</v>
      </c>
      <c r="G4" s="120">
        <v>47</v>
      </c>
      <c r="H4" s="120">
        <v>43</v>
      </c>
      <c r="J4" s="120" t="s">
        <v>1968</v>
      </c>
      <c r="K4" s="120" t="s">
        <v>1925</v>
      </c>
      <c r="L4" s="120" t="s">
        <v>1971</v>
      </c>
      <c r="M4" s="120" t="s">
        <v>1925</v>
      </c>
      <c r="N4" s="120">
        <v>41</v>
      </c>
      <c r="O4" s="120">
        <v>37</v>
      </c>
      <c r="Q4" s="120" t="s">
        <v>1602</v>
      </c>
      <c r="R4" s="120">
        <v>63</v>
      </c>
      <c r="S4" s="120">
        <v>59</v>
      </c>
      <c r="U4" s="120">
        <v>7</v>
      </c>
      <c r="V4" s="120">
        <v>2</v>
      </c>
    </row>
    <row r="5" spans="2:22">
      <c r="B5" s="120" t="s">
        <v>342</v>
      </c>
      <c r="C5" s="120">
        <f t="shared" ref="C5:D12" si="0">C4+1</f>
        <v>8</v>
      </c>
      <c r="D5" s="120">
        <f t="shared" si="0"/>
        <v>8</v>
      </c>
      <c r="F5" s="120" t="s">
        <v>2019</v>
      </c>
      <c r="G5" s="120">
        <v>47</v>
      </c>
      <c r="H5" s="120">
        <v>43</v>
      </c>
      <c r="J5" s="120" t="s">
        <v>1968</v>
      </c>
      <c r="K5" s="120" t="s">
        <v>1925</v>
      </c>
      <c r="L5" s="120" t="s">
        <v>1971</v>
      </c>
      <c r="M5" s="120" t="s">
        <v>1926</v>
      </c>
      <c r="N5" s="120">
        <v>45</v>
      </c>
      <c r="O5" s="120">
        <v>41</v>
      </c>
      <c r="Q5" s="120" t="s">
        <v>60</v>
      </c>
      <c r="R5" s="120">
        <v>64</v>
      </c>
      <c r="S5" s="120">
        <v>60</v>
      </c>
      <c r="U5" s="120">
        <v>8</v>
      </c>
      <c r="V5" s="120">
        <v>3</v>
      </c>
    </row>
    <row r="6" spans="2:22" ht="18.75" customHeight="1">
      <c r="B6" s="120" t="s">
        <v>250</v>
      </c>
      <c r="C6" s="120">
        <f t="shared" si="0"/>
        <v>9</v>
      </c>
      <c r="D6" s="120">
        <f t="shared" si="0"/>
        <v>9</v>
      </c>
      <c r="F6" s="120" t="s">
        <v>1480</v>
      </c>
      <c r="G6" s="120">
        <v>37</v>
      </c>
      <c r="H6" s="120">
        <v>33</v>
      </c>
      <c r="J6" s="120" t="s">
        <v>1968</v>
      </c>
      <c r="K6" s="120" t="s">
        <v>1926</v>
      </c>
      <c r="L6" s="120" t="s">
        <v>1971</v>
      </c>
      <c r="M6" s="120"/>
      <c r="N6" s="120">
        <v>43</v>
      </c>
      <c r="O6" s="120">
        <v>39</v>
      </c>
      <c r="Q6" s="120" t="s">
        <v>1983</v>
      </c>
      <c r="R6" s="120">
        <v>65</v>
      </c>
      <c r="S6" s="120">
        <v>61</v>
      </c>
      <c r="U6" s="120">
        <v>9</v>
      </c>
      <c r="V6" s="120">
        <v>4</v>
      </c>
    </row>
    <row r="7" spans="2:22" ht="18.75" customHeight="1">
      <c r="B7" s="120" t="s">
        <v>14</v>
      </c>
      <c r="C7" s="120">
        <f t="shared" si="0"/>
        <v>10</v>
      </c>
      <c r="D7" s="120">
        <f t="shared" si="0"/>
        <v>10</v>
      </c>
      <c r="F7" s="120" t="s">
        <v>1481</v>
      </c>
      <c r="G7" s="120">
        <v>38</v>
      </c>
      <c r="H7" s="120">
        <v>34</v>
      </c>
      <c r="J7" s="120" t="s">
        <v>1968</v>
      </c>
      <c r="K7" s="120" t="s">
        <v>1926</v>
      </c>
      <c r="L7" s="120" t="s">
        <v>1971</v>
      </c>
      <c r="M7" s="120" t="s">
        <v>1925</v>
      </c>
      <c r="N7" s="120">
        <v>43</v>
      </c>
      <c r="O7" s="120">
        <v>39</v>
      </c>
      <c r="Q7" s="342" t="s">
        <v>1980</v>
      </c>
      <c r="R7" s="120">
        <v>66</v>
      </c>
      <c r="S7" s="120">
        <v>62</v>
      </c>
      <c r="U7" s="120">
        <v>10</v>
      </c>
      <c r="V7" s="120">
        <v>5</v>
      </c>
    </row>
    <row r="8" spans="2:22" ht="18.75" customHeight="1">
      <c r="B8" s="120" t="s">
        <v>15</v>
      </c>
      <c r="C8" s="120">
        <f t="shared" si="0"/>
        <v>11</v>
      </c>
      <c r="D8" s="120">
        <f t="shared" si="0"/>
        <v>11</v>
      </c>
      <c r="F8" s="120" t="s">
        <v>1482</v>
      </c>
      <c r="G8" s="120">
        <v>39</v>
      </c>
      <c r="H8" s="120">
        <v>35</v>
      </c>
      <c r="J8" s="120" t="s">
        <v>1968</v>
      </c>
      <c r="K8" s="120" t="s">
        <v>1926</v>
      </c>
      <c r="L8" s="120" t="s">
        <v>1971</v>
      </c>
      <c r="M8" s="120" t="s">
        <v>1926</v>
      </c>
      <c r="N8" s="120">
        <v>45</v>
      </c>
      <c r="O8" s="120">
        <v>41</v>
      </c>
      <c r="Q8" s="342" t="s">
        <v>1981</v>
      </c>
      <c r="R8" s="120">
        <v>67</v>
      </c>
      <c r="S8" s="120">
        <v>63</v>
      </c>
      <c r="U8" s="120">
        <v>11</v>
      </c>
      <c r="V8" s="120">
        <v>6</v>
      </c>
    </row>
    <row r="9" spans="2:22" ht="18.75" customHeight="1">
      <c r="B9" s="120" t="s">
        <v>16</v>
      </c>
      <c r="C9" s="120">
        <f t="shared" si="0"/>
        <v>12</v>
      </c>
      <c r="D9" s="120">
        <f t="shared" si="0"/>
        <v>12</v>
      </c>
      <c r="F9" s="120" t="s">
        <v>1483</v>
      </c>
      <c r="G9" s="120">
        <v>40</v>
      </c>
      <c r="H9" s="120">
        <v>36</v>
      </c>
      <c r="J9" s="120" t="s">
        <v>1968</v>
      </c>
      <c r="K9" s="120" t="s">
        <v>1925</v>
      </c>
      <c r="L9" s="120" t="s">
        <v>1972</v>
      </c>
      <c r="M9" s="339"/>
      <c r="N9" s="120">
        <v>42</v>
      </c>
      <c r="O9" s="120">
        <v>38</v>
      </c>
      <c r="U9" s="120">
        <v>12</v>
      </c>
      <c r="V9" s="120">
        <v>7</v>
      </c>
    </row>
    <row r="10" spans="2:22">
      <c r="B10" s="120" t="s">
        <v>17</v>
      </c>
      <c r="C10" s="120">
        <f t="shared" si="0"/>
        <v>13</v>
      </c>
      <c r="D10" s="120">
        <f t="shared" si="0"/>
        <v>13</v>
      </c>
      <c r="F10" s="120" t="s">
        <v>211</v>
      </c>
      <c r="G10" s="120">
        <v>33</v>
      </c>
      <c r="H10" s="120">
        <v>29</v>
      </c>
      <c r="J10" s="120" t="s">
        <v>1968</v>
      </c>
      <c r="K10" s="120" t="s">
        <v>1926</v>
      </c>
      <c r="L10" s="120" t="s">
        <v>1972</v>
      </c>
      <c r="M10" s="339"/>
      <c r="N10" s="120">
        <v>44</v>
      </c>
      <c r="O10" s="120">
        <v>40</v>
      </c>
      <c r="U10" s="120">
        <v>13</v>
      </c>
      <c r="V10" s="120">
        <v>8</v>
      </c>
    </row>
    <row r="11" spans="2:22">
      <c r="B11" s="120" t="s">
        <v>18</v>
      </c>
      <c r="C11" s="120">
        <f t="shared" si="0"/>
        <v>14</v>
      </c>
      <c r="D11" s="120">
        <f t="shared" si="0"/>
        <v>14</v>
      </c>
      <c r="F11" s="120" t="s">
        <v>1654</v>
      </c>
      <c r="G11" s="120">
        <v>59</v>
      </c>
      <c r="H11" s="120">
        <v>55</v>
      </c>
      <c r="J11" s="120" t="s">
        <v>1973</v>
      </c>
      <c r="K11" s="120" t="s">
        <v>1925</v>
      </c>
      <c r="L11" s="120" t="s">
        <v>1971</v>
      </c>
      <c r="M11" s="120"/>
      <c r="N11" s="120">
        <v>48</v>
      </c>
      <c r="O11" s="120">
        <v>44</v>
      </c>
      <c r="U11" s="120">
        <v>14</v>
      </c>
      <c r="V11" s="120">
        <v>9</v>
      </c>
    </row>
    <row r="12" spans="2:22">
      <c r="B12" s="120" t="s">
        <v>20</v>
      </c>
      <c r="C12" s="120">
        <f t="shared" si="0"/>
        <v>15</v>
      </c>
      <c r="D12" s="120">
        <f t="shared" si="0"/>
        <v>15</v>
      </c>
      <c r="F12" s="120" t="s">
        <v>1653</v>
      </c>
      <c r="G12" s="120">
        <v>60</v>
      </c>
      <c r="H12" s="120">
        <v>56</v>
      </c>
      <c r="J12" s="120" t="s">
        <v>1973</v>
      </c>
      <c r="K12" s="120" t="s">
        <v>1925</v>
      </c>
      <c r="L12" s="120" t="s">
        <v>1971</v>
      </c>
      <c r="M12" s="120" t="s">
        <v>1925</v>
      </c>
      <c r="N12" s="120">
        <v>48</v>
      </c>
      <c r="O12" s="120">
        <v>44</v>
      </c>
      <c r="U12" s="120">
        <v>15</v>
      </c>
      <c r="V12" s="120">
        <v>10</v>
      </c>
    </row>
    <row r="13" spans="2:22">
      <c r="B13" s="120" t="s">
        <v>336</v>
      </c>
      <c r="C13" s="120">
        <f>C12+1</f>
        <v>16</v>
      </c>
      <c r="D13" s="120">
        <f>D12+1</f>
        <v>16</v>
      </c>
      <c r="J13" s="120" t="s">
        <v>1973</v>
      </c>
      <c r="K13" s="120" t="s">
        <v>1925</v>
      </c>
      <c r="L13" s="120" t="s">
        <v>1971</v>
      </c>
      <c r="M13" s="120" t="s">
        <v>1926</v>
      </c>
      <c r="N13" s="120">
        <v>52</v>
      </c>
      <c r="O13" s="120">
        <v>48</v>
      </c>
      <c r="U13" s="120">
        <v>16</v>
      </c>
      <c r="V13" s="120">
        <v>11</v>
      </c>
    </row>
    <row r="14" spans="2:22" ht="18.75" customHeight="1">
      <c r="B14" s="120" t="s">
        <v>337</v>
      </c>
      <c r="C14" s="120">
        <f t="shared" ref="C14:D16" si="1">C13</f>
        <v>16</v>
      </c>
      <c r="D14" s="120">
        <f t="shared" si="1"/>
        <v>16</v>
      </c>
      <c r="J14" s="120" t="s">
        <v>1973</v>
      </c>
      <c r="K14" s="120" t="s">
        <v>1926</v>
      </c>
      <c r="L14" s="120" t="s">
        <v>1971</v>
      </c>
      <c r="M14" s="120"/>
      <c r="N14" s="120">
        <v>50</v>
      </c>
      <c r="O14" s="120">
        <v>46</v>
      </c>
      <c r="U14" s="120">
        <v>17</v>
      </c>
      <c r="V14" s="120">
        <v>12</v>
      </c>
    </row>
    <row r="15" spans="2:22">
      <c r="B15" s="120" t="s">
        <v>338</v>
      </c>
      <c r="C15" s="120">
        <f t="shared" si="1"/>
        <v>16</v>
      </c>
      <c r="D15" s="120">
        <f t="shared" si="1"/>
        <v>16</v>
      </c>
      <c r="J15" s="120" t="s">
        <v>1973</v>
      </c>
      <c r="K15" s="120" t="s">
        <v>1926</v>
      </c>
      <c r="L15" s="120" t="s">
        <v>1971</v>
      </c>
      <c r="M15" s="120" t="s">
        <v>1925</v>
      </c>
      <c r="N15" s="120">
        <v>50</v>
      </c>
      <c r="O15" s="120">
        <v>46</v>
      </c>
      <c r="U15" s="120">
        <v>18</v>
      </c>
      <c r="V15" s="120">
        <v>13</v>
      </c>
    </row>
    <row r="16" spans="2:22" ht="18.75" customHeight="1">
      <c r="B16" s="120" t="s">
        <v>339</v>
      </c>
      <c r="C16" s="120">
        <f t="shared" si="1"/>
        <v>16</v>
      </c>
      <c r="D16" s="120">
        <f t="shared" si="1"/>
        <v>16</v>
      </c>
      <c r="J16" s="120" t="s">
        <v>1973</v>
      </c>
      <c r="K16" s="120" t="s">
        <v>1926</v>
      </c>
      <c r="L16" s="120" t="s">
        <v>1971</v>
      </c>
      <c r="M16" s="120" t="s">
        <v>1926</v>
      </c>
      <c r="N16" s="120">
        <v>52</v>
      </c>
      <c r="O16" s="120">
        <v>48</v>
      </c>
      <c r="U16" s="120">
        <v>19</v>
      </c>
      <c r="V16" s="120">
        <v>14</v>
      </c>
    </row>
    <row r="17" spans="2:22" ht="18.75" customHeight="1">
      <c r="B17" s="120" t="s">
        <v>23</v>
      </c>
      <c r="C17" s="120">
        <f>C16+1</f>
        <v>17</v>
      </c>
      <c r="D17" s="120">
        <f>D16+1</f>
        <v>17</v>
      </c>
      <c r="J17" s="120" t="s">
        <v>1973</v>
      </c>
      <c r="K17" s="120" t="s">
        <v>1925</v>
      </c>
      <c r="L17" s="120" t="s">
        <v>1972</v>
      </c>
      <c r="M17" s="339"/>
      <c r="N17" s="120">
        <v>49</v>
      </c>
      <c r="O17" s="120">
        <v>45</v>
      </c>
      <c r="U17" s="120">
        <v>20</v>
      </c>
      <c r="V17" s="120">
        <v>15</v>
      </c>
    </row>
    <row r="18" spans="2:22" ht="18.75" customHeight="1">
      <c r="B18" s="120" t="s">
        <v>343</v>
      </c>
      <c r="C18" s="120">
        <f t="shared" ref="C18:D34" si="2">C17+1</f>
        <v>18</v>
      </c>
      <c r="D18" s="120">
        <f t="shared" si="2"/>
        <v>18</v>
      </c>
      <c r="J18" s="120" t="s">
        <v>1973</v>
      </c>
      <c r="K18" s="120" t="s">
        <v>1926</v>
      </c>
      <c r="L18" s="120" t="s">
        <v>1972</v>
      </c>
      <c r="M18" s="339"/>
      <c r="N18" s="120">
        <v>51</v>
      </c>
      <c r="O18" s="120">
        <v>47</v>
      </c>
      <c r="U18" s="120">
        <v>21</v>
      </c>
      <c r="V18" s="120">
        <v>16</v>
      </c>
    </row>
    <row r="19" spans="2:22" ht="18.75" customHeight="1">
      <c r="B19" s="120" t="s">
        <v>26</v>
      </c>
      <c r="C19" s="120">
        <f t="shared" si="2"/>
        <v>19</v>
      </c>
      <c r="D19" s="120">
        <f t="shared" si="2"/>
        <v>19</v>
      </c>
      <c r="J19" s="120" t="s">
        <v>1973</v>
      </c>
      <c r="K19" s="120" t="s">
        <v>1925</v>
      </c>
      <c r="L19" s="120" t="s">
        <v>1975</v>
      </c>
      <c r="M19" s="339"/>
      <c r="N19" s="120">
        <v>53</v>
      </c>
      <c r="O19" s="120">
        <v>49</v>
      </c>
      <c r="U19" s="120">
        <v>22</v>
      </c>
      <c r="V19" s="120">
        <v>17</v>
      </c>
    </row>
    <row r="20" spans="2:22" ht="18.75" customHeight="1">
      <c r="B20" s="120" t="s">
        <v>344</v>
      </c>
      <c r="C20" s="120">
        <f t="shared" si="2"/>
        <v>20</v>
      </c>
      <c r="D20" s="120">
        <f t="shared" si="2"/>
        <v>20</v>
      </c>
      <c r="J20" s="120" t="s">
        <v>1973</v>
      </c>
      <c r="K20" s="120"/>
      <c r="L20" s="120" t="s">
        <v>1975</v>
      </c>
      <c r="M20" s="339"/>
      <c r="N20" s="120">
        <v>53</v>
      </c>
      <c r="O20" s="120">
        <v>49</v>
      </c>
      <c r="U20" s="120">
        <v>23</v>
      </c>
      <c r="V20" s="120">
        <v>18</v>
      </c>
    </row>
    <row r="21" spans="2:22" ht="18.75" customHeight="1">
      <c r="B21" s="120" t="s">
        <v>345</v>
      </c>
      <c r="C21" s="120">
        <f t="shared" si="2"/>
        <v>21</v>
      </c>
      <c r="D21" s="120">
        <v>20</v>
      </c>
      <c r="U21" s="120">
        <v>24</v>
      </c>
      <c r="V21" s="120">
        <v>19</v>
      </c>
    </row>
    <row r="22" spans="2:22" ht="18.75" customHeight="1">
      <c r="B22" s="120" t="s">
        <v>346</v>
      </c>
      <c r="C22" s="120">
        <f t="shared" si="2"/>
        <v>22</v>
      </c>
      <c r="D22" s="120">
        <v>20</v>
      </c>
      <c r="U22" s="120">
        <v>25</v>
      </c>
      <c r="V22" s="120">
        <v>20</v>
      </c>
    </row>
    <row r="23" spans="2:22" ht="18.75" customHeight="1">
      <c r="B23" s="120" t="s">
        <v>347</v>
      </c>
      <c r="C23" s="120">
        <f t="shared" si="2"/>
        <v>23</v>
      </c>
      <c r="D23" s="120">
        <v>21</v>
      </c>
      <c r="U23" s="120">
        <v>26</v>
      </c>
      <c r="V23" s="120">
        <v>21</v>
      </c>
    </row>
    <row r="24" spans="2:22">
      <c r="B24" s="120" t="s">
        <v>348</v>
      </c>
      <c r="C24" s="120">
        <f t="shared" si="2"/>
        <v>24</v>
      </c>
      <c r="D24" s="120">
        <v>21</v>
      </c>
      <c r="U24" s="120">
        <v>27</v>
      </c>
      <c r="V24" s="120">
        <v>22</v>
      </c>
    </row>
    <row r="25" spans="2:22">
      <c r="B25" s="120" t="s">
        <v>349</v>
      </c>
      <c r="C25" s="120">
        <f t="shared" si="2"/>
        <v>25</v>
      </c>
      <c r="D25" s="120">
        <v>22</v>
      </c>
      <c r="U25" s="120">
        <v>28</v>
      </c>
      <c r="V25" s="120">
        <v>23</v>
      </c>
    </row>
    <row r="26" spans="2:22">
      <c r="B26" s="120" t="s">
        <v>27</v>
      </c>
      <c r="C26" s="120">
        <f t="shared" si="2"/>
        <v>26</v>
      </c>
      <c r="D26" s="120">
        <v>23</v>
      </c>
      <c r="U26" s="120">
        <v>29</v>
      </c>
      <c r="V26" s="120">
        <v>24</v>
      </c>
    </row>
    <row r="27" spans="2:22">
      <c r="B27" s="120" t="s">
        <v>305</v>
      </c>
      <c r="C27" s="120">
        <f t="shared" si="2"/>
        <v>27</v>
      </c>
      <c r="D27" s="120">
        <v>24</v>
      </c>
      <c r="U27" s="120">
        <v>30</v>
      </c>
      <c r="V27" s="120">
        <v>25</v>
      </c>
    </row>
    <row r="28" spans="2:22">
      <c r="B28" s="120" t="s">
        <v>335</v>
      </c>
      <c r="C28" s="120">
        <f t="shared" si="2"/>
        <v>28</v>
      </c>
      <c r="D28" s="120">
        <v>25</v>
      </c>
      <c r="U28" s="120">
        <v>31</v>
      </c>
      <c r="V28" s="120">
        <v>26</v>
      </c>
    </row>
    <row r="29" spans="2:22" ht="18.75" customHeight="1">
      <c r="B29" s="120" t="s">
        <v>350</v>
      </c>
      <c r="C29" s="120">
        <f t="shared" si="2"/>
        <v>29</v>
      </c>
      <c r="D29" s="120">
        <v>26</v>
      </c>
      <c r="U29" s="120">
        <v>32</v>
      </c>
      <c r="V29" s="120">
        <v>27</v>
      </c>
    </row>
    <row r="30" spans="2:22">
      <c r="B30" s="120" t="s">
        <v>351</v>
      </c>
      <c r="C30" s="120">
        <f t="shared" si="2"/>
        <v>30</v>
      </c>
      <c r="D30" s="120">
        <v>26</v>
      </c>
      <c r="U30" s="120">
        <v>33</v>
      </c>
      <c r="V30" s="120">
        <v>28</v>
      </c>
    </row>
    <row r="31" spans="2:22">
      <c r="B31" s="120" t="s">
        <v>30</v>
      </c>
      <c r="C31" s="120">
        <f t="shared" si="2"/>
        <v>31</v>
      </c>
      <c r="D31" s="120">
        <v>27</v>
      </c>
      <c r="U31" s="120">
        <v>34</v>
      </c>
      <c r="V31" s="120">
        <v>29</v>
      </c>
    </row>
    <row r="32" spans="2:22">
      <c r="B32" s="120" t="s">
        <v>50</v>
      </c>
      <c r="C32" s="120">
        <f t="shared" si="2"/>
        <v>32</v>
      </c>
      <c r="D32" s="120">
        <v>28</v>
      </c>
      <c r="U32" s="120">
        <v>35</v>
      </c>
      <c r="V32" s="120">
        <v>30</v>
      </c>
    </row>
    <row r="33" spans="2:22">
      <c r="B33" s="120" t="str">
        <f>非_燃料種類_選択リスト!F33</f>
        <v>その他の燃料①</v>
      </c>
      <c r="C33" s="120">
        <v>34</v>
      </c>
      <c r="D33" s="120">
        <v>30</v>
      </c>
      <c r="U33" s="120">
        <v>37</v>
      </c>
      <c r="V33" s="120">
        <v>31</v>
      </c>
    </row>
    <row r="34" spans="2:22">
      <c r="B34" s="120" t="str">
        <f>非_燃料種類_選択リスト!F34</f>
        <v>その他の燃料②</v>
      </c>
      <c r="C34" s="120">
        <f t="shared" si="2"/>
        <v>35</v>
      </c>
      <c r="D34" s="120">
        <v>31</v>
      </c>
      <c r="U34" s="120">
        <v>38</v>
      </c>
      <c r="V34" s="120">
        <v>32</v>
      </c>
    </row>
    <row r="35" spans="2:22">
      <c r="U35" s="120">
        <v>39</v>
      </c>
      <c r="V35" s="120">
        <v>33</v>
      </c>
    </row>
    <row r="36" spans="2:22">
      <c r="U36" s="120">
        <v>40</v>
      </c>
      <c r="V36" s="120">
        <v>34</v>
      </c>
    </row>
    <row r="37" spans="2:22" ht="19.5" customHeight="1">
      <c r="U37" s="120">
        <v>41</v>
      </c>
      <c r="V37" s="120">
        <v>35</v>
      </c>
    </row>
    <row r="38" spans="2:22" ht="18.75" customHeight="1">
      <c r="U38" s="120">
        <v>42</v>
      </c>
      <c r="V38" s="120">
        <v>36</v>
      </c>
    </row>
    <row r="39" spans="2:22">
      <c r="U39" s="120">
        <v>43</v>
      </c>
      <c r="V39" s="120">
        <v>37</v>
      </c>
    </row>
    <row r="40" spans="2:22">
      <c r="U40" s="120">
        <v>44</v>
      </c>
      <c r="V40" s="120">
        <v>38</v>
      </c>
    </row>
    <row r="41" spans="2:22" ht="18.75" customHeight="1">
      <c r="U41" s="120">
        <v>45</v>
      </c>
      <c r="V41" s="120">
        <v>39</v>
      </c>
    </row>
    <row r="42" spans="2:22">
      <c r="U42" s="120">
        <v>47</v>
      </c>
      <c r="V42" s="120">
        <v>40</v>
      </c>
    </row>
    <row r="43" spans="2:22" ht="18.75" customHeight="1">
      <c r="U43" s="120">
        <v>48</v>
      </c>
      <c r="V43" s="120">
        <v>41</v>
      </c>
    </row>
    <row r="44" spans="2:22">
      <c r="U44" s="120">
        <v>49</v>
      </c>
      <c r="V44" s="120">
        <v>42</v>
      </c>
    </row>
    <row r="45" spans="2:22" ht="18.75" customHeight="1">
      <c r="U45" s="120">
        <v>50</v>
      </c>
      <c r="V45" s="120">
        <v>43</v>
      </c>
    </row>
    <row r="46" spans="2:22">
      <c r="U46" s="120">
        <v>51</v>
      </c>
      <c r="V46" s="120">
        <v>44</v>
      </c>
    </row>
    <row r="47" spans="2:22" ht="36.75" customHeight="1">
      <c r="U47" s="120">
        <v>52</v>
      </c>
      <c r="V47" s="120">
        <v>45</v>
      </c>
    </row>
    <row r="48" spans="2:22" ht="18.75" customHeight="1">
      <c r="U48" s="120">
        <v>53</v>
      </c>
      <c r="V48" s="120">
        <v>46</v>
      </c>
    </row>
    <row r="49" spans="21:22">
      <c r="U49" s="120">
        <v>59</v>
      </c>
      <c r="V49" s="120">
        <v>47</v>
      </c>
    </row>
    <row r="50" spans="21:22" ht="18.75" customHeight="1">
      <c r="U50" s="120">
        <v>60</v>
      </c>
      <c r="V50" s="120">
        <v>48</v>
      </c>
    </row>
    <row r="51" spans="21:22">
      <c r="U51" s="120">
        <v>62</v>
      </c>
      <c r="V51" s="120">
        <v>49</v>
      </c>
    </row>
    <row r="52" spans="21:22" ht="18.75" customHeight="1">
      <c r="U52" s="120">
        <v>63</v>
      </c>
      <c r="V52" s="120">
        <v>50</v>
      </c>
    </row>
    <row r="53" spans="21:22" ht="18.75" customHeight="1">
      <c r="U53" s="120">
        <v>64</v>
      </c>
      <c r="V53" s="120">
        <v>51</v>
      </c>
    </row>
    <row r="54" spans="21:22">
      <c r="U54" s="120">
        <v>65</v>
      </c>
      <c r="V54" s="120">
        <v>52</v>
      </c>
    </row>
    <row r="55" spans="21:22">
      <c r="U55" s="120">
        <v>66</v>
      </c>
      <c r="V55" s="120">
        <v>53</v>
      </c>
    </row>
    <row r="56" spans="21:22">
      <c r="U56" s="120">
        <v>67</v>
      </c>
      <c r="V56" s="120">
        <v>54</v>
      </c>
    </row>
    <row r="57" spans="21:22" ht="18.75" customHeight="1"/>
    <row r="59" spans="21:22" ht="19.5" customHeight="1"/>
    <row r="60" spans="21:22" ht="18.75" customHeight="1"/>
    <row r="62" spans="21:22" ht="19.5" customHeight="1"/>
    <row r="65" ht="19.5" customHeight="1"/>
    <row r="66" ht="19.5" customHeight="1"/>
    <row r="67" ht="19.5" customHeight="1"/>
    <row r="68" ht="20.25" customHeight="1"/>
    <row r="71" ht="18.75" customHeight="1"/>
    <row r="74" ht="18.75" customHeight="1"/>
    <row r="75" ht="18.75" customHeight="1"/>
    <row r="77" ht="18.75" customHeight="1"/>
    <row r="78" ht="18.75" customHeight="1"/>
    <row r="79" ht="18.75" customHeight="1"/>
    <row r="80" ht="18.75" customHeight="1"/>
    <row r="83" ht="18.75" customHeight="1"/>
    <row r="84" ht="19.5" customHeight="1"/>
    <row r="88" ht="18.75" customHeight="1"/>
    <row r="89" ht="18.75" customHeight="1"/>
    <row r="91" ht="18.75" customHeight="1"/>
    <row r="92" ht="18.75" customHeight="1"/>
    <row r="93" ht="19.5" customHeight="1"/>
    <row r="94" ht="19.5" customHeight="1"/>
    <row r="96" ht="18.75" customHeight="1"/>
    <row r="97" ht="19.5" customHeight="1"/>
    <row r="98" ht="20.25" customHeight="1"/>
  </sheetData>
  <sheetProtection algorithmName="SHA-512" hashValue="gcoMyqe5srZ7vgUYri9EbyuuXZ5ATeYHVgj/M6BKBJVwI6KmtDpieI4jNc3/0AkonN90AMOb4aIlvvR++2PAZA==" saltValue="ihPqZfYGNQbtMMh60Yverg==" spinCount="100000" sheet="1" objects="1" scenarios="1"/>
  <phoneticPr fontId="5"/>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14999847407452621"/>
  </sheetPr>
  <dimension ref="B1:K55"/>
  <sheetViews>
    <sheetView topLeftCell="C32" zoomScaleNormal="100" workbookViewId="0"/>
  </sheetViews>
  <sheetFormatPr defaultRowHeight="18"/>
  <cols>
    <col min="2" max="2" width="54" customWidth="1"/>
    <col min="3" max="3" width="24.1640625" customWidth="1"/>
    <col min="4" max="4" width="16.1640625" customWidth="1"/>
    <col min="5" max="5" width="24.1640625" customWidth="1"/>
    <col min="6" max="6" width="18.58203125" bestFit="1" customWidth="1"/>
    <col min="7" max="7" width="13.6640625" customWidth="1"/>
    <col min="8" max="11" width="23.1640625" customWidth="1"/>
  </cols>
  <sheetData>
    <row r="1" spans="2:11" ht="18.5" thickBot="1"/>
    <row r="2" spans="2:11">
      <c r="B2" s="2016" t="s">
        <v>382</v>
      </c>
      <c r="C2" s="2019" t="s">
        <v>355</v>
      </c>
      <c r="D2" s="2020"/>
      <c r="E2" s="2020"/>
      <c r="F2" s="2021"/>
      <c r="G2" s="2022" t="s">
        <v>1517</v>
      </c>
      <c r="H2" s="2023"/>
      <c r="I2" s="2023"/>
      <c r="J2" s="2023"/>
      <c r="K2" s="2024"/>
    </row>
    <row r="3" spans="2:11">
      <c r="B3" s="2017"/>
      <c r="C3" s="2025" t="s">
        <v>212</v>
      </c>
      <c r="D3" s="2026"/>
      <c r="E3" s="2026" t="s">
        <v>213</v>
      </c>
      <c r="F3" s="2027"/>
      <c r="G3" s="141" t="s">
        <v>1515</v>
      </c>
      <c r="H3" s="2028" t="s">
        <v>212</v>
      </c>
      <c r="I3" s="2028"/>
      <c r="J3" s="2028" t="s">
        <v>213</v>
      </c>
      <c r="K3" s="2029"/>
    </row>
    <row r="4" spans="2:11">
      <c r="B4" s="2018"/>
      <c r="C4" s="138" t="s">
        <v>354</v>
      </c>
      <c r="D4" s="139" t="s">
        <v>208</v>
      </c>
      <c r="E4" s="139" t="s">
        <v>354</v>
      </c>
      <c r="F4" s="140" t="s">
        <v>208</v>
      </c>
      <c r="G4" s="141" t="s">
        <v>354</v>
      </c>
      <c r="H4" s="142" t="s">
        <v>354</v>
      </c>
      <c r="I4" s="142" t="s">
        <v>208</v>
      </c>
      <c r="J4" s="142" t="s">
        <v>354</v>
      </c>
      <c r="K4" s="143" t="s">
        <v>208</v>
      </c>
    </row>
    <row r="5" spans="2:11">
      <c r="B5" s="128" t="s">
        <v>340</v>
      </c>
      <c r="C5" s="130">
        <v>38.299999999999997</v>
      </c>
      <c r="D5" s="124" t="s">
        <v>180</v>
      </c>
      <c r="E5" s="125">
        <v>1.9E-2</v>
      </c>
      <c r="F5" s="131" t="s">
        <v>357</v>
      </c>
      <c r="G5" s="130">
        <v>1</v>
      </c>
      <c r="H5" s="126">
        <v>38.200000000000003</v>
      </c>
      <c r="I5" s="124" t="s">
        <v>180</v>
      </c>
      <c r="J5" s="124">
        <v>1.8700000000000001E-2</v>
      </c>
      <c r="K5" s="131" t="s">
        <v>357</v>
      </c>
    </row>
    <row r="6" spans="2:11">
      <c r="B6" s="128" t="s">
        <v>341</v>
      </c>
      <c r="C6" s="130">
        <v>34.799999999999997</v>
      </c>
      <c r="D6" s="124" t="s">
        <v>180</v>
      </c>
      <c r="E6" s="125">
        <v>1.83E-2</v>
      </c>
      <c r="F6" s="131" t="s">
        <v>357</v>
      </c>
      <c r="G6" s="130">
        <v>1</v>
      </c>
      <c r="H6" s="126">
        <v>35.299999999999997</v>
      </c>
      <c r="I6" s="124" t="s">
        <v>180</v>
      </c>
      <c r="J6" s="124">
        <v>1.84E-2</v>
      </c>
      <c r="K6" s="131" t="s">
        <v>357</v>
      </c>
    </row>
    <row r="7" spans="2:11">
      <c r="B7" s="128" t="s">
        <v>342</v>
      </c>
      <c r="C7" s="130">
        <v>33.4</v>
      </c>
      <c r="D7" s="124" t="s">
        <v>180</v>
      </c>
      <c r="E7" s="125">
        <v>1.8700000000000001E-2</v>
      </c>
      <c r="F7" s="131" t="s">
        <v>357</v>
      </c>
      <c r="G7" s="130">
        <v>1</v>
      </c>
      <c r="H7" s="126">
        <v>34.6</v>
      </c>
      <c r="I7" s="124" t="s">
        <v>180</v>
      </c>
      <c r="J7" s="124">
        <v>1.83E-2</v>
      </c>
      <c r="K7" s="131" t="s">
        <v>357</v>
      </c>
    </row>
    <row r="8" spans="2:11">
      <c r="B8" s="128" t="s">
        <v>250</v>
      </c>
      <c r="C8" s="130">
        <v>33.299999999999997</v>
      </c>
      <c r="D8" s="124" t="s">
        <v>180</v>
      </c>
      <c r="E8" s="125">
        <v>1.8599999999999998E-2</v>
      </c>
      <c r="F8" s="131" t="s">
        <v>357</v>
      </c>
      <c r="G8" s="130">
        <v>1</v>
      </c>
      <c r="H8" s="126">
        <v>33.6</v>
      </c>
      <c r="I8" s="124" t="s">
        <v>180</v>
      </c>
      <c r="J8" s="124">
        <v>1.8200000000000001E-2</v>
      </c>
      <c r="K8" s="131" t="s">
        <v>357</v>
      </c>
    </row>
    <row r="9" spans="2:11">
      <c r="B9" s="128" t="s">
        <v>14</v>
      </c>
      <c r="C9" s="130">
        <v>36.5</v>
      </c>
      <c r="D9" s="124" t="s">
        <v>180</v>
      </c>
      <c r="E9" s="125">
        <v>1.8700000000000001E-2</v>
      </c>
      <c r="F9" s="131" t="s">
        <v>357</v>
      </c>
      <c r="G9" s="130">
        <v>1</v>
      </c>
      <c r="H9" s="126">
        <v>36.700000000000003</v>
      </c>
      <c r="I9" s="124" t="s">
        <v>180</v>
      </c>
      <c r="J9" s="124">
        <v>1.8499999999999999E-2</v>
      </c>
      <c r="K9" s="131" t="s">
        <v>357</v>
      </c>
    </row>
    <row r="10" spans="2:11">
      <c r="B10" s="128" t="s">
        <v>15</v>
      </c>
      <c r="C10" s="130">
        <v>38</v>
      </c>
      <c r="D10" s="124" t="s">
        <v>180</v>
      </c>
      <c r="E10" s="125">
        <v>1.8800000000000001E-2</v>
      </c>
      <c r="F10" s="131" t="s">
        <v>357</v>
      </c>
      <c r="G10" s="130">
        <v>1</v>
      </c>
      <c r="H10" s="126">
        <v>37.700000000000003</v>
      </c>
      <c r="I10" s="124" t="s">
        <v>180</v>
      </c>
      <c r="J10" s="124">
        <v>1.8700000000000001E-2</v>
      </c>
      <c r="K10" s="131" t="s">
        <v>357</v>
      </c>
    </row>
    <row r="11" spans="2:11">
      <c r="B11" s="128" t="s">
        <v>16</v>
      </c>
      <c r="C11" s="130">
        <v>38.9</v>
      </c>
      <c r="D11" s="124" t="s">
        <v>180</v>
      </c>
      <c r="E11" s="125">
        <v>1.9300000000000001E-2</v>
      </c>
      <c r="F11" s="131" t="s">
        <v>357</v>
      </c>
      <c r="G11" s="130">
        <v>1</v>
      </c>
      <c r="H11" s="126">
        <v>39.1</v>
      </c>
      <c r="I11" s="124" t="s">
        <v>180</v>
      </c>
      <c r="J11" s="124">
        <v>1.89E-2</v>
      </c>
      <c r="K11" s="131" t="s">
        <v>357</v>
      </c>
    </row>
    <row r="12" spans="2:11">
      <c r="B12" s="128" t="s">
        <v>17</v>
      </c>
      <c r="C12" s="130">
        <v>41.8</v>
      </c>
      <c r="D12" s="124" t="s">
        <v>180</v>
      </c>
      <c r="E12" s="125">
        <v>2.0199999999999999E-2</v>
      </c>
      <c r="F12" s="131" t="s">
        <v>357</v>
      </c>
      <c r="G12" s="130">
        <v>1</v>
      </c>
      <c r="H12" s="126">
        <v>41.9</v>
      </c>
      <c r="I12" s="124" t="s">
        <v>180</v>
      </c>
      <c r="J12" s="124">
        <v>1.95E-2</v>
      </c>
      <c r="K12" s="131" t="s">
        <v>357</v>
      </c>
    </row>
    <row r="13" spans="2:11">
      <c r="B13" s="128" t="s">
        <v>18</v>
      </c>
      <c r="C13" s="130">
        <v>40</v>
      </c>
      <c r="D13" s="124" t="s">
        <v>179</v>
      </c>
      <c r="E13" s="125">
        <v>2.0400000000000001E-2</v>
      </c>
      <c r="F13" s="131" t="s">
        <v>357</v>
      </c>
      <c r="G13" s="130">
        <v>1</v>
      </c>
      <c r="H13" s="126">
        <v>40.9</v>
      </c>
      <c r="I13" s="124" t="s">
        <v>179</v>
      </c>
      <c r="J13" s="124">
        <v>2.0799999999999999E-2</v>
      </c>
      <c r="K13" s="131" t="s">
        <v>357</v>
      </c>
    </row>
    <row r="14" spans="2:11">
      <c r="B14" s="128" t="s">
        <v>20</v>
      </c>
      <c r="C14" s="130">
        <v>34.1</v>
      </c>
      <c r="D14" s="124" t="s">
        <v>179</v>
      </c>
      <c r="E14" s="125">
        <v>2.4500000000000001E-2</v>
      </c>
      <c r="F14" s="131" t="s">
        <v>357</v>
      </c>
      <c r="G14" s="130">
        <v>1</v>
      </c>
      <c r="H14" s="126">
        <v>29.9</v>
      </c>
      <c r="I14" s="124" t="s">
        <v>179</v>
      </c>
      <c r="J14" s="124">
        <v>2.5399999999999999E-2</v>
      </c>
      <c r="K14" s="131" t="s">
        <v>357</v>
      </c>
    </row>
    <row r="15" spans="2:11">
      <c r="B15" s="128" t="s">
        <v>336</v>
      </c>
      <c r="C15" s="130">
        <v>50.1</v>
      </c>
      <c r="D15" s="124" t="s">
        <v>179</v>
      </c>
      <c r="E15" s="125">
        <v>1.6299999999999999E-2</v>
      </c>
      <c r="F15" s="131" t="s">
        <v>357</v>
      </c>
      <c r="G15" s="130">
        <v>1</v>
      </c>
      <c r="H15" s="126">
        <v>50.8</v>
      </c>
      <c r="I15" s="124" t="s">
        <v>179</v>
      </c>
      <c r="J15" s="124">
        <v>1.61E-2</v>
      </c>
      <c r="K15" s="131" t="s">
        <v>357</v>
      </c>
    </row>
    <row r="16" spans="2:11">
      <c r="B16" s="128" t="s">
        <v>337</v>
      </c>
      <c r="C16" s="130">
        <v>50.1</v>
      </c>
      <c r="D16" s="124" t="s">
        <v>179</v>
      </c>
      <c r="E16" s="125">
        <v>1.6299999999999999E-2</v>
      </c>
      <c r="F16" s="131" t="s">
        <v>357</v>
      </c>
      <c r="G16" s="130">
        <v>1</v>
      </c>
      <c r="H16" s="126">
        <v>50.8</v>
      </c>
      <c r="I16" s="124" t="s">
        <v>179</v>
      </c>
      <c r="J16" s="124">
        <v>1.61E-2</v>
      </c>
      <c r="K16" s="131" t="s">
        <v>357</v>
      </c>
    </row>
    <row r="17" spans="2:11">
      <c r="B17" s="128" t="s">
        <v>338</v>
      </c>
      <c r="C17" s="130">
        <v>50.1</v>
      </c>
      <c r="D17" s="124" t="s">
        <v>179</v>
      </c>
      <c r="E17" s="125">
        <v>1.6299999999999999E-2</v>
      </c>
      <c r="F17" s="131" t="s">
        <v>357</v>
      </c>
      <c r="G17" s="130">
        <v>1</v>
      </c>
      <c r="H17" s="126">
        <v>50.8</v>
      </c>
      <c r="I17" s="124" t="s">
        <v>179</v>
      </c>
      <c r="J17" s="124">
        <v>1.61E-2</v>
      </c>
      <c r="K17" s="131" t="s">
        <v>357</v>
      </c>
    </row>
    <row r="18" spans="2:11">
      <c r="B18" s="128" t="s">
        <v>339</v>
      </c>
      <c r="C18" s="130">
        <v>50.1</v>
      </c>
      <c r="D18" s="124" t="s">
        <v>179</v>
      </c>
      <c r="E18" s="125">
        <v>1.6299999999999999E-2</v>
      </c>
      <c r="F18" s="131" t="s">
        <v>357</v>
      </c>
      <c r="G18" s="130">
        <v>1</v>
      </c>
      <c r="H18" s="126">
        <v>50.8</v>
      </c>
      <c r="I18" s="124" t="s">
        <v>179</v>
      </c>
      <c r="J18" s="124">
        <v>1.61E-2</v>
      </c>
      <c r="K18" s="131" t="s">
        <v>357</v>
      </c>
    </row>
    <row r="19" spans="2:11" ht="20">
      <c r="B19" s="128" t="s">
        <v>23</v>
      </c>
      <c r="C19" s="130">
        <v>46.1</v>
      </c>
      <c r="D19" s="124" t="s">
        <v>356</v>
      </c>
      <c r="E19" s="125">
        <v>1.44E-2</v>
      </c>
      <c r="F19" s="131" t="s">
        <v>357</v>
      </c>
      <c r="G19" s="130">
        <f xml:space="preserve"> (100/101.325) * (273.15/298.15)</f>
        <v>0.90416934530766024</v>
      </c>
      <c r="H19" s="126">
        <v>44.9</v>
      </c>
      <c r="I19" s="124" t="s">
        <v>358</v>
      </c>
      <c r="J19" s="124">
        <v>1.4200000000000001E-2</v>
      </c>
      <c r="K19" s="131" t="s">
        <v>357</v>
      </c>
    </row>
    <row r="20" spans="2:11">
      <c r="B20" s="128" t="s">
        <v>343</v>
      </c>
      <c r="C20" s="130">
        <v>54.7</v>
      </c>
      <c r="D20" s="124" t="s">
        <v>179</v>
      </c>
      <c r="E20" s="125">
        <v>1.3899999999999999E-2</v>
      </c>
      <c r="F20" s="131" t="s">
        <v>357</v>
      </c>
      <c r="G20" s="130">
        <v>1</v>
      </c>
      <c r="H20" s="126">
        <v>54.6</v>
      </c>
      <c r="I20" s="124" t="s">
        <v>179</v>
      </c>
      <c r="J20" s="124">
        <v>1.35E-2</v>
      </c>
      <c r="K20" s="131" t="s">
        <v>357</v>
      </c>
    </row>
    <row r="21" spans="2:11" ht="20">
      <c r="B21" s="128" t="s">
        <v>26</v>
      </c>
      <c r="C21" s="130">
        <v>38.4</v>
      </c>
      <c r="D21" s="124" t="s">
        <v>356</v>
      </c>
      <c r="E21" s="125">
        <v>1.3899999999999999E-2</v>
      </c>
      <c r="F21" s="131" t="s">
        <v>357</v>
      </c>
      <c r="G21" s="130">
        <f xml:space="preserve"> (100/101.325) * (273.15/298.15)</f>
        <v>0.90416934530766024</v>
      </c>
      <c r="H21" s="126">
        <v>43.5</v>
      </c>
      <c r="I21" s="124" t="s">
        <v>358</v>
      </c>
      <c r="J21" s="124">
        <v>1.3899999999999999E-2</v>
      </c>
      <c r="K21" s="131" t="s">
        <v>357</v>
      </c>
    </row>
    <row r="22" spans="2:11">
      <c r="B22" s="128" t="s">
        <v>344</v>
      </c>
      <c r="C22" s="130">
        <v>28.7</v>
      </c>
      <c r="D22" s="124" t="s">
        <v>179</v>
      </c>
      <c r="E22" s="125">
        <v>2.46E-2</v>
      </c>
      <c r="F22" s="131" t="s">
        <v>357</v>
      </c>
      <c r="G22" s="130">
        <v>1</v>
      </c>
      <c r="H22" s="126">
        <v>29</v>
      </c>
      <c r="I22" s="124" t="s">
        <v>179</v>
      </c>
      <c r="J22" s="124">
        <v>2.4500000000000001E-2</v>
      </c>
      <c r="K22" s="131" t="s">
        <v>357</v>
      </c>
    </row>
    <row r="23" spans="2:11">
      <c r="B23" s="128" t="s">
        <v>345</v>
      </c>
      <c r="C23" s="130">
        <v>28.9</v>
      </c>
      <c r="D23" s="124" t="s">
        <v>179</v>
      </c>
      <c r="E23" s="125">
        <v>2.4500000000000001E-2</v>
      </c>
      <c r="F23" s="131" t="s">
        <v>357</v>
      </c>
      <c r="G23" s="130">
        <v>1</v>
      </c>
      <c r="H23" s="126">
        <v>29</v>
      </c>
      <c r="I23" s="124" t="s">
        <v>179</v>
      </c>
      <c r="J23" s="124">
        <v>2.4500000000000001E-2</v>
      </c>
      <c r="K23" s="131" t="s">
        <v>357</v>
      </c>
    </row>
    <row r="24" spans="2:11">
      <c r="B24" s="128" t="s">
        <v>346</v>
      </c>
      <c r="C24" s="130">
        <v>28.3</v>
      </c>
      <c r="D24" s="124" t="s">
        <v>179</v>
      </c>
      <c r="E24" s="125">
        <v>2.5100000000000001E-2</v>
      </c>
      <c r="F24" s="131" t="s">
        <v>357</v>
      </c>
      <c r="G24" s="130">
        <v>1</v>
      </c>
      <c r="H24" s="126">
        <v>29</v>
      </c>
      <c r="I24" s="124" t="s">
        <v>179</v>
      </c>
      <c r="J24" s="124">
        <v>2.4500000000000001E-2</v>
      </c>
      <c r="K24" s="131" t="s">
        <v>357</v>
      </c>
    </row>
    <row r="25" spans="2:11">
      <c r="B25" s="128" t="s">
        <v>347</v>
      </c>
      <c r="C25" s="130">
        <v>26.1</v>
      </c>
      <c r="D25" s="124" t="s">
        <v>179</v>
      </c>
      <c r="E25" s="125">
        <v>2.4299999999999999E-2</v>
      </c>
      <c r="F25" s="131" t="s">
        <v>357</v>
      </c>
      <c r="G25" s="130">
        <v>1</v>
      </c>
      <c r="H25" s="126">
        <v>25.7</v>
      </c>
      <c r="I25" s="124" t="s">
        <v>179</v>
      </c>
      <c r="J25" s="124">
        <v>2.47E-2</v>
      </c>
      <c r="K25" s="131" t="s">
        <v>357</v>
      </c>
    </row>
    <row r="26" spans="2:11">
      <c r="B26" s="128" t="s">
        <v>348</v>
      </c>
      <c r="C26" s="130">
        <v>24.2</v>
      </c>
      <c r="D26" s="124" t="s">
        <v>179</v>
      </c>
      <c r="E26" s="125">
        <v>2.4199999999999999E-2</v>
      </c>
      <c r="F26" s="131" t="s">
        <v>357</v>
      </c>
      <c r="G26" s="130">
        <v>1</v>
      </c>
      <c r="H26" s="126">
        <v>25.7</v>
      </c>
      <c r="I26" s="124" t="s">
        <v>179</v>
      </c>
      <c r="J26" s="124">
        <v>2.47E-2</v>
      </c>
      <c r="K26" s="131" t="s">
        <v>357</v>
      </c>
    </row>
    <row r="27" spans="2:11">
      <c r="B27" s="128" t="s">
        <v>349</v>
      </c>
      <c r="C27" s="130">
        <v>27.8</v>
      </c>
      <c r="D27" s="124" t="s">
        <v>179</v>
      </c>
      <c r="E27" s="125">
        <v>2.5899999999999999E-2</v>
      </c>
      <c r="F27" s="131" t="s">
        <v>357</v>
      </c>
      <c r="G27" s="130">
        <v>1</v>
      </c>
      <c r="H27" s="126">
        <v>26.9</v>
      </c>
      <c r="I27" s="124" t="s">
        <v>179</v>
      </c>
      <c r="J27" s="124">
        <v>2.5499999999999998E-2</v>
      </c>
      <c r="K27" s="131" t="s">
        <v>357</v>
      </c>
    </row>
    <row r="28" spans="2:11">
      <c r="B28" s="128" t="s">
        <v>27</v>
      </c>
      <c r="C28" s="130">
        <v>29</v>
      </c>
      <c r="D28" s="124" t="s">
        <v>179</v>
      </c>
      <c r="E28" s="125">
        <v>2.9899999999999999E-2</v>
      </c>
      <c r="F28" s="131" t="s">
        <v>357</v>
      </c>
      <c r="G28" s="130">
        <v>1</v>
      </c>
      <c r="H28" s="124">
        <v>29.4</v>
      </c>
      <c r="I28" s="124" t="s">
        <v>179</v>
      </c>
      <c r="J28" s="124">
        <v>2.9399999999999999E-2</v>
      </c>
      <c r="K28" s="131" t="s">
        <v>357</v>
      </c>
    </row>
    <row r="29" spans="2:11">
      <c r="B29" s="128" t="s">
        <v>305</v>
      </c>
      <c r="C29" s="130">
        <v>37.299999999999997</v>
      </c>
      <c r="D29" s="124" t="s">
        <v>179</v>
      </c>
      <c r="E29" s="125">
        <v>2.0899999999999998E-2</v>
      </c>
      <c r="F29" s="131" t="s">
        <v>357</v>
      </c>
      <c r="G29" s="130">
        <v>1</v>
      </c>
      <c r="H29" s="124">
        <v>37.299999999999997</v>
      </c>
      <c r="I29" s="124" t="s">
        <v>179</v>
      </c>
      <c r="J29" s="124">
        <v>2.0899999999999998E-2</v>
      </c>
      <c r="K29" s="131" t="s">
        <v>357</v>
      </c>
    </row>
    <row r="30" spans="2:11" ht="20">
      <c r="B30" s="128" t="s">
        <v>335</v>
      </c>
      <c r="C30" s="130">
        <v>18.399999999999999</v>
      </c>
      <c r="D30" s="124" t="s">
        <v>356</v>
      </c>
      <c r="E30" s="125">
        <v>1.09E-2</v>
      </c>
      <c r="F30" s="131" t="s">
        <v>357</v>
      </c>
      <c r="G30" s="130">
        <f xml:space="preserve"> (100/101.325) * (273.15/298.15)</f>
        <v>0.90416934530766024</v>
      </c>
      <c r="H30" s="124">
        <v>21.1</v>
      </c>
      <c r="I30" s="124" t="s">
        <v>358</v>
      </c>
      <c r="J30" s="124">
        <v>1.0999999999999999E-2</v>
      </c>
      <c r="K30" s="131" t="s">
        <v>357</v>
      </c>
    </row>
    <row r="31" spans="2:11" ht="20">
      <c r="B31" s="128" t="s">
        <v>350</v>
      </c>
      <c r="C31" s="130">
        <v>3.23</v>
      </c>
      <c r="D31" s="124" t="s">
        <v>356</v>
      </c>
      <c r="E31" s="125">
        <v>2.64E-2</v>
      </c>
      <c r="F31" s="131" t="s">
        <v>357</v>
      </c>
      <c r="G31" s="130">
        <f xml:space="preserve"> (100/101.325) * (273.15/298.15)</f>
        <v>0.90416934530766024</v>
      </c>
      <c r="H31" s="124">
        <v>3.41</v>
      </c>
      <c r="I31" s="124" t="s">
        <v>358</v>
      </c>
      <c r="J31" s="124">
        <v>2.63E-2</v>
      </c>
      <c r="K31" s="131" t="s">
        <v>357</v>
      </c>
    </row>
    <row r="32" spans="2:11" ht="20">
      <c r="B32" s="128" t="s">
        <v>351</v>
      </c>
      <c r="C32" s="130">
        <v>3.45</v>
      </c>
      <c r="D32" s="124" t="s">
        <v>356</v>
      </c>
      <c r="E32" s="125">
        <v>2.64E-2</v>
      </c>
      <c r="F32" s="131" t="s">
        <v>357</v>
      </c>
      <c r="G32" s="130">
        <f xml:space="preserve"> (100/101.325) * (273.15/298.15)</f>
        <v>0.90416934530766024</v>
      </c>
      <c r="H32" s="124">
        <v>3.41</v>
      </c>
      <c r="I32" s="124" t="s">
        <v>358</v>
      </c>
      <c r="J32" s="124">
        <v>2.63E-2</v>
      </c>
      <c r="K32" s="131" t="s">
        <v>357</v>
      </c>
    </row>
    <row r="33" spans="2:11" ht="20">
      <c r="B33" s="128" t="s">
        <v>30</v>
      </c>
      <c r="C33" s="130">
        <v>7.53</v>
      </c>
      <c r="D33" s="124" t="s">
        <v>356</v>
      </c>
      <c r="E33" s="125">
        <v>4.2000000000000003E-2</v>
      </c>
      <c r="F33" s="131" t="s">
        <v>357</v>
      </c>
      <c r="G33" s="130">
        <f xml:space="preserve"> (100/101.325) * (273.15/298.15)</f>
        <v>0.90416934530766024</v>
      </c>
      <c r="H33" s="124">
        <v>8.41</v>
      </c>
      <c r="I33" s="124" t="s">
        <v>358</v>
      </c>
      <c r="J33" s="124">
        <v>3.8399999999999997E-2</v>
      </c>
      <c r="K33" s="131" t="s">
        <v>357</v>
      </c>
    </row>
    <row r="34" spans="2:11">
      <c r="B34" s="128" t="s">
        <v>50</v>
      </c>
      <c r="C34" s="130">
        <v>36.299999999999997</v>
      </c>
      <c r="D34" s="124" t="s">
        <v>180</v>
      </c>
      <c r="E34" s="125">
        <v>1.8599999999999998E-2</v>
      </c>
      <c r="F34" s="131" t="s">
        <v>357</v>
      </c>
      <c r="G34" s="130">
        <v>1</v>
      </c>
      <c r="H34" s="126">
        <v>36.700000000000003</v>
      </c>
      <c r="I34" s="124" t="s">
        <v>180</v>
      </c>
      <c r="J34" s="124">
        <v>1.83E-2</v>
      </c>
      <c r="K34" s="131" t="s">
        <v>357</v>
      </c>
    </row>
    <row r="35" spans="2:11">
      <c r="B35" s="128" t="str">
        <f>非_燃料種類_選択リスト!F33</f>
        <v>その他の燃料①</v>
      </c>
      <c r="C35" s="134">
        <f>'0.事業所概要'!M25</f>
        <v>0</v>
      </c>
      <c r="D35" s="135" t="str">
        <f>'0.事業所概要'!N25</f>
        <v>GJ/</v>
      </c>
      <c r="E35" s="135">
        <f>'0.事業所概要'!O25</f>
        <v>0</v>
      </c>
      <c r="F35" s="131" t="s">
        <v>357</v>
      </c>
      <c r="G35" s="130">
        <v>1</v>
      </c>
      <c r="H35" s="135">
        <f t="shared" ref="H35:K36" si="0">C35</f>
        <v>0</v>
      </c>
      <c r="I35" s="135" t="str">
        <f t="shared" si="0"/>
        <v>GJ/</v>
      </c>
      <c r="J35" s="135">
        <f t="shared" si="0"/>
        <v>0</v>
      </c>
      <c r="K35" s="131" t="str">
        <f t="shared" si="0"/>
        <v>t-C/GJ</v>
      </c>
    </row>
    <row r="36" spans="2:11" ht="18.5" thickBot="1">
      <c r="B36" s="129" t="str">
        <f>非_燃料種類_選択リスト!F34</f>
        <v>その他の燃料②</v>
      </c>
      <c r="C36" s="136">
        <f>'0.事業所概要'!M26</f>
        <v>0</v>
      </c>
      <c r="D36" s="137" t="str">
        <f>'0.事業所概要'!N26</f>
        <v>GJ/</v>
      </c>
      <c r="E36" s="137">
        <f>'0.事業所概要'!O26</f>
        <v>0</v>
      </c>
      <c r="F36" s="132" t="s">
        <v>357</v>
      </c>
      <c r="G36" s="133">
        <v>1</v>
      </c>
      <c r="H36" s="137">
        <f t="shared" si="0"/>
        <v>0</v>
      </c>
      <c r="I36" s="137" t="str">
        <f t="shared" si="0"/>
        <v>GJ/</v>
      </c>
      <c r="J36" s="137">
        <f t="shared" si="0"/>
        <v>0</v>
      </c>
      <c r="K36" s="132" t="str">
        <f t="shared" si="0"/>
        <v>t-C/GJ</v>
      </c>
    </row>
    <row r="38" spans="2:11" ht="18.5" thickBot="1"/>
    <row r="39" spans="2:11">
      <c r="B39" s="2016" t="s">
        <v>1509</v>
      </c>
      <c r="C39" s="2019" t="s">
        <v>355</v>
      </c>
      <c r="D39" s="2020"/>
      <c r="E39" s="2020"/>
      <c r="F39" s="2021"/>
      <c r="G39" s="2022" t="s">
        <v>1518</v>
      </c>
      <c r="H39" s="2023"/>
      <c r="I39" s="2023"/>
      <c r="J39" s="2023"/>
      <c r="K39" s="2024"/>
    </row>
    <row r="40" spans="2:11">
      <c r="B40" s="2017"/>
      <c r="C40" s="2025" t="s">
        <v>353</v>
      </c>
      <c r="D40" s="2026"/>
      <c r="E40" s="2026" t="s">
        <v>213</v>
      </c>
      <c r="F40" s="2027"/>
      <c r="G40" s="141" t="s">
        <v>359</v>
      </c>
      <c r="H40" s="2028" t="s">
        <v>353</v>
      </c>
      <c r="I40" s="2028"/>
      <c r="J40" s="2028" t="s">
        <v>213</v>
      </c>
      <c r="K40" s="2029"/>
    </row>
    <row r="41" spans="2:11">
      <c r="B41" s="2018"/>
      <c r="C41" s="138" t="s">
        <v>354</v>
      </c>
      <c r="D41" s="139" t="s">
        <v>208</v>
      </c>
      <c r="E41" s="139" t="s">
        <v>354</v>
      </c>
      <c r="F41" s="140" t="s">
        <v>208</v>
      </c>
      <c r="G41" s="141" t="s">
        <v>354</v>
      </c>
      <c r="H41" s="142" t="s">
        <v>354</v>
      </c>
      <c r="I41" s="142" t="s">
        <v>208</v>
      </c>
      <c r="J41" s="142" t="s">
        <v>354</v>
      </c>
      <c r="K41" s="143" t="s">
        <v>208</v>
      </c>
    </row>
    <row r="42" spans="2:11" ht="20">
      <c r="B42" s="161" t="s">
        <v>1487</v>
      </c>
      <c r="C42" s="148">
        <v>8.64</v>
      </c>
      <c r="D42" s="124" t="s">
        <v>1510</v>
      </c>
      <c r="E42" s="125" t="s">
        <v>1513</v>
      </c>
      <c r="F42" s="131" t="s">
        <v>1512</v>
      </c>
      <c r="G42" s="150"/>
      <c r="H42" s="151"/>
      <c r="I42" s="152"/>
      <c r="J42" s="124">
        <v>0.495</v>
      </c>
      <c r="K42" s="131" t="s">
        <v>1512</v>
      </c>
    </row>
    <row r="43" spans="2:11" ht="20">
      <c r="B43" s="131" t="s">
        <v>1479</v>
      </c>
      <c r="C43" s="148">
        <v>3.6</v>
      </c>
      <c r="D43" s="124" t="s">
        <v>1510</v>
      </c>
      <c r="E43" s="125" t="s">
        <v>1513</v>
      </c>
      <c r="F43" s="131" t="s">
        <v>1512</v>
      </c>
      <c r="G43" s="150"/>
      <c r="H43" s="151"/>
      <c r="I43" s="152"/>
      <c r="J43" s="124">
        <v>0.495</v>
      </c>
      <c r="K43" s="131" t="s">
        <v>1512</v>
      </c>
    </row>
    <row r="44" spans="2:11" ht="20">
      <c r="B44" s="131" t="s">
        <v>1663</v>
      </c>
      <c r="C44" s="148">
        <v>3.6</v>
      </c>
      <c r="D44" s="124" t="s">
        <v>1510</v>
      </c>
      <c r="E44" s="125" t="s">
        <v>1513</v>
      </c>
      <c r="F44" s="131" t="s">
        <v>1512</v>
      </c>
      <c r="G44" s="150"/>
      <c r="H44" s="151"/>
      <c r="I44" s="152"/>
      <c r="J44" s="124">
        <v>0.495</v>
      </c>
      <c r="K44" s="131" t="s">
        <v>1512</v>
      </c>
    </row>
    <row r="45" spans="2:11" ht="20">
      <c r="B45" s="131" t="s">
        <v>1664</v>
      </c>
      <c r="C45" s="148">
        <v>8.64</v>
      </c>
      <c r="D45" s="124" t="s">
        <v>1510</v>
      </c>
      <c r="E45" s="125" t="s">
        <v>1513</v>
      </c>
      <c r="F45" s="131" t="s">
        <v>1512</v>
      </c>
      <c r="G45" s="150"/>
      <c r="H45" s="151"/>
      <c r="I45" s="152"/>
      <c r="J45" s="124">
        <v>0.495</v>
      </c>
      <c r="K45" s="131" t="s">
        <v>1512</v>
      </c>
    </row>
    <row r="46" spans="2:11" ht="20">
      <c r="B46" s="131" t="s">
        <v>1484</v>
      </c>
      <c r="C46" s="148">
        <v>3.6</v>
      </c>
      <c r="D46" s="124" t="s">
        <v>1510</v>
      </c>
      <c r="E46" s="125" t="s">
        <v>1513</v>
      </c>
      <c r="F46" s="131" t="s">
        <v>1512</v>
      </c>
      <c r="G46" s="150"/>
      <c r="H46" s="151"/>
      <c r="I46" s="152"/>
      <c r="J46" s="124">
        <v>0.495</v>
      </c>
      <c r="K46" s="131" t="s">
        <v>1512</v>
      </c>
    </row>
    <row r="47" spans="2:11" ht="20">
      <c r="B47" s="131" t="s">
        <v>1485</v>
      </c>
      <c r="C47" s="148">
        <v>3.6</v>
      </c>
      <c r="D47" s="124" t="s">
        <v>1510</v>
      </c>
      <c r="E47" s="125" t="s">
        <v>1513</v>
      </c>
      <c r="F47" s="131" t="s">
        <v>1512</v>
      </c>
      <c r="G47" s="150"/>
      <c r="H47" s="151"/>
      <c r="I47" s="152"/>
      <c r="J47" s="124">
        <v>0.495</v>
      </c>
      <c r="K47" s="131" t="s">
        <v>1512</v>
      </c>
    </row>
    <row r="48" spans="2:11" ht="20">
      <c r="B48" s="131" t="s">
        <v>1486</v>
      </c>
      <c r="C48" s="148">
        <v>3.6</v>
      </c>
      <c r="D48" s="124" t="s">
        <v>1510</v>
      </c>
      <c r="E48" s="125" t="s">
        <v>1513</v>
      </c>
      <c r="F48" s="131" t="s">
        <v>1512</v>
      </c>
      <c r="G48" s="150"/>
      <c r="H48" s="151"/>
      <c r="I48" s="152"/>
      <c r="J48" s="124">
        <v>0.495</v>
      </c>
      <c r="K48" s="131" t="s">
        <v>1512</v>
      </c>
    </row>
    <row r="49" spans="2:11" ht="20">
      <c r="B49" s="147" t="s">
        <v>2019</v>
      </c>
      <c r="C49" s="148">
        <v>8.64</v>
      </c>
      <c r="D49" s="124" t="s">
        <v>1510</v>
      </c>
      <c r="E49" s="125" t="s">
        <v>1513</v>
      </c>
      <c r="F49" s="131" t="s">
        <v>1512</v>
      </c>
      <c r="G49" s="150"/>
      <c r="H49" s="151"/>
      <c r="I49" s="152"/>
      <c r="J49" s="124">
        <v>0.495</v>
      </c>
      <c r="K49" s="131" t="s">
        <v>1512</v>
      </c>
    </row>
    <row r="50" spans="2:11" ht="20">
      <c r="B50" s="131" t="s">
        <v>1931</v>
      </c>
      <c r="C50" s="149" t="s">
        <v>1511</v>
      </c>
      <c r="D50" s="124" t="s">
        <v>1510</v>
      </c>
      <c r="E50" s="125" t="s">
        <v>1513</v>
      </c>
      <c r="F50" s="131" t="s">
        <v>1512</v>
      </c>
      <c r="G50" s="150"/>
      <c r="H50" s="151"/>
      <c r="I50" s="152"/>
      <c r="J50" s="124">
        <v>0.495</v>
      </c>
      <c r="K50" s="131" t="s">
        <v>1512</v>
      </c>
    </row>
    <row r="51" spans="2:11" ht="20">
      <c r="B51" s="131" t="s">
        <v>1480</v>
      </c>
      <c r="C51" s="130">
        <v>1.17</v>
      </c>
      <c r="D51" s="124" t="s">
        <v>1514</v>
      </c>
      <c r="E51" s="125" t="s">
        <v>1513</v>
      </c>
      <c r="F51" s="131" t="s">
        <v>1516</v>
      </c>
      <c r="G51" s="150"/>
      <c r="H51" s="153"/>
      <c r="I51" s="152"/>
      <c r="J51" s="125">
        <v>0.06</v>
      </c>
      <c r="K51" s="131" t="s">
        <v>1516</v>
      </c>
    </row>
    <row r="52" spans="2:11" ht="20">
      <c r="B52" s="131" t="s">
        <v>1481</v>
      </c>
      <c r="C52" s="130">
        <v>1.19</v>
      </c>
      <c r="D52" s="124" t="s">
        <v>1514</v>
      </c>
      <c r="E52" s="125" t="s">
        <v>1513</v>
      </c>
      <c r="F52" s="131" t="s">
        <v>1516</v>
      </c>
      <c r="G52" s="150"/>
      <c r="H52" s="153"/>
      <c r="I52" s="152"/>
      <c r="J52" s="125">
        <v>5.7000000000000002E-2</v>
      </c>
      <c r="K52" s="131" t="s">
        <v>1516</v>
      </c>
    </row>
    <row r="53" spans="2:11" ht="20">
      <c r="B53" s="131" t="s">
        <v>1482</v>
      </c>
      <c r="C53" s="130">
        <v>1.19</v>
      </c>
      <c r="D53" s="124" t="s">
        <v>1514</v>
      </c>
      <c r="E53" s="125" t="s">
        <v>1513</v>
      </c>
      <c r="F53" s="131" t="s">
        <v>1516</v>
      </c>
      <c r="G53" s="150"/>
      <c r="H53" s="153"/>
      <c r="I53" s="152"/>
      <c r="J53" s="125">
        <v>5.7000000000000002E-2</v>
      </c>
      <c r="K53" s="131" t="s">
        <v>1516</v>
      </c>
    </row>
    <row r="54" spans="2:11" ht="20">
      <c r="B54" s="131" t="s">
        <v>1483</v>
      </c>
      <c r="C54" s="130">
        <v>1.19</v>
      </c>
      <c r="D54" s="124" t="s">
        <v>1514</v>
      </c>
      <c r="E54" s="125" t="s">
        <v>1513</v>
      </c>
      <c r="F54" s="131" t="s">
        <v>1516</v>
      </c>
      <c r="G54" s="150"/>
      <c r="H54" s="153"/>
      <c r="I54" s="152"/>
      <c r="J54" s="125">
        <v>5.7000000000000002E-2</v>
      </c>
      <c r="K54" s="131" t="s">
        <v>1516</v>
      </c>
    </row>
    <row r="55" spans="2:11" ht="20.5" thickBot="1">
      <c r="B55" s="162" t="s">
        <v>363</v>
      </c>
      <c r="C55" s="133" t="s">
        <v>1655</v>
      </c>
      <c r="D55" s="157" t="s">
        <v>1519</v>
      </c>
      <c r="E55" s="158" t="s">
        <v>1513</v>
      </c>
      <c r="F55" s="132" t="s">
        <v>1521</v>
      </c>
      <c r="G55" s="133">
        <f xml:space="preserve"> (100/101.325) * (273.15/298.15)</f>
        <v>0.90416934530766024</v>
      </c>
      <c r="H55" s="159"/>
      <c r="I55" s="160"/>
      <c r="J55" s="157">
        <v>1.3599999999999999E-2</v>
      </c>
      <c r="K55" s="132" t="s">
        <v>1520</v>
      </c>
    </row>
  </sheetData>
  <sheetProtection algorithmName="SHA-512" hashValue="vrxFueWqtCj0wH3r+07AncSMTWHMFVxWqC5ETlfCP67VncpTKDR6tgrxNw9CYp15YxzSeN3ZBtI0LuPItILjvg==" saltValue="nAi2SBtFw0tGSDIPJlBJPw==" spinCount="100000" sheet="1" objects="1" scenarios="1"/>
  <mergeCells count="14">
    <mergeCell ref="B2:B4"/>
    <mergeCell ref="B39:B41"/>
    <mergeCell ref="C39:F39"/>
    <mergeCell ref="G39:K39"/>
    <mergeCell ref="C40:D40"/>
    <mergeCell ref="E40:F40"/>
    <mergeCell ref="H40:I40"/>
    <mergeCell ref="J40:K40"/>
    <mergeCell ref="G2:K2"/>
    <mergeCell ref="C3:D3"/>
    <mergeCell ref="E3:F3"/>
    <mergeCell ref="C2:F2"/>
    <mergeCell ref="H3:I3"/>
    <mergeCell ref="J3:K3"/>
  </mergeCells>
  <phoneticPr fontId="5"/>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14999847407452621"/>
  </sheetPr>
  <dimension ref="B2:O152"/>
  <sheetViews>
    <sheetView zoomScaleNormal="100" workbookViewId="0"/>
  </sheetViews>
  <sheetFormatPr defaultColWidth="9" defaultRowHeight="18"/>
  <cols>
    <col min="2" max="2" width="68.5" customWidth="1"/>
    <col min="3" max="12" width="15.9140625" customWidth="1"/>
    <col min="14" max="14" width="40" bestFit="1" customWidth="1"/>
    <col min="15" max="15" width="18.6640625" bestFit="1" customWidth="1"/>
    <col min="17" max="17" width="43.1640625" bestFit="1" customWidth="1"/>
    <col min="18" max="18" width="18.5" bestFit="1" customWidth="1"/>
    <col min="19" max="19" width="19.6640625" bestFit="1" customWidth="1"/>
  </cols>
  <sheetData>
    <row r="2" spans="2:15">
      <c r="B2" s="120" t="s">
        <v>1598</v>
      </c>
      <c r="C2" s="120" t="s">
        <v>376</v>
      </c>
      <c r="D2" s="120"/>
      <c r="E2" s="120"/>
      <c r="F2" s="120"/>
      <c r="G2" s="120"/>
      <c r="H2" s="120"/>
      <c r="I2" s="120"/>
      <c r="J2" s="120"/>
      <c r="K2" s="120"/>
      <c r="L2" s="120"/>
      <c r="N2" s="120" t="s">
        <v>1598</v>
      </c>
      <c r="O2" s="173" t="s">
        <v>1628</v>
      </c>
    </row>
    <row r="3" spans="2:15">
      <c r="B3" s="123" t="s">
        <v>340</v>
      </c>
      <c r="C3" s="123" t="s">
        <v>297</v>
      </c>
      <c r="D3" s="165" t="s">
        <v>182</v>
      </c>
      <c r="E3" s="123"/>
      <c r="F3" s="123"/>
      <c r="G3" s="123"/>
      <c r="H3" s="123"/>
      <c r="I3" s="123"/>
      <c r="J3" s="123"/>
      <c r="K3" s="123"/>
      <c r="L3" s="123"/>
      <c r="N3" s="123" t="s">
        <v>340</v>
      </c>
      <c r="O3" s="165" t="s">
        <v>182</v>
      </c>
    </row>
    <row r="4" spans="2:15">
      <c r="B4" s="124" t="s">
        <v>341</v>
      </c>
      <c r="C4" s="124" t="s">
        <v>297</v>
      </c>
      <c r="D4" s="166" t="s">
        <v>182</v>
      </c>
      <c r="E4" s="124"/>
      <c r="F4" s="124"/>
      <c r="G4" s="124"/>
      <c r="H4" s="124"/>
      <c r="I4" s="124"/>
      <c r="J4" s="124"/>
      <c r="K4" s="124"/>
      <c r="L4" s="124"/>
      <c r="N4" s="124" t="s">
        <v>341</v>
      </c>
      <c r="O4" s="166" t="s">
        <v>182</v>
      </c>
    </row>
    <row r="5" spans="2:15">
      <c r="B5" s="124" t="s">
        <v>1606</v>
      </c>
      <c r="C5" s="124" t="s">
        <v>297</v>
      </c>
      <c r="D5" s="166" t="s">
        <v>182</v>
      </c>
      <c r="E5" s="124"/>
      <c r="F5" s="124"/>
      <c r="G5" s="124"/>
      <c r="H5" s="124"/>
      <c r="I5" s="124"/>
      <c r="J5" s="124"/>
      <c r="K5" s="124"/>
      <c r="L5" s="124"/>
      <c r="N5" s="124" t="s">
        <v>1606</v>
      </c>
      <c r="O5" s="166" t="s">
        <v>182</v>
      </c>
    </row>
    <row r="6" spans="2:15">
      <c r="B6" s="124" t="s">
        <v>1607</v>
      </c>
      <c r="C6" s="124" t="s">
        <v>297</v>
      </c>
      <c r="D6" s="166" t="s">
        <v>182</v>
      </c>
      <c r="E6" s="124"/>
      <c r="F6" s="124"/>
      <c r="G6" s="124"/>
      <c r="H6" s="124"/>
      <c r="I6" s="124"/>
      <c r="J6" s="124"/>
      <c r="K6" s="124"/>
      <c r="L6" s="124"/>
      <c r="N6" s="124" t="s">
        <v>1607</v>
      </c>
      <c r="O6" s="166" t="s">
        <v>182</v>
      </c>
    </row>
    <row r="7" spans="2:15">
      <c r="B7" s="124" t="s">
        <v>14</v>
      </c>
      <c r="C7" s="124" t="s">
        <v>297</v>
      </c>
      <c r="D7" s="166" t="s">
        <v>182</v>
      </c>
      <c r="E7" s="124"/>
      <c r="F7" s="124"/>
      <c r="G7" s="124"/>
      <c r="H7" s="124"/>
      <c r="I7" s="124"/>
      <c r="J7" s="124"/>
      <c r="K7" s="124"/>
      <c r="L7" s="124"/>
      <c r="N7" s="124" t="s">
        <v>14</v>
      </c>
      <c r="O7" s="166" t="s">
        <v>182</v>
      </c>
    </row>
    <row r="8" spans="2:15">
      <c r="B8" s="124" t="s">
        <v>15</v>
      </c>
      <c r="C8" s="124" t="s">
        <v>297</v>
      </c>
      <c r="D8" s="166" t="s">
        <v>182</v>
      </c>
      <c r="E8" s="124"/>
      <c r="F8" s="124"/>
      <c r="G8" s="124"/>
      <c r="H8" s="124"/>
      <c r="I8" s="124"/>
      <c r="J8" s="124"/>
      <c r="K8" s="124"/>
      <c r="L8" s="124"/>
      <c r="N8" s="124" t="s">
        <v>15</v>
      </c>
      <c r="O8" s="166" t="s">
        <v>182</v>
      </c>
    </row>
    <row r="9" spans="2:15">
      <c r="B9" s="124" t="s">
        <v>16</v>
      </c>
      <c r="C9" s="124" t="s">
        <v>297</v>
      </c>
      <c r="D9" s="166" t="s">
        <v>182</v>
      </c>
      <c r="E9" s="124"/>
      <c r="F9" s="124"/>
      <c r="G9" s="124"/>
      <c r="H9" s="124"/>
      <c r="I9" s="124"/>
      <c r="J9" s="124"/>
      <c r="K9" s="124"/>
      <c r="L9" s="124"/>
      <c r="N9" s="124" t="s">
        <v>16</v>
      </c>
      <c r="O9" s="166" t="s">
        <v>182</v>
      </c>
    </row>
    <row r="10" spans="2:15">
      <c r="B10" s="124" t="s">
        <v>17</v>
      </c>
      <c r="C10" s="124" t="s">
        <v>297</v>
      </c>
      <c r="D10" s="166" t="s">
        <v>182</v>
      </c>
      <c r="E10" s="124"/>
      <c r="F10" s="124"/>
      <c r="G10" s="124"/>
      <c r="H10" s="124"/>
      <c r="I10" s="124"/>
      <c r="J10" s="124"/>
      <c r="K10" s="124"/>
      <c r="L10" s="124"/>
      <c r="N10" s="124" t="s">
        <v>17</v>
      </c>
      <c r="O10" s="166" t="s">
        <v>182</v>
      </c>
    </row>
    <row r="11" spans="2:15">
      <c r="B11" s="124" t="s">
        <v>18</v>
      </c>
      <c r="C11" s="124" t="s">
        <v>300</v>
      </c>
      <c r="D11" s="166" t="s">
        <v>191</v>
      </c>
      <c r="E11" s="124"/>
      <c r="F11" s="124"/>
      <c r="G11" s="124"/>
      <c r="H11" s="124"/>
      <c r="I11" s="124"/>
      <c r="J11" s="124"/>
      <c r="K11" s="124"/>
      <c r="L11" s="124"/>
      <c r="N11" s="124" t="s">
        <v>18</v>
      </c>
      <c r="O11" s="166" t="s">
        <v>191</v>
      </c>
    </row>
    <row r="12" spans="2:15">
      <c r="B12" s="124" t="s">
        <v>20</v>
      </c>
      <c r="C12" s="124" t="s">
        <v>300</v>
      </c>
      <c r="D12" s="166" t="s">
        <v>191</v>
      </c>
      <c r="E12" s="124"/>
      <c r="F12" s="124"/>
      <c r="G12" s="124"/>
      <c r="H12" s="124"/>
      <c r="I12" s="124"/>
      <c r="J12" s="124"/>
      <c r="K12" s="124"/>
      <c r="L12" s="124"/>
      <c r="N12" s="124" t="s">
        <v>20</v>
      </c>
      <c r="O12" s="166" t="s">
        <v>191</v>
      </c>
    </row>
    <row r="13" spans="2:15" ht="20">
      <c r="B13" s="124" t="s">
        <v>336</v>
      </c>
      <c r="C13" s="124" t="s">
        <v>300</v>
      </c>
      <c r="D13" s="166" t="s">
        <v>191</v>
      </c>
      <c r="E13" s="124" t="s">
        <v>298</v>
      </c>
      <c r="F13" s="124" t="s">
        <v>378</v>
      </c>
      <c r="G13" s="124"/>
      <c r="H13" s="124"/>
      <c r="I13" s="124"/>
      <c r="J13" s="124"/>
      <c r="K13" s="124"/>
      <c r="L13" s="124"/>
      <c r="N13" s="124" t="s">
        <v>336</v>
      </c>
      <c r="O13" s="166" t="s">
        <v>191</v>
      </c>
    </row>
    <row r="14" spans="2:15" ht="20">
      <c r="B14" s="124" t="s">
        <v>1608</v>
      </c>
      <c r="C14" s="124" t="s">
        <v>300</v>
      </c>
      <c r="D14" s="166" t="s">
        <v>191</v>
      </c>
      <c r="E14" s="124" t="s">
        <v>298</v>
      </c>
      <c r="F14" s="124" t="s">
        <v>378</v>
      </c>
      <c r="G14" s="124"/>
      <c r="H14" s="124"/>
      <c r="I14" s="124"/>
      <c r="J14" s="124"/>
      <c r="K14" s="124"/>
      <c r="L14" s="124"/>
      <c r="N14" s="124" t="s">
        <v>1608</v>
      </c>
      <c r="O14" s="166" t="s">
        <v>191</v>
      </c>
    </row>
    <row r="15" spans="2:15" ht="20">
      <c r="B15" s="124" t="s">
        <v>1609</v>
      </c>
      <c r="C15" s="124" t="s">
        <v>300</v>
      </c>
      <c r="D15" s="166" t="s">
        <v>191</v>
      </c>
      <c r="E15" s="124" t="s">
        <v>298</v>
      </c>
      <c r="F15" s="124" t="s">
        <v>378</v>
      </c>
      <c r="G15" s="124"/>
      <c r="H15" s="124"/>
      <c r="I15" s="124"/>
      <c r="J15" s="124"/>
      <c r="K15" s="124"/>
      <c r="L15" s="124"/>
      <c r="N15" s="124" t="s">
        <v>1609</v>
      </c>
      <c r="O15" s="166" t="s">
        <v>191</v>
      </c>
    </row>
    <row r="16" spans="2:15" ht="20">
      <c r="B16" s="124" t="s">
        <v>339</v>
      </c>
      <c r="C16" s="124" t="s">
        <v>300</v>
      </c>
      <c r="D16" s="166" t="s">
        <v>191</v>
      </c>
      <c r="E16" s="124" t="s">
        <v>298</v>
      </c>
      <c r="F16" s="124" t="s">
        <v>378</v>
      </c>
      <c r="G16" s="124"/>
      <c r="H16" s="124"/>
      <c r="I16" s="124"/>
      <c r="J16" s="124"/>
      <c r="K16" s="124"/>
      <c r="L16" s="124"/>
      <c r="N16" s="124" t="s">
        <v>339</v>
      </c>
      <c r="O16" s="166" t="s">
        <v>191</v>
      </c>
    </row>
    <row r="17" spans="2:15" ht="20">
      <c r="B17" s="124" t="s">
        <v>23</v>
      </c>
      <c r="C17" s="124" t="s">
        <v>299</v>
      </c>
      <c r="D17" s="124" t="s">
        <v>379</v>
      </c>
      <c r="E17" s="124" t="s">
        <v>380</v>
      </c>
      <c r="F17" s="166" t="s">
        <v>381</v>
      </c>
      <c r="G17" s="124"/>
      <c r="H17" s="124"/>
      <c r="I17" s="124"/>
      <c r="J17" s="124"/>
      <c r="K17" s="124"/>
      <c r="L17" s="124"/>
      <c r="N17" s="124" t="s">
        <v>23</v>
      </c>
      <c r="O17" s="166" t="s">
        <v>381</v>
      </c>
    </row>
    <row r="18" spans="2:15">
      <c r="B18" s="124" t="s">
        <v>343</v>
      </c>
      <c r="C18" s="124" t="s">
        <v>300</v>
      </c>
      <c r="D18" s="166" t="s">
        <v>191</v>
      </c>
      <c r="E18" s="124"/>
      <c r="F18" s="124"/>
      <c r="G18" s="124"/>
      <c r="H18" s="124"/>
      <c r="I18" s="124"/>
      <c r="J18" s="124"/>
      <c r="K18" s="124"/>
      <c r="L18" s="124"/>
      <c r="N18" s="124" t="s">
        <v>343</v>
      </c>
      <c r="O18" s="166" t="s">
        <v>191</v>
      </c>
    </row>
    <row r="19" spans="2:15" ht="20">
      <c r="B19" s="124" t="s">
        <v>26</v>
      </c>
      <c r="C19" s="124" t="s">
        <v>299</v>
      </c>
      <c r="D19" s="124" t="s">
        <v>379</v>
      </c>
      <c r="E19" s="124" t="s">
        <v>298</v>
      </c>
      <c r="F19" s="124" t="s">
        <v>378</v>
      </c>
      <c r="G19" s="124" t="s">
        <v>380</v>
      </c>
      <c r="H19" s="166" t="s">
        <v>381</v>
      </c>
      <c r="I19" s="124"/>
      <c r="J19" s="124"/>
      <c r="K19" s="124"/>
      <c r="L19" s="124"/>
      <c r="N19" s="124" t="s">
        <v>26</v>
      </c>
      <c r="O19" s="166" t="s">
        <v>381</v>
      </c>
    </row>
    <row r="20" spans="2:15">
      <c r="B20" s="124" t="s">
        <v>344</v>
      </c>
      <c r="C20" s="124" t="s">
        <v>300</v>
      </c>
      <c r="D20" s="166" t="s">
        <v>191</v>
      </c>
      <c r="E20" s="124"/>
      <c r="F20" s="124"/>
      <c r="G20" s="124"/>
      <c r="H20" s="124"/>
      <c r="I20" s="124"/>
      <c r="J20" s="124"/>
      <c r="K20" s="124"/>
      <c r="L20" s="124"/>
      <c r="N20" s="124" t="s">
        <v>344</v>
      </c>
      <c r="O20" s="166" t="s">
        <v>191</v>
      </c>
    </row>
    <row r="21" spans="2:15">
      <c r="B21" s="124" t="s">
        <v>345</v>
      </c>
      <c r="C21" s="124" t="s">
        <v>300</v>
      </c>
      <c r="D21" s="166" t="s">
        <v>191</v>
      </c>
      <c r="E21" s="124"/>
      <c r="F21" s="124"/>
      <c r="G21" s="124"/>
      <c r="H21" s="124"/>
      <c r="I21" s="124"/>
      <c r="J21" s="124"/>
      <c r="K21" s="124"/>
      <c r="L21" s="124"/>
      <c r="N21" s="124" t="s">
        <v>345</v>
      </c>
      <c r="O21" s="166" t="s">
        <v>191</v>
      </c>
    </row>
    <row r="22" spans="2:15">
      <c r="B22" s="124" t="s">
        <v>346</v>
      </c>
      <c r="C22" s="124" t="s">
        <v>300</v>
      </c>
      <c r="D22" s="166" t="s">
        <v>191</v>
      </c>
      <c r="E22" s="124"/>
      <c r="F22" s="124"/>
      <c r="G22" s="124"/>
      <c r="H22" s="124"/>
      <c r="I22" s="124"/>
      <c r="J22" s="124"/>
      <c r="K22" s="124"/>
      <c r="L22" s="124"/>
      <c r="N22" s="124" t="s">
        <v>346</v>
      </c>
      <c r="O22" s="166" t="s">
        <v>191</v>
      </c>
    </row>
    <row r="23" spans="2:15">
      <c r="B23" s="124" t="s">
        <v>347</v>
      </c>
      <c r="C23" s="124" t="s">
        <v>300</v>
      </c>
      <c r="D23" s="166" t="s">
        <v>191</v>
      </c>
      <c r="E23" s="124"/>
      <c r="F23" s="124"/>
      <c r="G23" s="124"/>
      <c r="H23" s="124"/>
      <c r="I23" s="124"/>
      <c r="J23" s="124"/>
      <c r="K23" s="124"/>
      <c r="L23" s="124"/>
      <c r="N23" s="124" t="s">
        <v>347</v>
      </c>
      <c r="O23" s="166" t="s">
        <v>191</v>
      </c>
    </row>
    <row r="24" spans="2:15">
      <c r="B24" s="124" t="s">
        <v>348</v>
      </c>
      <c r="C24" s="124" t="s">
        <v>300</v>
      </c>
      <c r="D24" s="166" t="s">
        <v>191</v>
      </c>
      <c r="E24" s="124"/>
      <c r="F24" s="124"/>
      <c r="G24" s="124"/>
      <c r="H24" s="124"/>
      <c r="I24" s="124"/>
      <c r="J24" s="124"/>
      <c r="K24" s="124"/>
      <c r="L24" s="124"/>
      <c r="N24" s="124" t="s">
        <v>348</v>
      </c>
      <c r="O24" s="166" t="s">
        <v>191</v>
      </c>
    </row>
    <row r="25" spans="2:15">
      <c r="B25" s="124" t="s">
        <v>349</v>
      </c>
      <c r="C25" s="124" t="s">
        <v>300</v>
      </c>
      <c r="D25" s="166" t="s">
        <v>191</v>
      </c>
      <c r="E25" s="124"/>
      <c r="F25" s="124"/>
      <c r="G25" s="124"/>
      <c r="H25" s="124"/>
      <c r="I25" s="124"/>
      <c r="J25" s="124"/>
      <c r="K25" s="124"/>
      <c r="L25" s="124"/>
      <c r="N25" s="124" t="s">
        <v>349</v>
      </c>
      <c r="O25" s="166" t="s">
        <v>191</v>
      </c>
    </row>
    <row r="26" spans="2:15">
      <c r="B26" s="124" t="s">
        <v>27</v>
      </c>
      <c r="C26" s="124" t="s">
        <v>300</v>
      </c>
      <c r="D26" s="166" t="s">
        <v>191</v>
      </c>
      <c r="E26" s="124"/>
      <c r="F26" s="124"/>
      <c r="G26" s="124"/>
      <c r="H26" s="124"/>
      <c r="I26" s="124"/>
      <c r="J26" s="124"/>
      <c r="K26" s="124"/>
      <c r="L26" s="124"/>
      <c r="N26" s="124" t="s">
        <v>27</v>
      </c>
      <c r="O26" s="166" t="s">
        <v>191</v>
      </c>
    </row>
    <row r="27" spans="2:15">
      <c r="B27" s="124" t="s">
        <v>1610</v>
      </c>
      <c r="C27" s="124" t="s">
        <v>300</v>
      </c>
      <c r="D27" s="166" t="s">
        <v>191</v>
      </c>
      <c r="E27" s="124"/>
      <c r="F27" s="124"/>
      <c r="G27" s="124"/>
      <c r="H27" s="124"/>
      <c r="I27" s="124"/>
      <c r="J27" s="124"/>
      <c r="K27" s="124"/>
      <c r="L27" s="124"/>
      <c r="N27" s="124" t="s">
        <v>1610</v>
      </c>
      <c r="O27" s="166" t="s">
        <v>191</v>
      </c>
    </row>
    <row r="28" spans="2:15" ht="20">
      <c r="B28" s="124" t="s">
        <v>1611</v>
      </c>
      <c r="C28" s="124" t="s">
        <v>299</v>
      </c>
      <c r="D28" s="124" t="s">
        <v>379</v>
      </c>
      <c r="E28" s="124" t="s">
        <v>298</v>
      </c>
      <c r="F28" s="124" t="s">
        <v>378</v>
      </c>
      <c r="G28" s="124" t="s">
        <v>380</v>
      </c>
      <c r="H28" s="166" t="s">
        <v>381</v>
      </c>
      <c r="I28" s="124"/>
      <c r="J28" s="124"/>
      <c r="K28" s="124"/>
      <c r="L28" s="124"/>
      <c r="N28" s="124" t="s">
        <v>1611</v>
      </c>
      <c r="O28" s="166" t="s">
        <v>381</v>
      </c>
    </row>
    <row r="29" spans="2:15" ht="20">
      <c r="B29" s="124" t="s">
        <v>350</v>
      </c>
      <c r="C29" s="124" t="s">
        <v>299</v>
      </c>
      <c r="D29" s="124" t="s">
        <v>379</v>
      </c>
      <c r="E29" s="124" t="s">
        <v>298</v>
      </c>
      <c r="F29" s="124" t="s">
        <v>378</v>
      </c>
      <c r="G29" s="124" t="s">
        <v>380</v>
      </c>
      <c r="H29" s="166" t="s">
        <v>381</v>
      </c>
      <c r="I29" s="124"/>
      <c r="J29" s="124"/>
      <c r="K29" s="124"/>
      <c r="L29" s="124"/>
      <c r="N29" s="124" t="s">
        <v>350</v>
      </c>
      <c r="O29" s="166" t="s">
        <v>381</v>
      </c>
    </row>
    <row r="30" spans="2:15" ht="20">
      <c r="B30" s="124" t="s">
        <v>351</v>
      </c>
      <c r="C30" s="124" t="s">
        <v>299</v>
      </c>
      <c r="D30" s="124" t="s">
        <v>379</v>
      </c>
      <c r="E30" s="124" t="s">
        <v>298</v>
      </c>
      <c r="F30" s="124" t="s">
        <v>378</v>
      </c>
      <c r="G30" s="124" t="s">
        <v>380</v>
      </c>
      <c r="H30" s="166" t="s">
        <v>381</v>
      </c>
      <c r="I30" s="124"/>
      <c r="J30" s="124"/>
      <c r="K30" s="124"/>
      <c r="L30" s="124"/>
      <c r="N30" s="124" t="s">
        <v>351</v>
      </c>
      <c r="O30" s="166" t="s">
        <v>381</v>
      </c>
    </row>
    <row r="31" spans="2:15" ht="20">
      <c r="B31" s="124" t="s">
        <v>30</v>
      </c>
      <c r="C31" s="124" t="s">
        <v>299</v>
      </c>
      <c r="D31" s="124" t="s">
        <v>379</v>
      </c>
      <c r="E31" s="124" t="s">
        <v>298</v>
      </c>
      <c r="F31" s="124" t="s">
        <v>378</v>
      </c>
      <c r="G31" s="124" t="s">
        <v>380</v>
      </c>
      <c r="H31" s="166" t="s">
        <v>381</v>
      </c>
      <c r="I31" s="124"/>
      <c r="J31" s="124"/>
      <c r="K31" s="124"/>
      <c r="L31" s="124"/>
      <c r="N31" s="124" t="s">
        <v>30</v>
      </c>
      <c r="O31" s="166" t="s">
        <v>381</v>
      </c>
    </row>
    <row r="32" spans="2:15">
      <c r="B32" s="124" t="s">
        <v>50</v>
      </c>
      <c r="C32" s="124" t="s">
        <v>297</v>
      </c>
      <c r="D32" s="166" t="s">
        <v>182</v>
      </c>
      <c r="E32" s="124"/>
      <c r="F32" s="124"/>
      <c r="G32" s="124"/>
      <c r="H32" s="124"/>
      <c r="I32" s="124"/>
      <c r="J32" s="124"/>
      <c r="K32" s="124"/>
      <c r="L32" s="124"/>
      <c r="N32" s="124" t="s">
        <v>50</v>
      </c>
      <c r="O32" s="166" t="s">
        <v>182</v>
      </c>
    </row>
    <row r="33" spans="2:15" ht="20">
      <c r="B33" s="124" t="str">
        <f>非_燃料種類_選択リスト!F33</f>
        <v>その他の燃料①</v>
      </c>
      <c r="C33" s="124" t="s">
        <v>300</v>
      </c>
      <c r="D33" s="124" t="s">
        <v>191</v>
      </c>
      <c r="E33" s="124" t="s">
        <v>297</v>
      </c>
      <c r="F33" s="124" t="s">
        <v>182</v>
      </c>
      <c r="G33" s="124" t="s">
        <v>298</v>
      </c>
      <c r="H33" s="124" t="s">
        <v>378</v>
      </c>
      <c r="I33" s="124" t="s">
        <v>299</v>
      </c>
      <c r="J33" s="124" t="s">
        <v>379</v>
      </c>
      <c r="K33" s="124" t="s">
        <v>380</v>
      </c>
      <c r="L33" s="124" t="s">
        <v>381</v>
      </c>
      <c r="N33" s="124" t="str">
        <f>非_燃料種類_選択リスト!F33</f>
        <v>その他の燃料①</v>
      </c>
      <c r="O33" s="175">
        <f>'0.事業所概要'!L25</f>
        <v>0</v>
      </c>
    </row>
    <row r="34" spans="2:15" ht="20">
      <c r="B34" s="127" t="str">
        <f>非_燃料種類_選択リスト!F34</f>
        <v>その他の燃料②</v>
      </c>
      <c r="C34" s="127" t="s">
        <v>300</v>
      </c>
      <c r="D34" s="127" t="s">
        <v>191</v>
      </c>
      <c r="E34" s="127" t="s">
        <v>297</v>
      </c>
      <c r="F34" s="127" t="s">
        <v>182</v>
      </c>
      <c r="G34" s="127" t="s">
        <v>298</v>
      </c>
      <c r="H34" s="127" t="s">
        <v>378</v>
      </c>
      <c r="I34" s="127" t="s">
        <v>299</v>
      </c>
      <c r="J34" s="127" t="s">
        <v>379</v>
      </c>
      <c r="K34" s="127" t="s">
        <v>380</v>
      </c>
      <c r="L34" s="127" t="s">
        <v>381</v>
      </c>
      <c r="N34" s="127" t="str">
        <f>非_燃料種類_選択リスト!F34</f>
        <v>その他の燃料②</v>
      </c>
      <c r="O34" s="176">
        <f>'0.事業所概要'!L26</f>
        <v>0</v>
      </c>
    </row>
    <row r="37" spans="2:15">
      <c r="B37" s="120" t="s">
        <v>1603</v>
      </c>
      <c r="C37" s="120" t="s">
        <v>376</v>
      </c>
      <c r="D37" s="120"/>
      <c r="E37" s="120"/>
      <c r="F37" s="120"/>
      <c r="G37" s="120"/>
      <c r="H37" s="120"/>
      <c r="N37" s="120" t="s">
        <v>1603</v>
      </c>
      <c r="O37" s="120" t="s">
        <v>1628</v>
      </c>
    </row>
    <row r="38" spans="2:15">
      <c r="B38" s="124" t="s">
        <v>1487</v>
      </c>
      <c r="C38" s="124" t="s">
        <v>371</v>
      </c>
      <c r="D38" s="166" t="s">
        <v>1530</v>
      </c>
      <c r="E38" s="124"/>
      <c r="F38" s="124"/>
      <c r="G38" s="124"/>
      <c r="H38" s="124"/>
      <c r="N38" s="123" t="s">
        <v>1487</v>
      </c>
      <c r="O38" s="165" t="s">
        <v>1530</v>
      </c>
    </row>
    <row r="39" spans="2:15">
      <c r="B39" s="124" t="s">
        <v>1479</v>
      </c>
      <c r="C39" s="124" t="s">
        <v>371</v>
      </c>
      <c r="D39" s="166" t="s">
        <v>1530</v>
      </c>
      <c r="E39" s="124"/>
      <c r="F39" s="124"/>
      <c r="G39" s="124"/>
      <c r="H39" s="124"/>
      <c r="N39" s="124" t="s">
        <v>1479</v>
      </c>
      <c r="O39" s="166" t="s">
        <v>1530</v>
      </c>
    </row>
    <row r="40" spans="2:15">
      <c r="B40" s="124" t="s">
        <v>1663</v>
      </c>
      <c r="C40" s="124" t="s">
        <v>371</v>
      </c>
      <c r="D40" s="166" t="s">
        <v>1530</v>
      </c>
      <c r="E40" s="124"/>
      <c r="F40" s="124"/>
      <c r="G40" s="124"/>
      <c r="H40" s="124"/>
      <c r="N40" s="124" t="s">
        <v>1663</v>
      </c>
      <c r="O40" s="166" t="s">
        <v>1530</v>
      </c>
    </row>
    <row r="41" spans="2:15">
      <c r="B41" s="124" t="s">
        <v>1664</v>
      </c>
      <c r="C41" s="124" t="s">
        <v>371</v>
      </c>
      <c r="D41" s="166" t="s">
        <v>1530</v>
      </c>
      <c r="E41" s="124"/>
      <c r="F41" s="124"/>
      <c r="G41" s="124"/>
      <c r="H41" s="124"/>
      <c r="N41" s="124" t="s">
        <v>1664</v>
      </c>
      <c r="O41" s="166" t="s">
        <v>1530</v>
      </c>
    </row>
    <row r="42" spans="2:15">
      <c r="B42" s="124" t="s">
        <v>1484</v>
      </c>
      <c r="C42" s="124" t="s">
        <v>371</v>
      </c>
      <c r="D42" s="166" t="s">
        <v>1530</v>
      </c>
      <c r="E42" s="124"/>
      <c r="F42" s="124"/>
      <c r="G42" s="124"/>
      <c r="H42" s="124"/>
      <c r="N42" s="124" t="s">
        <v>1484</v>
      </c>
      <c r="O42" s="166" t="s">
        <v>1530</v>
      </c>
    </row>
    <row r="43" spans="2:15">
      <c r="B43" s="124" t="s">
        <v>1485</v>
      </c>
      <c r="C43" s="124" t="s">
        <v>371</v>
      </c>
      <c r="D43" s="166" t="s">
        <v>1530</v>
      </c>
      <c r="E43" s="124"/>
      <c r="F43" s="124"/>
      <c r="G43" s="124"/>
      <c r="H43" s="124"/>
      <c r="N43" s="124" t="s">
        <v>1485</v>
      </c>
      <c r="O43" s="166" t="s">
        <v>1530</v>
      </c>
    </row>
    <row r="44" spans="2:15">
      <c r="B44" s="124" t="s">
        <v>1486</v>
      </c>
      <c r="C44" s="124" t="s">
        <v>371</v>
      </c>
      <c r="D44" s="166" t="s">
        <v>1530</v>
      </c>
      <c r="E44" s="124"/>
      <c r="F44" s="124"/>
      <c r="G44" s="124"/>
      <c r="H44" s="124"/>
      <c r="N44" s="124" t="s">
        <v>1486</v>
      </c>
      <c r="O44" s="166" t="s">
        <v>1530</v>
      </c>
    </row>
    <row r="45" spans="2:15">
      <c r="B45" s="124" t="s">
        <v>2021</v>
      </c>
      <c r="C45" s="124" t="s">
        <v>371</v>
      </c>
      <c r="D45" s="166" t="s">
        <v>1530</v>
      </c>
      <c r="E45" s="124"/>
      <c r="F45" s="124"/>
      <c r="G45" s="124"/>
      <c r="H45" s="124"/>
      <c r="N45" s="124" t="s">
        <v>2019</v>
      </c>
      <c r="O45" s="166" t="s">
        <v>1530</v>
      </c>
    </row>
    <row r="46" spans="2:15">
      <c r="B46" s="124" t="s">
        <v>1931</v>
      </c>
      <c r="C46" s="124" t="s">
        <v>371</v>
      </c>
      <c r="D46" s="166" t="s">
        <v>1530</v>
      </c>
      <c r="E46" s="124"/>
      <c r="F46" s="124"/>
      <c r="G46" s="124"/>
      <c r="H46" s="124"/>
      <c r="N46" s="124" t="s">
        <v>1931</v>
      </c>
      <c r="O46" s="166" t="s">
        <v>1530</v>
      </c>
    </row>
    <row r="47" spans="2:15">
      <c r="B47" s="124" t="s">
        <v>1480</v>
      </c>
      <c r="C47" s="124" t="s">
        <v>1531</v>
      </c>
      <c r="D47" s="166" t="s">
        <v>181</v>
      </c>
      <c r="E47" s="124"/>
      <c r="F47" s="124"/>
      <c r="G47" s="124"/>
      <c r="H47" s="124"/>
      <c r="N47" s="124" t="s">
        <v>1480</v>
      </c>
      <c r="O47" s="166" t="s">
        <v>181</v>
      </c>
    </row>
    <row r="48" spans="2:15">
      <c r="B48" s="124" t="s">
        <v>1481</v>
      </c>
      <c r="C48" s="124" t="s">
        <v>1531</v>
      </c>
      <c r="D48" s="166" t="s">
        <v>181</v>
      </c>
      <c r="E48" s="124"/>
      <c r="F48" s="124"/>
      <c r="G48" s="124"/>
      <c r="H48" s="124"/>
      <c r="N48" s="124" t="s">
        <v>1481</v>
      </c>
      <c r="O48" s="166" t="s">
        <v>181</v>
      </c>
    </row>
    <row r="49" spans="2:15">
      <c r="B49" s="124" t="s">
        <v>1482</v>
      </c>
      <c r="C49" s="124" t="s">
        <v>1531</v>
      </c>
      <c r="D49" s="166" t="s">
        <v>181</v>
      </c>
      <c r="E49" s="124"/>
      <c r="F49" s="124"/>
      <c r="G49" s="124"/>
      <c r="H49" s="124"/>
      <c r="N49" s="124" t="s">
        <v>1482</v>
      </c>
      <c r="O49" s="166" t="s">
        <v>181</v>
      </c>
    </row>
    <row r="50" spans="2:15">
      <c r="B50" s="124" t="s">
        <v>1483</v>
      </c>
      <c r="C50" s="124" t="s">
        <v>1531</v>
      </c>
      <c r="D50" s="166" t="s">
        <v>181</v>
      </c>
      <c r="E50" s="124"/>
      <c r="F50" s="124"/>
      <c r="G50" s="124"/>
      <c r="H50" s="124"/>
      <c r="N50" s="124" t="s">
        <v>1483</v>
      </c>
      <c r="O50" s="166" t="s">
        <v>181</v>
      </c>
    </row>
    <row r="51" spans="2:15">
      <c r="B51" s="124" t="s">
        <v>1654</v>
      </c>
      <c r="C51" s="124" t="s">
        <v>1870</v>
      </c>
      <c r="D51" s="166" t="s">
        <v>1871</v>
      </c>
      <c r="E51" s="124"/>
      <c r="F51" s="124"/>
      <c r="G51" s="124"/>
      <c r="H51" s="124"/>
      <c r="N51" s="174" t="s">
        <v>1654</v>
      </c>
      <c r="O51" s="215" t="s">
        <v>1871</v>
      </c>
    </row>
    <row r="52" spans="2:15">
      <c r="B52" s="124" t="s">
        <v>1653</v>
      </c>
      <c r="C52" s="124" t="s">
        <v>371</v>
      </c>
      <c r="D52" s="166" t="s">
        <v>1530</v>
      </c>
      <c r="E52" s="124"/>
      <c r="F52" s="124"/>
      <c r="G52" s="124"/>
      <c r="H52" s="124"/>
      <c r="N52" s="174" t="s">
        <v>1653</v>
      </c>
      <c r="O52" s="215" t="s">
        <v>1530</v>
      </c>
    </row>
    <row r="53" spans="2:15" ht="20">
      <c r="B53" s="127" t="s">
        <v>211</v>
      </c>
      <c r="C53" s="127" t="s">
        <v>298</v>
      </c>
      <c r="D53" s="127" t="s">
        <v>378</v>
      </c>
      <c r="E53" s="127" t="s">
        <v>377</v>
      </c>
      <c r="F53" s="127" t="s">
        <v>379</v>
      </c>
      <c r="G53" s="127" t="s">
        <v>380</v>
      </c>
      <c r="H53" s="167" t="s">
        <v>381</v>
      </c>
      <c r="N53" s="127" t="s">
        <v>211</v>
      </c>
      <c r="O53" s="167" t="s">
        <v>381</v>
      </c>
    </row>
    <row r="55" spans="2:15">
      <c r="B55" s="120" t="s">
        <v>1599</v>
      </c>
      <c r="C55" s="120" t="s">
        <v>376</v>
      </c>
      <c r="D55" s="120"/>
      <c r="E55" s="120"/>
      <c r="F55" s="120"/>
      <c r="G55" s="120"/>
      <c r="H55" s="120"/>
    </row>
    <row r="56" spans="2:15">
      <c r="B56" s="123" t="s">
        <v>1895</v>
      </c>
      <c r="C56" s="123" t="s">
        <v>300</v>
      </c>
      <c r="D56" s="165" t="s">
        <v>191</v>
      </c>
      <c r="E56" s="123"/>
      <c r="F56" s="123"/>
      <c r="G56" s="123"/>
      <c r="H56" s="123"/>
    </row>
    <row r="57" spans="2:15">
      <c r="B57" s="124" t="s">
        <v>88</v>
      </c>
      <c r="C57" s="124" t="s">
        <v>300</v>
      </c>
      <c r="D57" s="166" t="s">
        <v>191</v>
      </c>
      <c r="E57" s="124"/>
      <c r="F57" s="124"/>
      <c r="G57" s="124"/>
      <c r="H57" s="124"/>
    </row>
    <row r="58" spans="2:15">
      <c r="B58" s="124" t="s">
        <v>89</v>
      </c>
      <c r="C58" s="124" t="s">
        <v>300</v>
      </c>
      <c r="D58" s="166" t="s">
        <v>191</v>
      </c>
      <c r="E58" s="124"/>
      <c r="F58" s="124"/>
      <c r="G58" s="124"/>
      <c r="H58" s="124"/>
    </row>
    <row r="59" spans="2:15">
      <c r="B59" s="124" t="s">
        <v>90</v>
      </c>
      <c r="C59" s="124" t="s">
        <v>300</v>
      </c>
      <c r="D59" s="166" t="s">
        <v>191</v>
      </c>
      <c r="E59" s="124"/>
      <c r="F59" s="124"/>
      <c r="G59" s="124"/>
      <c r="H59" s="124"/>
    </row>
    <row r="60" spans="2:15">
      <c r="B60" s="124" t="s">
        <v>91</v>
      </c>
      <c r="C60" s="124" t="s">
        <v>300</v>
      </c>
      <c r="D60" s="166" t="s">
        <v>191</v>
      </c>
      <c r="E60" s="124"/>
      <c r="F60" s="124"/>
      <c r="G60" s="124"/>
      <c r="H60" s="124"/>
    </row>
    <row r="61" spans="2:15">
      <c r="B61" s="154" t="s">
        <v>92</v>
      </c>
      <c r="C61" s="124" t="s">
        <v>297</v>
      </c>
      <c r="D61" s="166" t="s">
        <v>182</v>
      </c>
      <c r="E61" s="124"/>
      <c r="F61" s="124"/>
      <c r="G61" s="124"/>
      <c r="H61" s="124"/>
    </row>
    <row r="62" spans="2:15">
      <c r="B62" s="124" t="s">
        <v>93</v>
      </c>
      <c r="C62" s="124" t="s">
        <v>297</v>
      </c>
      <c r="D62" s="166" t="s">
        <v>182</v>
      </c>
      <c r="E62" s="124"/>
      <c r="F62" s="124"/>
      <c r="G62" s="124"/>
      <c r="H62" s="124"/>
    </row>
    <row r="63" spans="2:15" ht="20">
      <c r="B63" s="124" t="s">
        <v>94</v>
      </c>
      <c r="C63" s="124" t="s">
        <v>298</v>
      </c>
      <c r="D63" s="166" t="s">
        <v>378</v>
      </c>
      <c r="E63" s="124"/>
      <c r="F63" s="124"/>
      <c r="G63" s="124"/>
      <c r="H63" s="124"/>
    </row>
    <row r="64" spans="2:15">
      <c r="B64" s="124" t="s">
        <v>159</v>
      </c>
      <c r="C64" s="124" t="s">
        <v>373</v>
      </c>
      <c r="D64" s="166" t="s">
        <v>374</v>
      </c>
      <c r="E64" s="124"/>
      <c r="F64" s="124"/>
      <c r="G64" s="124"/>
      <c r="H64" s="124"/>
    </row>
    <row r="65" spans="2:8" ht="20">
      <c r="B65" s="124" t="str">
        <f>IF('15非化石燃料_建物'!C17="","廃棄物原燃料　自由記入1",'15非化石燃料_建物'!C17)</f>
        <v>廃棄物ガス</v>
      </c>
      <c r="C65" s="124" t="s">
        <v>373</v>
      </c>
      <c r="D65" s="124" t="s">
        <v>374</v>
      </c>
      <c r="E65" s="124" t="s">
        <v>372</v>
      </c>
      <c r="F65" s="124" t="s">
        <v>267</v>
      </c>
      <c r="G65" s="124" t="s">
        <v>298</v>
      </c>
      <c r="H65" s="124" t="s">
        <v>378</v>
      </c>
    </row>
    <row r="66" spans="2:8" ht="20">
      <c r="B66" s="124" t="str">
        <f>IF('15非化石燃料_建物'!C18="","廃棄物原燃料　自由記入2",'15非化石燃料_建物'!C18)</f>
        <v>廃棄物原燃料　自由記入2</v>
      </c>
      <c r="C66" s="124" t="s">
        <v>373</v>
      </c>
      <c r="D66" s="124" t="s">
        <v>374</v>
      </c>
      <c r="E66" s="124" t="s">
        <v>372</v>
      </c>
      <c r="F66" s="124" t="s">
        <v>267</v>
      </c>
      <c r="G66" s="124" t="s">
        <v>298</v>
      </c>
      <c r="H66" s="124" t="s">
        <v>378</v>
      </c>
    </row>
    <row r="67" spans="2:8">
      <c r="B67" s="124" t="s">
        <v>161</v>
      </c>
      <c r="C67" s="124" t="s">
        <v>373</v>
      </c>
      <c r="D67" s="166" t="s">
        <v>374</v>
      </c>
      <c r="E67" s="124"/>
      <c r="F67" s="124"/>
      <c r="G67" s="124"/>
      <c r="H67" s="124"/>
    </row>
    <row r="68" spans="2:8">
      <c r="B68" s="124" t="s">
        <v>162</v>
      </c>
      <c r="C68" s="124" t="s">
        <v>373</v>
      </c>
      <c r="D68" s="166" t="s">
        <v>374</v>
      </c>
      <c r="E68" s="124"/>
      <c r="F68" s="124"/>
      <c r="G68" s="124"/>
      <c r="H68" s="124"/>
    </row>
    <row r="69" spans="2:8">
      <c r="B69" s="124" t="s">
        <v>163</v>
      </c>
      <c r="C69" s="124" t="s">
        <v>373</v>
      </c>
      <c r="D69" s="166" t="s">
        <v>374</v>
      </c>
      <c r="E69" s="124"/>
      <c r="F69" s="124"/>
      <c r="G69" s="124"/>
      <c r="H69" s="124"/>
    </row>
    <row r="70" spans="2:8">
      <c r="B70" s="124" t="s">
        <v>1504</v>
      </c>
      <c r="C70" s="124" t="s">
        <v>372</v>
      </c>
      <c r="D70" s="166" t="s">
        <v>267</v>
      </c>
      <c r="E70" s="124"/>
      <c r="F70" s="124"/>
      <c r="G70" s="124"/>
      <c r="H70" s="124"/>
    </row>
    <row r="71" spans="2:8">
      <c r="B71" s="124" t="s">
        <v>2018</v>
      </c>
      <c r="C71" s="124" t="s">
        <v>372</v>
      </c>
      <c r="D71" s="166" t="s">
        <v>267</v>
      </c>
      <c r="E71" s="124"/>
      <c r="F71" s="124"/>
      <c r="G71" s="124"/>
      <c r="H71" s="124"/>
    </row>
    <row r="72" spans="2:8" ht="20">
      <c r="B72" s="124" t="s">
        <v>1506</v>
      </c>
      <c r="C72" s="124" t="s">
        <v>298</v>
      </c>
      <c r="D72" s="166" t="s">
        <v>378</v>
      </c>
      <c r="E72" s="124"/>
      <c r="F72" s="124"/>
      <c r="G72" s="124"/>
      <c r="H72" s="124"/>
    </row>
    <row r="73" spans="2:8">
      <c r="B73" s="124" t="s">
        <v>167</v>
      </c>
      <c r="C73" s="124" t="s">
        <v>373</v>
      </c>
      <c r="D73" s="166" t="s">
        <v>374</v>
      </c>
      <c r="E73" s="124"/>
      <c r="F73" s="124"/>
      <c r="G73" s="124"/>
      <c r="H73" s="124"/>
    </row>
    <row r="74" spans="2:8" ht="20">
      <c r="B74" s="124" t="str">
        <f>IF('15非化石燃料_建物'!C26="","バイオマス燃料　自由記入1",'15非化石燃料_建物'!C26)</f>
        <v>バイオマス燃料　自由記入1</v>
      </c>
      <c r="C74" s="124" t="s">
        <v>373</v>
      </c>
      <c r="D74" s="124" t="s">
        <v>374</v>
      </c>
      <c r="E74" s="124" t="s">
        <v>372</v>
      </c>
      <c r="F74" s="124" t="s">
        <v>267</v>
      </c>
      <c r="G74" s="124" t="s">
        <v>298</v>
      </c>
      <c r="H74" s="124" t="s">
        <v>378</v>
      </c>
    </row>
    <row r="75" spans="2:8" ht="20">
      <c r="B75" s="124" t="str">
        <f>IF('15非化石燃料_建物'!C27="","バイオマス燃料　自由記入2",'15非化石燃料_建物'!C27)</f>
        <v>バイオマス燃料　自由記入2</v>
      </c>
      <c r="C75" s="124" t="s">
        <v>373</v>
      </c>
      <c r="D75" s="124" t="s">
        <v>374</v>
      </c>
      <c r="E75" s="124" t="s">
        <v>372</v>
      </c>
      <c r="F75" s="124" t="s">
        <v>267</v>
      </c>
      <c r="G75" s="124" t="s">
        <v>298</v>
      </c>
      <c r="H75" s="124" t="s">
        <v>378</v>
      </c>
    </row>
    <row r="76" spans="2:8">
      <c r="B76" s="124" t="s">
        <v>169</v>
      </c>
      <c r="C76" s="124" t="s">
        <v>373</v>
      </c>
      <c r="D76" s="166" t="s">
        <v>374</v>
      </c>
      <c r="E76" s="124"/>
      <c r="F76" s="124"/>
      <c r="G76" s="124"/>
      <c r="H76" s="124"/>
    </row>
    <row r="77" spans="2:8">
      <c r="B77" s="124" t="s">
        <v>1532</v>
      </c>
      <c r="C77" s="124" t="s">
        <v>373</v>
      </c>
      <c r="D77" s="166" t="s">
        <v>374</v>
      </c>
      <c r="E77" s="124"/>
      <c r="F77" s="124"/>
      <c r="G77" s="124"/>
      <c r="H77" s="124"/>
    </row>
    <row r="78" spans="2:8" ht="20">
      <c r="B78" s="124" t="str">
        <f>IF('15非化石燃料_建物'!C30="","その他の非化石燃料　自由記入1",'15非化石燃料_建物'!C30)</f>
        <v>その他の非化石燃料　自由記入1</v>
      </c>
      <c r="C78" s="124" t="s">
        <v>373</v>
      </c>
      <c r="D78" s="124" t="s">
        <v>374</v>
      </c>
      <c r="E78" s="124" t="s">
        <v>372</v>
      </c>
      <c r="F78" s="124" t="s">
        <v>267</v>
      </c>
      <c r="G78" s="124" t="s">
        <v>298</v>
      </c>
      <c r="H78" s="124" t="s">
        <v>378</v>
      </c>
    </row>
    <row r="79" spans="2:8" ht="20">
      <c r="B79" s="127" t="str">
        <f>IF('15非化石燃料_建物'!C31="","その他の非化石燃料　自由記入2",'15非化石燃料_建物'!C31)</f>
        <v>その他の非化石燃料　自由記入2</v>
      </c>
      <c r="C79" s="127" t="s">
        <v>373</v>
      </c>
      <c r="D79" s="127" t="s">
        <v>374</v>
      </c>
      <c r="E79" s="127" t="s">
        <v>372</v>
      </c>
      <c r="F79" s="127" t="s">
        <v>267</v>
      </c>
      <c r="G79" s="127" t="s">
        <v>298</v>
      </c>
      <c r="H79" s="127" t="s">
        <v>378</v>
      </c>
    </row>
    <row r="81" spans="2:8">
      <c r="B81" s="120" t="s">
        <v>1601</v>
      </c>
      <c r="C81" s="120" t="s">
        <v>376</v>
      </c>
      <c r="D81" s="120"/>
    </row>
    <row r="82" spans="2:8">
      <c r="B82" s="123" t="s">
        <v>59</v>
      </c>
      <c r="C82" s="123" t="s">
        <v>371</v>
      </c>
      <c r="D82" s="123" t="s">
        <v>1530</v>
      </c>
      <c r="F82" s="120" t="s">
        <v>1982</v>
      </c>
      <c r="G82" s="120"/>
    </row>
    <row r="83" spans="2:8">
      <c r="B83" s="124" t="s">
        <v>1602</v>
      </c>
      <c r="C83" s="124" t="s">
        <v>1531</v>
      </c>
      <c r="D83" s="124" t="s">
        <v>181</v>
      </c>
    </row>
    <row r="84" spans="2:8">
      <c r="B84" s="124" t="s">
        <v>60</v>
      </c>
      <c r="C84" s="124" t="s">
        <v>370</v>
      </c>
      <c r="D84" s="124" t="s">
        <v>1530</v>
      </c>
    </row>
    <row r="85" spans="2:8">
      <c r="B85" s="127" t="s">
        <v>1665</v>
      </c>
      <c r="C85" s="127" t="s">
        <v>370</v>
      </c>
      <c r="D85" s="127" t="s">
        <v>1530</v>
      </c>
    </row>
    <row r="87" spans="2:8">
      <c r="B87" s="120" t="s">
        <v>1600</v>
      </c>
      <c r="C87" s="120" t="s">
        <v>376</v>
      </c>
      <c r="D87" s="120"/>
      <c r="E87" s="120"/>
      <c r="F87" s="120"/>
      <c r="G87" s="120"/>
      <c r="H87" s="120"/>
    </row>
    <row r="88" spans="2:8">
      <c r="B88" s="155" t="s">
        <v>1535</v>
      </c>
      <c r="C88" s="123" t="s">
        <v>373</v>
      </c>
      <c r="D88" s="165" t="s">
        <v>374</v>
      </c>
      <c r="E88" s="123"/>
      <c r="F88" s="123"/>
      <c r="G88" s="123"/>
      <c r="H88" s="123"/>
    </row>
    <row r="89" spans="2:8">
      <c r="B89" s="154" t="s">
        <v>1536</v>
      </c>
      <c r="C89" s="124" t="s">
        <v>373</v>
      </c>
      <c r="D89" s="166" t="s">
        <v>374</v>
      </c>
      <c r="E89" s="124"/>
      <c r="F89" s="124"/>
      <c r="G89" s="124"/>
      <c r="H89" s="124"/>
    </row>
    <row r="90" spans="2:8">
      <c r="B90" s="154" t="s">
        <v>1537</v>
      </c>
      <c r="C90" s="124" t="s">
        <v>373</v>
      </c>
      <c r="D90" s="166" t="s">
        <v>374</v>
      </c>
      <c r="E90" s="124"/>
      <c r="F90" s="124"/>
      <c r="G90" s="124"/>
      <c r="H90" s="124"/>
    </row>
    <row r="91" spans="2:8">
      <c r="B91" s="154" t="s">
        <v>1538</v>
      </c>
      <c r="C91" s="124" t="s">
        <v>373</v>
      </c>
      <c r="D91" s="166" t="s">
        <v>374</v>
      </c>
      <c r="E91" s="124"/>
      <c r="F91" s="124"/>
      <c r="G91" s="124"/>
      <c r="H91" s="124"/>
    </row>
    <row r="92" spans="2:8">
      <c r="B92" s="154" t="s">
        <v>1539</v>
      </c>
      <c r="C92" s="124" t="s">
        <v>373</v>
      </c>
      <c r="D92" s="166" t="s">
        <v>374</v>
      </c>
      <c r="E92" s="124"/>
      <c r="F92" s="124"/>
      <c r="G92" s="124"/>
      <c r="H92" s="124"/>
    </row>
    <row r="93" spans="2:8">
      <c r="B93" s="154" t="s">
        <v>1540</v>
      </c>
      <c r="C93" s="124" t="s">
        <v>373</v>
      </c>
      <c r="D93" s="166" t="s">
        <v>374</v>
      </c>
      <c r="E93" s="124"/>
      <c r="F93" s="124"/>
      <c r="G93" s="124"/>
      <c r="H93" s="124"/>
    </row>
    <row r="94" spans="2:8">
      <c r="B94" s="154" t="s">
        <v>1541</v>
      </c>
      <c r="C94" s="124" t="s">
        <v>373</v>
      </c>
      <c r="D94" s="166" t="s">
        <v>374</v>
      </c>
      <c r="E94" s="124"/>
      <c r="F94" s="124"/>
      <c r="G94" s="124"/>
      <c r="H94" s="124"/>
    </row>
    <row r="95" spans="2:8">
      <c r="B95" s="154" t="s">
        <v>1542</v>
      </c>
      <c r="C95" s="124" t="s">
        <v>373</v>
      </c>
      <c r="D95" s="166" t="s">
        <v>374</v>
      </c>
      <c r="E95" s="124"/>
      <c r="F95" s="124"/>
      <c r="G95" s="124"/>
      <c r="H95" s="124"/>
    </row>
    <row r="96" spans="2:8">
      <c r="B96" s="154" t="s">
        <v>1543</v>
      </c>
      <c r="C96" s="124" t="s">
        <v>373</v>
      </c>
      <c r="D96" s="166" t="s">
        <v>374</v>
      </c>
      <c r="E96" s="124"/>
      <c r="F96" s="124"/>
      <c r="G96" s="124"/>
      <c r="H96" s="124"/>
    </row>
    <row r="97" spans="2:8">
      <c r="B97" s="154" t="s">
        <v>1533</v>
      </c>
      <c r="C97" s="124" t="s">
        <v>373</v>
      </c>
      <c r="D97" s="166" t="s">
        <v>374</v>
      </c>
      <c r="E97" s="124"/>
      <c r="F97" s="124"/>
      <c r="G97" s="124"/>
      <c r="H97" s="124"/>
    </row>
    <row r="98" spans="2:8">
      <c r="B98" s="154" t="s">
        <v>1544</v>
      </c>
      <c r="C98" s="124" t="s">
        <v>373</v>
      </c>
      <c r="D98" s="166" t="s">
        <v>374</v>
      </c>
      <c r="E98" s="124"/>
      <c r="F98" s="124"/>
      <c r="G98" s="124"/>
      <c r="H98" s="124"/>
    </row>
    <row r="99" spans="2:8">
      <c r="B99" s="154" t="s">
        <v>1545</v>
      </c>
      <c r="C99" s="124" t="s">
        <v>373</v>
      </c>
      <c r="D99" s="166" t="s">
        <v>374</v>
      </c>
      <c r="E99" s="124"/>
      <c r="F99" s="124"/>
      <c r="G99" s="124"/>
      <c r="H99" s="124"/>
    </row>
    <row r="100" spans="2:8">
      <c r="B100" s="154" t="s">
        <v>1546</v>
      </c>
      <c r="C100" s="124" t="s">
        <v>373</v>
      </c>
      <c r="D100" s="166" t="s">
        <v>374</v>
      </c>
      <c r="E100" s="124"/>
      <c r="F100" s="124"/>
      <c r="G100" s="124"/>
      <c r="H100" s="124"/>
    </row>
    <row r="101" spans="2:8">
      <c r="B101" s="154" t="s">
        <v>1547</v>
      </c>
      <c r="C101" s="124" t="s">
        <v>373</v>
      </c>
      <c r="D101" s="166" t="s">
        <v>374</v>
      </c>
      <c r="E101" s="124"/>
      <c r="F101" s="124"/>
      <c r="G101" s="124"/>
      <c r="H101" s="124"/>
    </row>
    <row r="102" spans="2:8">
      <c r="B102" s="154" t="s">
        <v>1548</v>
      </c>
      <c r="C102" s="124" t="s">
        <v>373</v>
      </c>
      <c r="D102" s="166" t="s">
        <v>374</v>
      </c>
      <c r="E102" s="124"/>
      <c r="F102" s="124"/>
      <c r="G102" s="124"/>
      <c r="H102" s="124"/>
    </row>
    <row r="103" spans="2:8">
      <c r="B103" s="154" t="s">
        <v>1549</v>
      </c>
      <c r="C103" s="124" t="s">
        <v>373</v>
      </c>
      <c r="D103" s="166" t="s">
        <v>374</v>
      </c>
      <c r="E103" s="124"/>
      <c r="F103" s="124"/>
      <c r="G103" s="124"/>
      <c r="H103" s="124"/>
    </row>
    <row r="104" spans="2:8">
      <c r="B104" s="154" t="s">
        <v>1550</v>
      </c>
      <c r="C104" s="124" t="s">
        <v>373</v>
      </c>
      <c r="D104" s="166" t="s">
        <v>374</v>
      </c>
      <c r="E104" s="124"/>
      <c r="F104" s="124"/>
      <c r="G104" s="124"/>
      <c r="H104" s="124"/>
    </row>
    <row r="105" spans="2:8">
      <c r="B105" s="154" t="s">
        <v>1551</v>
      </c>
      <c r="C105" s="124" t="s">
        <v>373</v>
      </c>
      <c r="D105" s="166" t="s">
        <v>374</v>
      </c>
      <c r="E105" s="124"/>
      <c r="F105" s="124"/>
      <c r="G105" s="124"/>
      <c r="H105" s="124"/>
    </row>
    <row r="106" spans="2:8">
      <c r="B106" s="154" t="s">
        <v>1552</v>
      </c>
      <c r="C106" s="124" t="s">
        <v>373</v>
      </c>
      <c r="D106" s="166" t="s">
        <v>374</v>
      </c>
      <c r="E106" s="124"/>
      <c r="F106" s="124"/>
      <c r="G106" s="124"/>
      <c r="H106" s="124"/>
    </row>
    <row r="107" spans="2:8">
      <c r="B107" s="154" t="s">
        <v>1553</v>
      </c>
      <c r="C107" s="124" t="s">
        <v>373</v>
      </c>
      <c r="D107" s="166" t="s">
        <v>374</v>
      </c>
      <c r="E107" s="124"/>
      <c r="F107" s="124"/>
      <c r="G107" s="124"/>
      <c r="H107" s="124"/>
    </row>
    <row r="108" spans="2:8">
      <c r="B108" s="154" t="s">
        <v>1534</v>
      </c>
      <c r="C108" s="124" t="s">
        <v>373</v>
      </c>
      <c r="D108" s="166" t="s">
        <v>374</v>
      </c>
      <c r="E108" s="124"/>
      <c r="F108" s="124"/>
      <c r="G108" s="124"/>
      <c r="H108" s="124"/>
    </row>
    <row r="109" spans="2:8">
      <c r="B109" s="154" t="s">
        <v>1554</v>
      </c>
      <c r="C109" s="124" t="s">
        <v>373</v>
      </c>
      <c r="D109" s="166" t="s">
        <v>374</v>
      </c>
      <c r="E109" s="124"/>
      <c r="F109" s="124"/>
      <c r="G109" s="124"/>
      <c r="H109" s="124"/>
    </row>
    <row r="110" spans="2:8">
      <c r="B110" s="154" t="s">
        <v>1555</v>
      </c>
      <c r="C110" s="124" t="s">
        <v>373</v>
      </c>
      <c r="D110" s="166" t="s">
        <v>374</v>
      </c>
      <c r="E110" s="124"/>
      <c r="F110" s="124"/>
      <c r="G110" s="124"/>
      <c r="H110" s="124"/>
    </row>
    <row r="111" spans="2:8">
      <c r="B111" s="154" t="s">
        <v>1556</v>
      </c>
      <c r="C111" s="124" t="s">
        <v>373</v>
      </c>
      <c r="D111" s="166" t="s">
        <v>374</v>
      </c>
      <c r="E111" s="124"/>
      <c r="F111" s="124"/>
      <c r="G111" s="124"/>
      <c r="H111" s="124"/>
    </row>
    <row r="112" spans="2:8">
      <c r="B112" s="154" t="s">
        <v>1557</v>
      </c>
      <c r="C112" s="124" t="s">
        <v>373</v>
      </c>
      <c r="D112" s="166" t="s">
        <v>374</v>
      </c>
      <c r="E112" s="124"/>
      <c r="F112" s="124"/>
      <c r="G112" s="124"/>
      <c r="H112" s="124"/>
    </row>
    <row r="113" spans="2:8">
      <c r="B113" s="154" t="s">
        <v>1558</v>
      </c>
      <c r="C113" s="124" t="s">
        <v>373</v>
      </c>
      <c r="D113" s="166" t="s">
        <v>374</v>
      </c>
      <c r="E113" s="124"/>
      <c r="F113" s="124"/>
      <c r="G113" s="124"/>
      <c r="H113" s="124"/>
    </row>
    <row r="114" spans="2:8">
      <c r="B114" s="154" t="s">
        <v>1559</v>
      </c>
      <c r="C114" s="124" t="s">
        <v>373</v>
      </c>
      <c r="D114" s="166" t="s">
        <v>374</v>
      </c>
      <c r="E114" s="124"/>
      <c r="F114" s="124"/>
      <c r="G114" s="124"/>
      <c r="H114" s="124"/>
    </row>
    <row r="115" spans="2:8">
      <c r="B115" s="154" t="s">
        <v>1560</v>
      </c>
      <c r="C115" s="124" t="s">
        <v>297</v>
      </c>
      <c r="D115" s="166" t="s">
        <v>182</v>
      </c>
      <c r="E115" s="124"/>
      <c r="F115" s="124"/>
      <c r="G115" s="124"/>
      <c r="H115" s="124"/>
    </row>
    <row r="116" spans="2:8">
      <c r="B116" s="154" t="s">
        <v>1561</v>
      </c>
      <c r="C116" s="124" t="s">
        <v>373</v>
      </c>
      <c r="D116" s="166" t="s">
        <v>374</v>
      </c>
      <c r="E116" s="124"/>
      <c r="F116" s="124"/>
      <c r="G116" s="124"/>
      <c r="H116" s="124"/>
    </row>
    <row r="117" spans="2:8" ht="20">
      <c r="B117" s="154" t="s">
        <v>1562</v>
      </c>
      <c r="C117" s="124" t="s">
        <v>298</v>
      </c>
      <c r="D117" s="166" t="s">
        <v>378</v>
      </c>
      <c r="E117" s="124"/>
      <c r="F117" s="124"/>
      <c r="G117" s="124"/>
      <c r="H117" s="124"/>
    </row>
    <row r="118" spans="2:8">
      <c r="B118" s="154" t="s">
        <v>1563</v>
      </c>
      <c r="C118" s="124" t="s">
        <v>373</v>
      </c>
      <c r="D118" s="166" t="s">
        <v>374</v>
      </c>
      <c r="E118" s="124"/>
      <c r="F118" s="124"/>
      <c r="G118" s="124"/>
      <c r="H118" s="124"/>
    </row>
    <row r="119" spans="2:8">
      <c r="B119" s="154" t="s">
        <v>1564</v>
      </c>
      <c r="C119" s="124" t="s">
        <v>373</v>
      </c>
      <c r="D119" s="166" t="s">
        <v>374</v>
      </c>
      <c r="E119" s="124"/>
      <c r="F119" s="124"/>
      <c r="G119" s="124"/>
      <c r="H119" s="124"/>
    </row>
    <row r="120" spans="2:8">
      <c r="B120" s="154" t="s">
        <v>1565</v>
      </c>
      <c r="C120" s="124" t="s">
        <v>373</v>
      </c>
      <c r="D120" s="166" t="s">
        <v>374</v>
      </c>
      <c r="E120" s="124"/>
      <c r="F120" s="124"/>
      <c r="G120" s="124"/>
      <c r="H120" s="124"/>
    </row>
    <row r="121" spans="2:8">
      <c r="B121" s="154" t="s">
        <v>1566</v>
      </c>
      <c r="C121" s="124" t="s">
        <v>373</v>
      </c>
      <c r="D121" s="166" t="s">
        <v>374</v>
      </c>
      <c r="E121" s="124"/>
      <c r="F121" s="124"/>
      <c r="G121" s="124"/>
      <c r="H121" s="124"/>
    </row>
    <row r="122" spans="2:8">
      <c r="B122" s="154" t="s">
        <v>1567</v>
      </c>
      <c r="C122" s="124" t="s">
        <v>373</v>
      </c>
      <c r="D122" s="166" t="s">
        <v>374</v>
      </c>
      <c r="E122" s="124"/>
      <c r="F122" s="124"/>
      <c r="G122" s="124"/>
      <c r="H122" s="124"/>
    </row>
    <row r="123" spans="2:8">
      <c r="B123" s="154" t="s">
        <v>1568</v>
      </c>
      <c r="C123" s="124" t="s">
        <v>373</v>
      </c>
      <c r="D123" s="166" t="s">
        <v>374</v>
      </c>
      <c r="E123" s="124"/>
      <c r="F123" s="124"/>
      <c r="G123" s="124"/>
      <c r="H123" s="124"/>
    </row>
    <row r="124" spans="2:8">
      <c r="B124" s="154" t="s">
        <v>1569</v>
      </c>
      <c r="C124" s="124" t="s">
        <v>373</v>
      </c>
      <c r="D124" s="166" t="s">
        <v>374</v>
      </c>
      <c r="E124" s="124"/>
      <c r="F124" s="124"/>
      <c r="G124" s="124"/>
      <c r="H124" s="124"/>
    </row>
    <row r="125" spans="2:8">
      <c r="B125" s="154" t="s">
        <v>1570</v>
      </c>
      <c r="C125" s="124" t="s">
        <v>373</v>
      </c>
      <c r="D125" s="166" t="s">
        <v>374</v>
      </c>
      <c r="E125" s="124"/>
      <c r="F125" s="124"/>
      <c r="G125" s="124"/>
      <c r="H125" s="124"/>
    </row>
    <row r="126" spans="2:8">
      <c r="B126" s="154" t="s">
        <v>1571</v>
      </c>
      <c r="C126" s="124" t="s">
        <v>373</v>
      </c>
      <c r="D126" s="166" t="s">
        <v>374</v>
      </c>
      <c r="E126" s="124"/>
      <c r="F126" s="124"/>
      <c r="G126" s="124"/>
      <c r="H126" s="124"/>
    </row>
    <row r="127" spans="2:8">
      <c r="B127" s="154" t="s">
        <v>1572</v>
      </c>
      <c r="C127" s="124" t="s">
        <v>373</v>
      </c>
      <c r="D127" s="166" t="s">
        <v>374</v>
      </c>
      <c r="E127" s="124"/>
      <c r="F127" s="124"/>
      <c r="G127" s="124"/>
      <c r="H127" s="124"/>
    </row>
    <row r="128" spans="2:8">
      <c r="B128" s="154" t="s">
        <v>1573</v>
      </c>
      <c r="C128" s="124" t="s">
        <v>373</v>
      </c>
      <c r="D128" s="166" t="s">
        <v>374</v>
      </c>
      <c r="E128" s="124"/>
      <c r="F128" s="124"/>
      <c r="G128" s="124"/>
      <c r="H128" s="124"/>
    </row>
    <row r="129" spans="2:8">
      <c r="B129" s="154" t="s">
        <v>1574</v>
      </c>
      <c r="C129" s="124" t="s">
        <v>373</v>
      </c>
      <c r="D129" s="166" t="s">
        <v>374</v>
      </c>
      <c r="E129" s="124"/>
      <c r="F129" s="124"/>
      <c r="G129" s="124"/>
      <c r="H129" s="124"/>
    </row>
    <row r="130" spans="2:8">
      <c r="B130" s="154" t="s">
        <v>1575</v>
      </c>
      <c r="C130" s="124" t="s">
        <v>373</v>
      </c>
      <c r="D130" s="166" t="s">
        <v>374</v>
      </c>
      <c r="E130" s="124"/>
      <c r="F130" s="124"/>
      <c r="G130" s="124"/>
      <c r="H130" s="124"/>
    </row>
    <row r="131" spans="2:8">
      <c r="B131" s="154" t="s">
        <v>1576</v>
      </c>
      <c r="C131" s="124" t="s">
        <v>373</v>
      </c>
      <c r="D131" s="166" t="s">
        <v>374</v>
      </c>
      <c r="E131" s="124"/>
      <c r="F131" s="124"/>
      <c r="G131" s="124"/>
      <c r="H131" s="124"/>
    </row>
    <row r="132" spans="2:8">
      <c r="B132" s="154" t="s">
        <v>1577</v>
      </c>
      <c r="C132" s="124" t="s">
        <v>373</v>
      </c>
      <c r="D132" s="166" t="s">
        <v>374</v>
      </c>
      <c r="E132" s="124"/>
      <c r="F132" s="124"/>
      <c r="G132" s="124"/>
      <c r="H132" s="124"/>
    </row>
    <row r="133" spans="2:8">
      <c r="B133" s="154" t="s">
        <v>1578</v>
      </c>
      <c r="C133" s="124" t="s">
        <v>373</v>
      </c>
      <c r="D133" s="166" t="s">
        <v>374</v>
      </c>
      <c r="E133" s="124"/>
      <c r="F133" s="124"/>
      <c r="G133" s="124"/>
      <c r="H133" s="124"/>
    </row>
    <row r="134" spans="2:8">
      <c r="B134" s="154" t="s">
        <v>1579</v>
      </c>
      <c r="C134" s="124" t="s">
        <v>373</v>
      </c>
      <c r="D134" s="166" t="s">
        <v>374</v>
      </c>
      <c r="E134" s="124"/>
      <c r="F134" s="124"/>
      <c r="G134" s="124"/>
      <c r="H134" s="124"/>
    </row>
    <row r="135" spans="2:8" ht="20">
      <c r="B135" s="154" t="s">
        <v>1580</v>
      </c>
      <c r="C135" s="124" t="s">
        <v>299</v>
      </c>
      <c r="D135" s="166" t="s">
        <v>379</v>
      </c>
      <c r="E135" s="124"/>
      <c r="F135" s="124"/>
      <c r="G135" s="124"/>
      <c r="H135" s="124"/>
    </row>
    <row r="136" spans="2:8">
      <c r="B136" s="154" t="s">
        <v>1581</v>
      </c>
      <c r="C136" s="124" t="s">
        <v>373</v>
      </c>
      <c r="D136" s="166" t="s">
        <v>374</v>
      </c>
      <c r="E136" s="124"/>
      <c r="F136" s="124"/>
      <c r="G136" s="124"/>
      <c r="H136" s="124"/>
    </row>
    <row r="137" spans="2:8">
      <c r="B137" s="154" t="s">
        <v>1582</v>
      </c>
      <c r="C137" s="124" t="s">
        <v>373</v>
      </c>
      <c r="D137" s="166" t="s">
        <v>374</v>
      </c>
      <c r="E137" s="124"/>
      <c r="F137" s="124"/>
      <c r="G137" s="124"/>
      <c r="H137" s="124"/>
    </row>
    <row r="138" spans="2:8">
      <c r="B138" s="154" t="s">
        <v>1583</v>
      </c>
      <c r="C138" s="124" t="s">
        <v>373</v>
      </c>
      <c r="D138" s="166" t="s">
        <v>374</v>
      </c>
      <c r="E138" s="124"/>
      <c r="F138" s="124"/>
      <c r="G138" s="124"/>
      <c r="H138" s="124"/>
    </row>
    <row r="139" spans="2:8">
      <c r="B139" s="154" t="s">
        <v>1584</v>
      </c>
      <c r="C139" s="124" t="s">
        <v>373</v>
      </c>
      <c r="D139" s="166" t="s">
        <v>374</v>
      </c>
      <c r="E139" s="124"/>
      <c r="F139" s="124"/>
      <c r="G139" s="124"/>
      <c r="H139" s="124"/>
    </row>
    <row r="140" spans="2:8" ht="20">
      <c r="B140" s="154" t="s">
        <v>1585</v>
      </c>
      <c r="C140" s="124" t="s">
        <v>298</v>
      </c>
      <c r="D140" s="166" t="s">
        <v>378</v>
      </c>
      <c r="E140" s="124"/>
      <c r="F140" s="124"/>
      <c r="G140" s="124"/>
      <c r="H140" s="124"/>
    </row>
    <row r="141" spans="2:8" ht="20">
      <c r="B141" s="154" t="s">
        <v>1586</v>
      </c>
      <c r="C141" s="124" t="s">
        <v>298</v>
      </c>
      <c r="D141" s="166" t="s">
        <v>378</v>
      </c>
      <c r="E141" s="124"/>
      <c r="F141" s="124"/>
      <c r="G141" s="124"/>
      <c r="H141" s="124"/>
    </row>
    <row r="142" spans="2:8">
      <c r="B142" s="154" t="s">
        <v>1587</v>
      </c>
      <c r="C142" s="124" t="s">
        <v>297</v>
      </c>
      <c r="D142" s="166" t="s">
        <v>182</v>
      </c>
      <c r="E142" s="124"/>
      <c r="F142" s="124"/>
      <c r="G142" s="124"/>
      <c r="H142" s="124"/>
    </row>
    <row r="143" spans="2:8">
      <c r="B143" s="154" t="s">
        <v>1588</v>
      </c>
      <c r="C143" s="124" t="s">
        <v>373</v>
      </c>
      <c r="D143" s="166" t="s">
        <v>374</v>
      </c>
      <c r="E143" s="124"/>
      <c r="F143" s="124"/>
      <c r="G143" s="124"/>
      <c r="H143" s="124"/>
    </row>
    <row r="144" spans="2:8">
      <c r="B144" s="154" t="s">
        <v>1589</v>
      </c>
      <c r="C144" s="124" t="s">
        <v>373</v>
      </c>
      <c r="D144" s="166" t="s">
        <v>374</v>
      </c>
      <c r="E144" s="124"/>
      <c r="F144" s="124"/>
      <c r="G144" s="124"/>
      <c r="H144" s="124"/>
    </row>
    <row r="145" spans="2:8">
      <c r="B145" s="154" t="s">
        <v>1590</v>
      </c>
      <c r="C145" s="124" t="s">
        <v>373</v>
      </c>
      <c r="D145" s="166" t="s">
        <v>374</v>
      </c>
      <c r="E145" s="124"/>
      <c r="F145" s="124"/>
      <c r="G145" s="124"/>
      <c r="H145" s="124"/>
    </row>
    <row r="146" spans="2:8">
      <c r="B146" s="154" t="s">
        <v>1591</v>
      </c>
      <c r="C146" s="124" t="s">
        <v>373</v>
      </c>
      <c r="D146" s="166" t="s">
        <v>374</v>
      </c>
      <c r="E146" s="124"/>
      <c r="F146" s="124"/>
      <c r="G146" s="124"/>
      <c r="H146" s="124"/>
    </row>
    <row r="147" spans="2:8">
      <c r="B147" s="154" t="s">
        <v>1592</v>
      </c>
      <c r="C147" s="124" t="s">
        <v>373</v>
      </c>
      <c r="D147" s="166" t="s">
        <v>374</v>
      </c>
      <c r="E147" s="124"/>
      <c r="F147" s="124"/>
      <c r="G147" s="124"/>
      <c r="H147" s="124"/>
    </row>
    <row r="148" spans="2:8">
      <c r="B148" s="154" t="s">
        <v>1593</v>
      </c>
      <c r="C148" s="124" t="s">
        <v>373</v>
      </c>
      <c r="D148" s="166" t="s">
        <v>374</v>
      </c>
      <c r="E148" s="124"/>
      <c r="F148" s="124"/>
      <c r="G148" s="124"/>
      <c r="H148" s="124"/>
    </row>
    <row r="149" spans="2:8">
      <c r="B149" s="154" t="s">
        <v>1594</v>
      </c>
      <c r="C149" s="124" t="s">
        <v>373</v>
      </c>
      <c r="D149" s="166" t="s">
        <v>374</v>
      </c>
      <c r="E149" s="124"/>
      <c r="F149" s="124"/>
      <c r="G149" s="124"/>
      <c r="H149" s="124"/>
    </row>
    <row r="150" spans="2:8" ht="20">
      <c r="B150" s="154" t="s">
        <v>1595</v>
      </c>
      <c r="C150" s="124" t="s">
        <v>373</v>
      </c>
      <c r="D150" s="124" t="s">
        <v>374</v>
      </c>
      <c r="E150" s="124" t="s">
        <v>297</v>
      </c>
      <c r="F150" s="124" t="s">
        <v>182</v>
      </c>
      <c r="G150" s="124" t="s">
        <v>298</v>
      </c>
      <c r="H150" s="124" t="s">
        <v>378</v>
      </c>
    </row>
    <row r="151" spans="2:8" ht="20">
      <c r="B151" s="154" t="s">
        <v>1596</v>
      </c>
      <c r="C151" s="124" t="s">
        <v>373</v>
      </c>
      <c r="D151" s="124" t="s">
        <v>374</v>
      </c>
      <c r="E151" s="124" t="s">
        <v>297</v>
      </c>
      <c r="F151" s="124" t="s">
        <v>182</v>
      </c>
      <c r="G151" s="124" t="s">
        <v>298</v>
      </c>
      <c r="H151" s="124" t="s">
        <v>378</v>
      </c>
    </row>
    <row r="152" spans="2:8" ht="20">
      <c r="B152" s="156" t="s">
        <v>1597</v>
      </c>
      <c r="C152" s="127" t="s">
        <v>373</v>
      </c>
      <c r="D152" s="127" t="s">
        <v>374</v>
      </c>
      <c r="E152" s="127" t="s">
        <v>297</v>
      </c>
      <c r="F152" s="127" t="s">
        <v>182</v>
      </c>
      <c r="G152" s="127" t="s">
        <v>298</v>
      </c>
      <c r="H152" s="127" t="s">
        <v>378</v>
      </c>
    </row>
  </sheetData>
  <sheetProtection algorithmName="SHA-512" hashValue="o4sCpcTZi/ttH0kTMZXZvMRPHkK3V+ZM1m2zk269UhVWaWezjZ0w6ol9Y4vKcbRhDz4nXWQQCPOSGECKPMIlEA==" saltValue="cJsdMF5myeE81rS1DTqhvQ==" spinCount="100000" sheet="1" objects="1" scenarios="1"/>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8472C-3A40-4B2F-95BE-6D5CDAC0D62D}">
  <sheetPr codeName="Sheet20">
    <tabColor theme="0" tint="-0.34998626667073579"/>
    <pageSetUpPr fitToPage="1"/>
  </sheetPr>
  <dimension ref="B2:CC80"/>
  <sheetViews>
    <sheetView showGridLines="0" view="pageBreakPreview" zoomScale="55" zoomScaleNormal="100" zoomScaleSheetLayoutView="55" workbookViewId="0">
      <selection activeCell="E9" sqref="E9:AC9"/>
    </sheetView>
  </sheetViews>
  <sheetFormatPr defaultColWidth="8.08203125" defaultRowHeight="13"/>
  <cols>
    <col min="1" max="1" width="1.33203125" style="772" customWidth="1"/>
    <col min="2" max="2" width="3" style="772" customWidth="1"/>
    <col min="3" max="3" width="12.33203125" style="772" customWidth="1"/>
    <col min="4" max="4" width="11.5" style="772" customWidth="1"/>
    <col min="5" max="5" width="12.4140625" style="772" customWidth="1"/>
    <col min="6" max="6" width="5.58203125" style="772" customWidth="1"/>
    <col min="7" max="14" width="6.6640625" style="772" hidden="1" customWidth="1"/>
    <col min="15" max="29" width="6.6640625" style="772" customWidth="1"/>
    <col min="30" max="30" width="6.4140625" style="772" hidden="1" customWidth="1"/>
    <col min="31" max="31" width="10.08203125" style="772" hidden="1" customWidth="1"/>
    <col min="32" max="32" width="7.08203125" style="772" hidden="1" customWidth="1"/>
    <col min="33" max="55" width="6.6640625" style="772" hidden="1" customWidth="1"/>
    <col min="56" max="56" width="8.08203125" style="772" hidden="1" customWidth="1"/>
    <col min="57" max="59" width="0" style="772" hidden="1" customWidth="1"/>
    <col min="60" max="16384" width="8.08203125" style="772"/>
  </cols>
  <sheetData>
    <row r="2" spans="2:81" ht="26.25" customHeight="1">
      <c r="B2" s="770" t="s">
        <v>2097</v>
      </c>
      <c r="C2" s="771"/>
      <c r="D2" s="771"/>
      <c r="E2" s="771"/>
      <c r="F2" s="771"/>
      <c r="G2" s="771"/>
      <c r="H2" s="771"/>
      <c r="J2" s="771"/>
      <c r="K2" s="771"/>
      <c r="T2" s="773"/>
      <c r="U2" s="773"/>
      <c r="V2" s="773"/>
      <c r="W2" s="773"/>
      <c r="X2" s="773"/>
      <c r="Y2" s="773"/>
      <c r="Z2" s="773"/>
      <c r="AA2" s="773"/>
      <c r="AB2" s="773"/>
      <c r="AC2" s="773"/>
      <c r="AD2" s="771"/>
    </row>
    <row r="3" spans="2:81" ht="12.9" customHeight="1">
      <c r="B3" s="774" t="s">
        <v>2098</v>
      </c>
      <c r="C3" s="771"/>
      <c r="D3" s="771"/>
      <c r="E3" s="771"/>
      <c r="F3" s="771"/>
      <c r="G3" s="771"/>
      <c r="H3" s="771"/>
      <c r="I3" s="771"/>
      <c r="J3" s="771"/>
      <c r="K3" s="771"/>
      <c r="L3" s="771"/>
      <c r="M3" s="771"/>
      <c r="N3" s="771"/>
      <c r="O3" s="771"/>
      <c r="P3" s="771"/>
      <c r="Q3" s="771"/>
      <c r="R3" s="771"/>
      <c r="S3" s="775"/>
      <c r="T3" s="775"/>
      <c r="U3" s="775"/>
      <c r="V3" s="775"/>
      <c r="W3" s="775"/>
      <c r="Y3" s="775"/>
      <c r="Z3" s="775"/>
      <c r="AA3" s="775"/>
      <c r="AB3" s="775"/>
      <c r="AC3" s="775" t="s">
        <v>2099</v>
      </c>
      <c r="AD3" s="771"/>
    </row>
    <row r="4" spans="2:81" ht="12.9" customHeight="1">
      <c r="B4" s="771"/>
      <c r="C4" s="771"/>
      <c r="D4" s="771"/>
      <c r="E4" s="771"/>
      <c r="F4" s="771"/>
      <c r="G4" s="771"/>
      <c r="H4" s="771"/>
      <c r="N4" s="1473"/>
      <c r="O4" s="1473"/>
      <c r="P4" s="1473"/>
      <c r="Q4" s="1473"/>
      <c r="R4" s="1473"/>
      <c r="S4" s="1473"/>
      <c r="T4" s="776"/>
      <c r="U4" s="776"/>
      <c r="V4" s="776"/>
      <c r="W4" s="776"/>
      <c r="X4" s="776"/>
      <c r="Y4" s="776"/>
      <c r="Z4" s="776"/>
      <c r="AA4" s="776"/>
      <c r="AB4" s="776"/>
      <c r="AC4" s="776"/>
      <c r="AD4" s="771"/>
    </row>
    <row r="5" spans="2:81" ht="30" customHeight="1">
      <c r="B5" s="771"/>
      <c r="C5" s="1474"/>
      <c r="D5" s="1474"/>
      <c r="E5" s="1474"/>
      <c r="F5" s="1474"/>
      <c r="G5" s="1440" t="s">
        <v>2100</v>
      </c>
      <c r="H5" s="1441"/>
      <c r="I5" s="1441"/>
      <c r="J5" s="1441"/>
      <c r="K5" s="1441"/>
      <c r="L5" s="1441"/>
      <c r="M5" s="1441"/>
      <c r="N5" s="1441"/>
      <c r="O5" s="1441"/>
      <c r="P5" s="1441"/>
      <c r="Q5" s="1441"/>
      <c r="R5" s="1441"/>
      <c r="S5" s="1441"/>
      <c r="T5" s="1441"/>
      <c r="U5" s="1441"/>
      <c r="V5" s="1441"/>
      <c r="W5" s="1441"/>
      <c r="X5" s="1441"/>
      <c r="Y5" s="1441"/>
      <c r="Z5" s="1441"/>
      <c r="AA5" s="1441"/>
      <c r="AB5" s="1441"/>
      <c r="AC5" s="1442"/>
      <c r="AD5" s="777" t="s">
        <v>2101</v>
      </c>
      <c r="AE5" s="1443"/>
      <c r="AF5" s="1443"/>
      <c r="AG5" s="1444" t="s">
        <v>2102</v>
      </c>
      <c r="AH5" s="1445"/>
      <c r="AI5" s="1445"/>
      <c r="AJ5" s="1445"/>
      <c r="AK5" s="1445"/>
      <c r="AL5" s="1445"/>
      <c r="AM5" s="1445"/>
      <c r="AN5" s="1445"/>
      <c r="AO5" s="1445"/>
      <c r="AP5" s="1445"/>
      <c r="AQ5" s="1445"/>
      <c r="AR5" s="1445"/>
      <c r="AS5" s="1445"/>
      <c r="AT5" s="1445"/>
      <c r="AU5" s="1445"/>
      <c r="AV5" s="1445"/>
      <c r="AW5" s="1445"/>
      <c r="AX5" s="1445"/>
      <c r="AY5" s="1445"/>
      <c r="AZ5" s="1445"/>
      <c r="BA5" s="1445"/>
      <c r="BB5" s="1445"/>
      <c r="BC5" s="1446"/>
      <c r="BF5" s="772">
        <v>5</v>
      </c>
    </row>
    <row r="6" spans="2:81" ht="30" customHeight="1">
      <c r="B6" s="771"/>
      <c r="C6" s="1421"/>
      <c r="D6" s="1422"/>
      <c r="E6" s="1423"/>
      <c r="F6" s="778" t="s">
        <v>2103</v>
      </c>
      <c r="G6" s="779" t="s">
        <v>2104</v>
      </c>
      <c r="H6" s="779" t="s">
        <v>2105</v>
      </c>
      <c r="I6" s="779" t="s">
        <v>2106</v>
      </c>
      <c r="J6" s="779" t="s">
        <v>2107</v>
      </c>
      <c r="K6" s="779" t="s">
        <v>2108</v>
      </c>
      <c r="L6" s="779" t="s">
        <v>2109</v>
      </c>
      <c r="M6" s="779" t="s">
        <v>2110</v>
      </c>
      <c r="N6" s="779" t="s">
        <v>2111</v>
      </c>
      <c r="O6" s="779" t="s">
        <v>2112</v>
      </c>
      <c r="P6" s="779" t="s">
        <v>2113</v>
      </c>
      <c r="Q6" s="779" t="s">
        <v>2114</v>
      </c>
      <c r="R6" s="779" t="s">
        <v>2115</v>
      </c>
      <c r="S6" s="779" t="s">
        <v>2116</v>
      </c>
      <c r="T6" s="779" t="s">
        <v>2117</v>
      </c>
      <c r="U6" s="779" t="s">
        <v>2118</v>
      </c>
      <c r="V6" s="779" t="s">
        <v>2119</v>
      </c>
      <c r="W6" s="779" t="s">
        <v>2120</v>
      </c>
      <c r="X6" s="779" t="s">
        <v>2121</v>
      </c>
      <c r="Y6" s="779" t="s">
        <v>2122</v>
      </c>
      <c r="Z6" s="779" t="s">
        <v>2123</v>
      </c>
      <c r="AA6" s="779" t="s">
        <v>2124</v>
      </c>
      <c r="AB6" s="779" t="s">
        <v>2125</v>
      </c>
      <c r="AC6" s="779" t="s">
        <v>2126</v>
      </c>
      <c r="AD6" s="779" t="s">
        <v>69</v>
      </c>
      <c r="AE6" s="780" t="s">
        <v>2127</v>
      </c>
      <c r="AF6" s="780" t="s">
        <v>77</v>
      </c>
      <c r="AG6" s="779" t="s">
        <v>2128</v>
      </c>
      <c r="AH6" s="779" t="s">
        <v>2129</v>
      </c>
      <c r="AI6" s="779" t="s">
        <v>2130</v>
      </c>
      <c r="AJ6" s="779" t="s">
        <v>2131</v>
      </c>
      <c r="AK6" s="779" t="s">
        <v>2132</v>
      </c>
      <c r="AL6" s="779" t="s">
        <v>2133</v>
      </c>
      <c r="AM6" s="779" t="s">
        <v>2134</v>
      </c>
      <c r="AN6" s="779" t="s">
        <v>2135</v>
      </c>
      <c r="AO6" s="779" t="s">
        <v>2136</v>
      </c>
      <c r="AP6" s="779" t="s">
        <v>2137</v>
      </c>
      <c r="AQ6" s="779" t="s">
        <v>2138</v>
      </c>
      <c r="AR6" s="779" t="s">
        <v>2139</v>
      </c>
      <c r="AS6" s="779" t="s">
        <v>2140</v>
      </c>
      <c r="AT6" s="779" t="s">
        <v>2141</v>
      </c>
      <c r="AU6" s="779" t="s">
        <v>2142</v>
      </c>
      <c r="AV6" s="779" t="s">
        <v>2143</v>
      </c>
      <c r="AW6" s="779" t="s">
        <v>2144</v>
      </c>
      <c r="AX6" s="779" t="s">
        <v>2145</v>
      </c>
      <c r="AY6" s="779" t="s">
        <v>2146</v>
      </c>
      <c r="AZ6" s="779" t="s">
        <v>2147</v>
      </c>
      <c r="BA6" s="779" t="s">
        <v>2148</v>
      </c>
      <c r="BB6" s="779" t="s">
        <v>2149</v>
      </c>
      <c r="BC6" s="779" t="s">
        <v>2150</v>
      </c>
      <c r="BE6" s="772" t="s">
        <v>2151</v>
      </c>
      <c r="BF6"/>
      <c r="BG6"/>
      <c r="BH6"/>
      <c r="BI6"/>
      <c r="BJ6"/>
      <c r="BK6"/>
      <c r="BL6"/>
      <c r="BM6"/>
      <c r="BN6"/>
      <c r="BO6"/>
      <c r="BP6"/>
      <c r="BQ6"/>
      <c r="BR6"/>
      <c r="BS6"/>
      <c r="BT6"/>
      <c r="BU6"/>
      <c r="BV6"/>
      <c r="BW6"/>
      <c r="BX6"/>
      <c r="BY6"/>
      <c r="BZ6"/>
      <c r="CA6"/>
      <c r="CB6"/>
      <c r="CC6"/>
    </row>
    <row r="7" spans="2:81" ht="30" customHeight="1">
      <c r="B7" s="771"/>
      <c r="C7" s="1424" t="s">
        <v>32</v>
      </c>
      <c r="D7" s="1424" t="s">
        <v>2152</v>
      </c>
      <c r="E7" s="781" t="s">
        <v>2153</v>
      </c>
      <c r="F7" s="782" t="s">
        <v>2154</v>
      </c>
      <c r="G7" s="783"/>
      <c r="H7" s="783"/>
      <c r="I7" s="783"/>
      <c r="J7" s="783"/>
      <c r="K7" s="783"/>
      <c r="L7" s="783"/>
      <c r="M7" s="784"/>
      <c r="N7" s="784"/>
      <c r="O7" s="784"/>
      <c r="P7" s="784"/>
      <c r="Q7" s="784"/>
      <c r="R7" s="784"/>
      <c r="S7" s="784"/>
      <c r="T7" s="784"/>
      <c r="U7" s="784"/>
      <c r="V7" s="784"/>
      <c r="W7" s="784"/>
      <c r="X7" s="784"/>
      <c r="Y7" s="784"/>
      <c r="Z7" s="784"/>
      <c r="AA7" s="784"/>
      <c r="AB7" s="784"/>
      <c r="AC7" s="784"/>
      <c r="AD7" s="777" t="s">
        <v>2155</v>
      </c>
      <c r="AE7" s="785">
        <f>IF(COUNTIF(F7,"*Nm3")&gt;0,1,VLOOKUP(E7,$BA$71:$BB$72,2,FALSE))</f>
        <v>0.96665500000000004</v>
      </c>
      <c r="AF7" s="786">
        <f>VLOOKUP($F7,$BA$60:$BB$63,2,FALSE)/VLOOKUP($AD7,$BA$60:$BB$63,2,FALSE)</f>
        <v>1000</v>
      </c>
      <c r="AG7" s="787">
        <f>ROUND(圧力補正*H14_換算前/単位補正係数,0)</f>
        <v>0</v>
      </c>
      <c r="AH7" s="787">
        <f>ROUND(圧力補正*H15_換算前/単位補正係数,0)</f>
        <v>0</v>
      </c>
      <c r="AI7" s="787">
        <f>ROUND(圧力補正*H16_換算前/単位補正係数,0)</f>
        <v>0</v>
      </c>
      <c r="AJ7" s="787">
        <f>ROUND(圧力補正*H17_換算前/単位補正係数,0)</f>
        <v>0</v>
      </c>
      <c r="AK7" s="787">
        <f>ROUND(圧力補正*H18_換算前/単位補正係数,0)</f>
        <v>0</v>
      </c>
      <c r="AL7" s="787">
        <f>ROUND(圧力補正*H19_換算前/単位補正係数,0)</f>
        <v>0</v>
      </c>
      <c r="AM7" s="787">
        <f>ROUND(圧力補正*H20_換算前/単位補正係数,0)</f>
        <v>0</v>
      </c>
      <c r="AN7" s="787">
        <f>ROUND(圧力補正*H21_換算前/単位補正係数,0)</f>
        <v>0</v>
      </c>
      <c r="AO7" s="787">
        <f>ROUND(圧力補正*H22_換算前/単位補正係数,0)</f>
        <v>0</v>
      </c>
      <c r="AP7" s="787">
        <f>ROUND(圧力補正*H23_換算前/単位補正係数,0)</f>
        <v>0</v>
      </c>
      <c r="AQ7" s="787">
        <f>ROUND(圧力補正*H24_換算前/単位補正係数,0)</f>
        <v>0</v>
      </c>
      <c r="AR7" s="787">
        <f>ROUND(圧力補正*H25_換算前/単位補正係数,0)</f>
        <v>0</v>
      </c>
      <c r="AS7" s="787">
        <f>ROUND(圧力補正*H26_換算前/単位補正係数,0)</f>
        <v>0</v>
      </c>
      <c r="AT7" s="787">
        <f>ROUND(圧力補正*H27_換算前/単位補正係数,0)</f>
        <v>0</v>
      </c>
      <c r="AU7" s="787">
        <f>ROUND(圧力補正*H28_換算前/単位補正係数,0)</f>
        <v>0</v>
      </c>
      <c r="AV7" s="787">
        <f>ROUND(圧力補正*H29_換算前/単位補正係数,0)</f>
        <v>0</v>
      </c>
      <c r="AW7" s="787">
        <f>ROUND(圧力補正*H30_換算前/単位補正係数,0)</f>
        <v>0</v>
      </c>
      <c r="AX7" s="787">
        <f>ROUND(圧力補正*H30_換算前/単位補正係数,0)</f>
        <v>0</v>
      </c>
      <c r="AY7" s="787">
        <f t="shared" ref="AY7:BC8" si="0">ROUND(圧力補正*Y7/単位補正係数,0)</f>
        <v>0</v>
      </c>
      <c r="AZ7" s="787">
        <f t="shared" si="0"/>
        <v>0</v>
      </c>
      <c r="BA7" s="787">
        <f t="shared" si="0"/>
        <v>0</v>
      </c>
      <c r="BB7" s="787">
        <f t="shared" si="0"/>
        <v>0</v>
      </c>
      <c r="BC7" s="787">
        <f t="shared" si="0"/>
        <v>0</v>
      </c>
      <c r="BF7"/>
      <c r="BG7"/>
      <c r="BH7"/>
      <c r="BI7"/>
      <c r="BJ7"/>
      <c r="BK7"/>
      <c r="BL7"/>
      <c r="BM7"/>
      <c r="BN7"/>
      <c r="BO7"/>
      <c r="BP7"/>
      <c r="BQ7"/>
      <c r="BR7"/>
      <c r="BS7"/>
      <c r="BT7"/>
      <c r="BU7"/>
      <c r="BV7"/>
      <c r="BW7"/>
      <c r="BX7"/>
      <c r="BY7"/>
      <c r="BZ7"/>
      <c r="CA7"/>
      <c r="CB7"/>
      <c r="CC7"/>
    </row>
    <row r="8" spans="2:81" ht="30" customHeight="1">
      <c r="B8" s="771"/>
      <c r="C8" s="1425"/>
      <c r="D8" s="1426"/>
      <c r="E8" s="781" t="s">
        <v>2156</v>
      </c>
      <c r="F8" s="782" t="s">
        <v>2154</v>
      </c>
      <c r="G8" s="783"/>
      <c r="H8" s="783"/>
      <c r="I8" s="783"/>
      <c r="J8" s="783"/>
      <c r="K8" s="783"/>
      <c r="L8" s="783"/>
      <c r="M8" s="784"/>
      <c r="N8" s="784"/>
      <c r="O8" s="784"/>
      <c r="P8" s="784"/>
      <c r="Q8" s="784"/>
      <c r="R8" s="784"/>
      <c r="S8" s="784"/>
      <c r="T8" s="784"/>
      <c r="U8" s="784"/>
      <c r="V8" s="784"/>
      <c r="W8" s="784"/>
      <c r="X8" s="784"/>
      <c r="Y8" s="784"/>
      <c r="Z8" s="784"/>
      <c r="AA8" s="784"/>
      <c r="AB8" s="784"/>
      <c r="AC8" s="784"/>
      <c r="AD8" s="777" t="s">
        <v>2155</v>
      </c>
      <c r="AE8" s="785">
        <f>IF(COUNTIF(F8,"*Nm3")&gt;0,1,VLOOKUP(E8,$BA$71:$BB$72,2,FALSE))</f>
        <v>0.95712200000000003</v>
      </c>
      <c r="AF8" s="786">
        <f>VLOOKUP($F8,$BA$60:$BB$63,2,FALSE)/VLOOKUP($AD8,$BA$60:$BB$63,2,FALSE)</f>
        <v>1000</v>
      </c>
      <c r="AG8" s="787">
        <f>ROUND(圧力補正*H14_換算前/単位補正係数,0)</f>
        <v>0</v>
      </c>
      <c r="AH8" s="787">
        <f>ROUND(圧力補正*H15_換算前/単位補正係数,0)</f>
        <v>0</v>
      </c>
      <c r="AI8" s="787">
        <f>ROUND(圧力補正*H16_換算前/単位補正係数,0)</f>
        <v>0</v>
      </c>
      <c r="AJ8" s="787">
        <f>ROUND(圧力補正*H17_換算前/単位補正係数,0)</f>
        <v>0</v>
      </c>
      <c r="AK8" s="787">
        <f>ROUND(圧力補正*H18_換算前/単位補正係数,0)</f>
        <v>0</v>
      </c>
      <c r="AL8" s="787">
        <f>ROUND(圧力補正*H19_換算前/単位補正係数,0)</f>
        <v>0</v>
      </c>
      <c r="AM8" s="787">
        <f>ROUND(圧力補正*H20_換算前/単位補正係数,0)</f>
        <v>0</v>
      </c>
      <c r="AN8" s="787">
        <f>ROUND(圧力補正*H21_換算前/単位補正係数,0)</f>
        <v>0</v>
      </c>
      <c r="AO8" s="787">
        <f>ROUND(圧力補正*H22_換算前/単位補正係数,0)</f>
        <v>0</v>
      </c>
      <c r="AP8" s="787">
        <f>ROUND(圧力補正*H23_換算前/単位補正係数,0)</f>
        <v>0</v>
      </c>
      <c r="AQ8" s="787">
        <f>ROUND(圧力補正*H24_換算前/単位補正係数,0)</f>
        <v>0</v>
      </c>
      <c r="AR8" s="787">
        <f>ROUND(圧力補正*H25_換算前/単位補正係数,0)</f>
        <v>0</v>
      </c>
      <c r="AS8" s="787">
        <f>ROUND(圧力補正*H26_換算前/単位補正係数,0)</f>
        <v>0</v>
      </c>
      <c r="AT8" s="787">
        <f>ROUND(圧力補正*H27_換算前/単位補正係数,0)</f>
        <v>0</v>
      </c>
      <c r="AU8" s="787">
        <f>ROUND(圧力補正*H28_換算前/単位補正係数,0)</f>
        <v>0</v>
      </c>
      <c r="AV8" s="787">
        <f>ROUND(圧力補正*H29_換算前/単位補正係数,0)</f>
        <v>0</v>
      </c>
      <c r="AW8" s="787">
        <f>ROUND(圧力補正*H30_換算前/単位補正係数,0)</f>
        <v>0</v>
      </c>
      <c r="AX8" s="787">
        <f>ROUND(圧力補正*H31_換算前/単位補正係数,0)</f>
        <v>0</v>
      </c>
      <c r="AY8" s="787">
        <f t="shared" si="0"/>
        <v>0</v>
      </c>
      <c r="AZ8" s="787">
        <f t="shared" si="0"/>
        <v>0</v>
      </c>
      <c r="BA8" s="787">
        <f t="shared" si="0"/>
        <v>0</v>
      </c>
      <c r="BB8" s="787">
        <f t="shared" si="0"/>
        <v>0</v>
      </c>
      <c r="BC8" s="787">
        <f t="shared" si="0"/>
        <v>0</v>
      </c>
      <c r="BF8"/>
      <c r="BG8"/>
      <c r="BH8"/>
      <c r="BI8"/>
      <c r="BJ8"/>
      <c r="BK8"/>
      <c r="BL8"/>
      <c r="BM8"/>
      <c r="BN8"/>
      <c r="BO8"/>
      <c r="BP8"/>
      <c r="BQ8"/>
      <c r="BR8"/>
      <c r="BS8"/>
      <c r="BT8"/>
      <c r="BU8"/>
      <c r="BV8"/>
      <c r="BW8"/>
      <c r="BX8"/>
      <c r="BY8"/>
      <c r="BZ8"/>
      <c r="CA8"/>
      <c r="CB8"/>
      <c r="CC8"/>
    </row>
    <row r="9" spans="2:81" ht="30" customHeight="1">
      <c r="B9" s="771"/>
      <c r="C9" s="1425"/>
      <c r="D9" s="788"/>
      <c r="E9" s="1464"/>
      <c r="F9" s="1465"/>
      <c r="G9" s="1465"/>
      <c r="H9" s="1465"/>
      <c r="I9" s="1465"/>
      <c r="J9" s="1465"/>
      <c r="K9" s="1465"/>
      <c r="L9" s="1465"/>
      <c r="M9" s="1465"/>
      <c r="N9" s="1465"/>
      <c r="O9" s="1465"/>
      <c r="P9" s="1465"/>
      <c r="Q9" s="1465"/>
      <c r="R9" s="1465"/>
      <c r="S9" s="1465"/>
      <c r="T9" s="1465"/>
      <c r="U9" s="1465"/>
      <c r="V9" s="1465"/>
      <c r="W9" s="1465"/>
      <c r="X9" s="1465"/>
      <c r="Y9" s="1465"/>
      <c r="Z9" s="1465"/>
      <c r="AA9" s="1465"/>
      <c r="AB9" s="1465"/>
      <c r="AC9" s="1466"/>
      <c r="AD9" s="781"/>
      <c r="AE9" s="1471"/>
      <c r="AF9" s="1471"/>
      <c r="AG9" s="786">
        <f>SUM(AG7:AG8)</f>
        <v>0</v>
      </c>
      <c r="AH9" s="786">
        <f t="shared" ref="AH9:BC9" si="1">SUM(AH7:AH8)</f>
        <v>0</v>
      </c>
      <c r="AI9" s="786">
        <f t="shared" si="1"/>
        <v>0</v>
      </c>
      <c r="AJ9" s="786">
        <f t="shared" si="1"/>
        <v>0</v>
      </c>
      <c r="AK9" s="786">
        <f t="shared" si="1"/>
        <v>0</v>
      </c>
      <c r="AL9" s="786">
        <f t="shared" si="1"/>
        <v>0</v>
      </c>
      <c r="AM9" s="786">
        <f t="shared" si="1"/>
        <v>0</v>
      </c>
      <c r="AN9" s="786">
        <f t="shared" si="1"/>
        <v>0</v>
      </c>
      <c r="AO9" s="786">
        <f t="shared" si="1"/>
        <v>0</v>
      </c>
      <c r="AP9" s="786">
        <f t="shared" si="1"/>
        <v>0</v>
      </c>
      <c r="AQ9" s="786">
        <f t="shared" si="1"/>
        <v>0</v>
      </c>
      <c r="AR9" s="786">
        <f t="shared" si="1"/>
        <v>0</v>
      </c>
      <c r="AS9" s="786">
        <f t="shared" si="1"/>
        <v>0</v>
      </c>
      <c r="AT9" s="786">
        <f t="shared" si="1"/>
        <v>0</v>
      </c>
      <c r="AU9" s="786">
        <f t="shared" si="1"/>
        <v>0</v>
      </c>
      <c r="AV9" s="786">
        <f t="shared" si="1"/>
        <v>0</v>
      </c>
      <c r="AW9" s="786">
        <f t="shared" si="1"/>
        <v>0</v>
      </c>
      <c r="AX9" s="786">
        <f t="shared" si="1"/>
        <v>0</v>
      </c>
      <c r="AY9" s="786">
        <f t="shared" si="1"/>
        <v>0</v>
      </c>
      <c r="AZ9" s="786">
        <f t="shared" si="1"/>
        <v>0</v>
      </c>
      <c r="BA9" s="786">
        <f t="shared" si="1"/>
        <v>0</v>
      </c>
      <c r="BB9" s="786">
        <f t="shared" si="1"/>
        <v>0</v>
      </c>
      <c r="BC9" s="786">
        <f t="shared" si="1"/>
        <v>0</v>
      </c>
      <c r="BF9"/>
      <c r="BG9"/>
      <c r="BH9"/>
      <c r="BI9"/>
      <c r="BJ9"/>
      <c r="BK9"/>
      <c r="BL9"/>
      <c r="BM9"/>
      <c r="BN9"/>
      <c r="BO9"/>
      <c r="BP9"/>
      <c r="BQ9"/>
      <c r="BR9"/>
      <c r="BS9"/>
      <c r="BT9"/>
      <c r="BU9"/>
      <c r="BV9"/>
      <c r="BW9"/>
      <c r="BX9"/>
      <c r="BY9"/>
      <c r="BZ9"/>
      <c r="CA9"/>
      <c r="CB9"/>
      <c r="CC9"/>
    </row>
    <row r="10" spans="2:81" ht="30" customHeight="1">
      <c r="B10" s="771"/>
      <c r="C10" s="1425"/>
      <c r="D10" s="1424" t="s">
        <v>2157</v>
      </c>
      <c r="E10" s="781" t="s">
        <v>2153</v>
      </c>
      <c r="F10" s="782" t="s">
        <v>2158</v>
      </c>
      <c r="G10" s="783"/>
      <c r="H10" s="783"/>
      <c r="I10" s="783"/>
      <c r="J10" s="783"/>
      <c r="K10" s="783"/>
      <c r="L10" s="783"/>
      <c r="M10" s="784"/>
      <c r="N10" s="784"/>
      <c r="O10" s="784"/>
      <c r="P10" s="784"/>
      <c r="Q10" s="784"/>
      <c r="R10" s="784"/>
      <c r="S10" s="784"/>
      <c r="T10" s="784"/>
      <c r="U10" s="784"/>
      <c r="V10" s="784"/>
      <c r="W10" s="784"/>
      <c r="X10" s="784"/>
      <c r="Y10" s="784"/>
      <c r="Z10" s="784"/>
      <c r="AA10" s="784"/>
      <c r="AB10" s="784"/>
      <c r="AC10" s="784"/>
      <c r="AD10" s="777" t="s">
        <v>2155</v>
      </c>
      <c r="AE10" s="785">
        <f>IF(COUNTIF(F10,"*Nm3")&gt;0,1,VLOOKUP(E10,$BA$71:$BB$72,2,FALSE))</f>
        <v>1</v>
      </c>
      <c r="AF10" s="786">
        <f>VLOOKUP($F10,$BA$60:$BB$63,2,FALSE)/VLOOKUP($AD10,$BA$60:$BB$63,2,FALSE)</f>
        <v>1000</v>
      </c>
      <c r="AG10" s="787">
        <f>ROUND(圧力補正*H14_換算前/単位補正係数,0)</f>
        <v>0</v>
      </c>
      <c r="AH10" s="787">
        <f>ROUND(圧力補正*H15_換算前/単位補正係数,0)</f>
        <v>0</v>
      </c>
      <c r="AI10" s="787">
        <f>ROUND(圧力補正*H16_換算前/単位補正係数,0)</f>
        <v>0</v>
      </c>
      <c r="AJ10" s="787">
        <f>ROUND(圧力補正*H17_換算前/単位補正係数,0)</f>
        <v>0</v>
      </c>
      <c r="AK10" s="787">
        <f>ROUND(圧力補正*H18_換算前/単位補正係数,0)</f>
        <v>0</v>
      </c>
      <c r="AL10" s="787">
        <f>ROUND(圧力補正*H19_換算前/単位補正係数,0)</f>
        <v>0</v>
      </c>
      <c r="AM10" s="787">
        <f>ROUND(圧力補正*H20_換算前/単位補正係数,0)</f>
        <v>0</v>
      </c>
      <c r="AN10" s="787">
        <f>ROUND(圧力補正*H21_換算前/単位補正係数,0)</f>
        <v>0</v>
      </c>
      <c r="AO10" s="787">
        <f>ROUND(圧力補正*H22_換算前/単位補正係数,0)</f>
        <v>0</v>
      </c>
      <c r="AP10" s="787">
        <f>ROUND(圧力補正*H23_換算前/単位補正係数,0)</f>
        <v>0</v>
      </c>
      <c r="AQ10" s="787">
        <f>ROUND(圧力補正*H24_換算前/単位補正係数,0)</f>
        <v>0</v>
      </c>
      <c r="AR10" s="787">
        <f>ROUND(圧力補正*H25_換算前/単位補正係数,0)</f>
        <v>0</v>
      </c>
      <c r="AS10" s="787">
        <f>ROUND(圧力補正*H26_換算前/単位補正係数,0)</f>
        <v>0</v>
      </c>
      <c r="AT10" s="787">
        <f>ROUND(圧力補正*H27_換算前/単位補正係数,0)</f>
        <v>0</v>
      </c>
      <c r="AU10" s="787">
        <f>ROUND(圧力補正*H28_換算前/単位補正係数,0)</f>
        <v>0</v>
      </c>
      <c r="AV10" s="787">
        <f>ROUND(圧力補正*H29_換算前/単位補正係数,0)</f>
        <v>0</v>
      </c>
      <c r="AW10" s="787">
        <f>ROUND(圧力補正*H30_換算前/単位補正係数,0)</f>
        <v>0</v>
      </c>
      <c r="AX10" s="787">
        <f>ROUND(圧力補正*H31_換算前/単位補正係数,0)</f>
        <v>0</v>
      </c>
      <c r="AY10" s="787">
        <f t="shared" ref="AY10:BC11" si="2">ROUND(圧力補正*Y10/単位補正係数,0)</f>
        <v>0</v>
      </c>
      <c r="AZ10" s="787">
        <f t="shared" si="2"/>
        <v>0</v>
      </c>
      <c r="BA10" s="787">
        <f t="shared" si="2"/>
        <v>0</v>
      </c>
      <c r="BB10" s="787">
        <f t="shared" si="2"/>
        <v>0</v>
      </c>
      <c r="BC10" s="787">
        <f t="shared" si="2"/>
        <v>0</v>
      </c>
      <c r="BF10"/>
      <c r="BG10"/>
      <c r="BH10"/>
      <c r="BI10"/>
      <c r="BJ10"/>
      <c r="BK10"/>
      <c r="BL10"/>
      <c r="BM10"/>
      <c r="BN10"/>
      <c r="BO10"/>
      <c r="BP10"/>
      <c r="BQ10"/>
      <c r="BR10"/>
      <c r="BS10"/>
      <c r="BT10"/>
      <c r="BU10"/>
      <c r="BV10"/>
      <c r="BW10"/>
      <c r="BX10"/>
      <c r="BY10"/>
      <c r="BZ10"/>
      <c r="CA10"/>
      <c r="CB10"/>
      <c r="CC10"/>
    </row>
    <row r="11" spans="2:81" ht="30" customHeight="1">
      <c r="B11" s="771"/>
      <c r="C11" s="1425"/>
      <c r="D11" s="1426"/>
      <c r="E11" s="781" t="s">
        <v>2156</v>
      </c>
      <c r="F11" s="782" t="s">
        <v>2158</v>
      </c>
      <c r="G11" s="789"/>
      <c r="H11" s="789"/>
      <c r="I11" s="789"/>
      <c r="J11" s="789"/>
      <c r="K11" s="789"/>
      <c r="L11" s="789"/>
      <c r="M11" s="784"/>
      <c r="N11" s="784"/>
      <c r="O11" s="784"/>
      <c r="P11" s="784"/>
      <c r="Q11" s="784"/>
      <c r="R11" s="784"/>
      <c r="S11" s="784"/>
      <c r="T11" s="784"/>
      <c r="U11" s="784"/>
      <c r="V11" s="784"/>
      <c r="W11" s="784"/>
      <c r="X11" s="784"/>
      <c r="Y11" s="784"/>
      <c r="Z11" s="784"/>
      <c r="AA11" s="784"/>
      <c r="AB11" s="784"/>
      <c r="AC11" s="784"/>
      <c r="AD11" s="777" t="s">
        <v>2155</v>
      </c>
      <c r="AE11" s="785">
        <f>IF(COUNTIF(F11,"*Nm3")&gt;0,1,VLOOKUP(E11,$BA$71:$BB$72,2,FALSE))</f>
        <v>1</v>
      </c>
      <c r="AF11" s="786">
        <f>VLOOKUP($F11,$BA$60:$BB$63,2,FALSE)/VLOOKUP($AD11,$BA$60:$BB$63,2,FALSE)</f>
        <v>1000</v>
      </c>
      <c r="AG11" s="787">
        <f>ROUND(圧力補正*H14_換算前/単位補正係数,0)</f>
        <v>0</v>
      </c>
      <c r="AH11" s="787">
        <f>ROUND(圧力補正*H15_換算前/単位補正係数,0)</f>
        <v>0</v>
      </c>
      <c r="AI11" s="787">
        <f>ROUND(圧力補正*H16_換算前/単位補正係数,0)</f>
        <v>0</v>
      </c>
      <c r="AJ11" s="787">
        <f>ROUND(圧力補正*H17_換算前/単位補正係数,0)</f>
        <v>0</v>
      </c>
      <c r="AK11" s="787">
        <f>ROUND(圧力補正*H18_換算前/単位補正係数,0)</f>
        <v>0</v>
      </c>
      <c r="AL11" s="787">
        <f>ROUND(圧力補正*H19_換算前/単位補正係数,0)</f>
        <v>0</v>
      </c>
      <c r="AM11" s="787">
        <f>ROUND(圧力補正*H20_換算前/単位補正係数,0)</f>
        <v>0</v>
      </c>
      <c r="AN11" s="787">
        <f>ROUND(圧力補正*H21_換算前/単位補正係数,0)</f>
        <v>0</v>
      </c>
      <c r="AO11" s="787">
        <f>ROUND(圧力補正*H22_換算前/単位補正係数,0)</f>
        <v>0</v>
      </c>
      <c r="AP11" s="787">
        <f>ROUND(圧力補正*H23_換算前/単位補正係数,0)</f>
        <v>0</v>
      </c>
      <c r="AQ11" s="787">
        <f>ROUND(圧力補正*H24_換算前/単位補正係数,0)</f>
        <v>0</v>
      </c>
      <c r="AR11" s="787">
        <f>ROUND(圧力補正*H25_換算前/単位補正係数,0)</f>
        <v>0</v>
      </c>
      <c r="AS11" s="787">
        <f>ROUND(圧力補正*H26_換算前/単位補正係数,0)</f>
        <v>0</v>
      </c>
      <c r="AT11" s="787">
        <f>ROUND(圧力補正*H27_換算前/単位補正係数,0)</f>
        <v>0</v>
      </c>
      <c r="AU11" s="787">
        <f>ROUND(圧力補正*H28_換算前/単位補正係数,0)</f>
        <v>0</v>
      </c>
      <c r="AV11" s="787">
        <f>ROUND(圧力補正*H29_換算前/単位補正係数,0)</f>
        <v>0</v>
      </c>
      <c r="AW11" s="787">
        <f>ROUND(圧力補正*H30_換算前/単位補正係数,0)</f>
        <v>0</v>
      </c>
      <c r="AX11" s="787">
        <f>ROUND(圧力補正*H31_換算前/単位補正係数,0)</f>
        <v>0</v>
      </c>
      <c r="AY11" s="787">
        <f t="shared" si="2"/>
        <v>0</v>
      </c>
      <c r="AZ11" s="787">
        <f t="shared" si="2"/>
        <v>0</v>
      </c>
      <c r="BA11" s="787">
        <f t="shared" si="2"/>
        <v>0</v>
      </c>
      <c r="BB11" s="787">
        <f t="shared" si="2"/>
        <v>0</v>
      </c>
      <c r="BC11" s="787">
        <f t="shared" si="2"/>
        <v>0</v>
      </c>
      <c r="BF11"/>
      <c r="BG11"/>
      <c r="BH11"/>
      <c r="BI11"/>
      <c r="BJ11"/>
      <c r="BK11"/>
      <c r="BL11"/>
      <c r="BM11"/>
      <c r="BN11"/>
      <c r="BO11"/>
      <c r="BP11"/>
      <c r="BQ11"/>
      <c r="BR11"/>
      <c r="BS11"/>
      <c r="BT11"/>
      <c r="BU11"/>
      <c r="BV11"/>
      <c r="BW11"/>
      <c r="BX11"/>
      <c r="BY11"/>
      <c r="BZ11"/>
      <c r="CA11"/>
      <c r="CB11"/>
      <c r="CC11"/>
    </row>
    <row r="12" spans="2:81" ht="30" customHeight="1">
      <c r="B12" s="771"/>
      <c r="C12" s="1425"/>
      <c r="D12" s="788"/>
      <c r="E12" s="1464"/>
      <c r="F12" s="1465"/>
      <c r="G12" s="1465"/>
      <c r="H12" s="1465"/>
      <c r="I12" s="1465"/>
      <c r="J12" s="1465"/>
      <c r="K12" s="1465"/>
      <c r="L12" s="1465"/>
      <c r="M12" s="1465"/>
      <c r="N12" s="1465"/>
      <c r="O12" s="1465"/>
      <c r="P12" s="1465"/>
      <c r="Q12" s="1465"/>
      <c r="R12" s="1465"/>
      <c r="S12" s="1465"/>
      <c r="T12" s="1465"/>
      <c r="U12" s="1465"/>
      <c r="V12" s="1465"/>
      <c r="W12" s="1465"/>
      <c r="X12" s="1465"/>
      <c r="Y12" s="1465"/>
      <c r="Z12" s="1465"/>
      <c r="AA12" s="1465"/>
      <c r="AB12" s="1465"/>
      <c r="AC12" s="1466"/>
      <c r="AD12" s="781"/>
      <c r="AE12" s="1471"/>
      <c r="AF12" s="1471"/>
      <c r="AG12" s="786">
        <f>SUM(AG10:AG11)</f>
        <v>0</v>
      </c>
      <c r="AH12" s="786">
        <f t="shared" ref="AH12:BC12" si="3">SUM(AH10:AH11)</f>
        <v>0</v>
      </c>
      <c r="AI12" s="786">
        <f t="shared" si="3"/>
        <v>0</v>
      </c>
      <c r="AJ12" s="786">
        <f t="shared" si="3"/>
        <v>0</v>
      </c>
      <c r="AK12" s="786">
        <f t="shared" si="3"/>
        <v>0</v>
      </c>
      <c r="AL12" s="786">
        <f t="shared" si="3"/>
        <v>0</v>
      </c>
      <c r="AM12" s="786">
        <f t="shared" si="3"/>
        <v>0</v>
      </c>
      <c r="AN12" s="786">
        <f t="shared" si="3"/>
        <v>0</v>
      </c>
      <c r="AO12" s="786">
        <f t="shared" si="3"/>
        <v>0</v>
      </c>
      <c r="AP12" s="786">
        <f t="shared" si="3"/>
        <v>0</v>
      </c>
      <c r="AQ12" s="786">
        <f t="shared" si="3"/>
        <v>0</v>
      </c>
      <c r="AR12" s="786">
        <f t="shared" si="3"/>
        <v>0</v>
      </c>
      <c r="AS12" s="786">
        <f t="shared" si="3"/>
        <v>0</v>
      </c>
      <c r="AT12" s="786">
        <f t="shared" si="3"/>
        <v>0</v>
      </c>
      <c r="AU12" s="786">
        <f t="shared" si="3"/>
        <v>0</v>
      </c>
      <c r="AV12" s="786">
        <f t="shared" si="3"/>
        <v>0</v>
      </c>
      <c r="AW12" s="786">
        <f t="shared" si="3"/>
        <v>0</v>
      </c>
      <c r="AX12" s="786">
        <f t="shared" si="3"/>
        <v>0</v>
      </c>
      <c r="AY12" s="786">
        <f t="shared" si="3"/>
        <v>0</v>
      </c>
      <c r="AZ12" s="786">
        <f t="shared" si="3"/>
        <v>0</v>
      </c>
      <c r="BA12" s="786">
        <f t="shared" si="3"/>
        <v>0</v>
      </c>
      <c r="BB12" s="786">
        <f t="shared" si="3"/>
        <v>0</v>
      </c>
      <c r="BC12" s="786">
        <f t="shared" si="3"/>
        <v>0</v>
      </c>
      <c r="BF12"/>
      <c r="BG12"/>
      <c r="BH12"/>
      <c r="BI12"/>
      <c r="BJ12"/>
      <c r="BK12"/>
      <c r="BL12"/>
      <c r="BM12"/>
      <c r="BN12"/>
      <c r="BO12"/>
      <c r="BP12"/>
      <c r="BQ12"/>
      <c r="BR12"/>
      <c r="BS12"/>
      <c r="BT12"/>
      <c r="BU12"/>
      <c r="BV12"/>
      <c r="BW12"/>
      <c r="BX12"/>
      <c r="BY12"/>
      <c r="BZ12"/>
      <c r="CA12"/>
      <c r="CB12"/>
      <c r="CC12"/>
    </row>
    <row r="13" spans="2:81" ht="30" customHeight="1">
      <c r="B13" s="771"/>
      <c r="C13" s="1425"/>
      <c r="D13" s="1424" t="s">
        <v>2159</v>
      </c>
      <c r="E13" s="781" t="s">
        <v>2153</v>
      </c>
      <c r="F13" s="782" t="s">
        <v>2158</v>
      </c>
      <c r="G13" s="783"/>
      <c r="H13" s="783"/>
      <c r="I13" s="783"/>
      <c r="J13" s="789"/>
      <c r="K13" s="789"/>
      <c r="L13" s="789"/>
      <c r="M13" s="784"/>
      <c r="N13" s="784"/>
      <c r="O13" s="784"/>
      <c r="P13" s="784"/>
      <c r="Q13" s="784"/>
      <c r="R13" s="784"/>
      <c r="S13" s="784"/>
      <c r="T13" s="784"/>
      <c r="U13" s="784"/>
      <c r="V13" s="784"/>
      <c r="W13" s="784"/>
      <c r="X13" s="784"/>
      <c r="Y13" s="784"/>
      <c r="Z13" s="784"/>
      <c r="AA13" s="784"/>
      <c r="AB13" s="784"/>
      <c r="AC13" s="784"/>
      <c r="AD13" s="777" t="s">
        <v>2155</v>
      </c>
      <c r="AE13" s="785">
        <f>IF(COUNTIF(F13,"*Nm3")&gt;0,1,VLOOKUP(E13,$BA$71:$BB$72,2,FALSE))</f>
        <v>1</v>
      </c>
      <c r="AF13" s="786">
        <f>VLOOKUP($F13,$BA$60:$BB$63,2,FALSE)/VLOOKUP($AD13,$BA$60:$BB$63,2,FALSE)</f>
        <v>1000</v>
      </c>
      <c r="AG13" s="787">
        <f>ROUND(圧力補正*H14_換算前/単位補正係数,0)</f>
        <v>0</v>
      </c>
      <c r="AH13" s="787">
        <f>ROUND(圧力補正*H15_換算前/単位補正係数,0)</f>
        <v>0</v>
      </c>
      <c r="AI13" s="787">
        <f>ROUND(圧力補正*H16_換算前/単位補正係数,0)</f>
        <v>0</v>
      </c>
      <c r="AJ13" s="787">
        <f>ROUND(圧力補正*H17_換算前/単位補正係数,0)</f>
        <v>0</v>
      </c>
      <c r="AK13" s="787">
        <f>ROUND(圧力補正*H18_換算前/単位補正係数,0)</f>
        <v>0</v>
      </c>
      <c r="AL13" s="787">
        <f>ROUND(圧力補正*H19_換算前/単位補正係数,0)</f>
        <v>0</v>
      </c>
      <c r="AM13" s="787">
        <f>ROUND(圧力補正*H20_換算前/単位補正係数,0)</f>
        <v>0</v>
      </c>
      <c r="AN13" s="787">
        <f>ROUND(圧力補正*H21_換算前/単位補正係数,0)</f>
        <v>0</v>
      </c>
      <c r="AO13" s="787">
        <f>ROUND(圧力補正*H22_換算前/単位補正係数,0)</f>
        <v>0</v>
      </c>
      <c r="AP13" s="787">
        <f>ROUND(圧力補正*H23_換算前/単位補正係数,0)</f>
        <v>0</v>
      </c>
      <c r="AQ13" s="787">
        <f>ROUND(圧力補正*H24_換算前/単位補正係数,0)</f>
        <v>0</v>
      </c>
      <c r="AR13" s="787">
        <f>ROUND(圧力補正*H25_換算前/単位補正係数,0)</f>
        <v>0</v>
      </c>
      <c r="AS13" s="787">
        <f>ROUND(圧力補正*H26_換算前/単位補正係数,0)</f>
        <v>0</v>
      </c>
      <c r="AT13" s="787">
        <f>ROUND(圧力補正*H27_換算前/単位補正係数,0)</f>
        <v>0</v>
      </c>
      <c r="AU13" s="787">
        <f>ROUND(圧力補正*H28_換算前/単位補正係数,0)</f>
        <v>0</v>
      </c>
      <c r="AV13" s="787">
        <f>ROUND(圧力補正*H29_換算前/単位補正係数,0)</f>
        <v>0</v>
      </c>
      <c r="AW13" s="787">
        <f>ROUND(圧力補正*H30_換算前/単位補正係数,0)</f>
        <v>0</v>
      </c>
      <c r="AX13" s="787">
        <f>ROUND(圧力補正*H31_換算前/単位補正係数,0)</f>
        <v>0</v>
      </c>
      <c r="AY13" s="787">
        <f t="shared" ref="AY13:BC14" si="4">ROUND(圧力補正*Y13/単位補正係数,0)</f>
        <v>0</v>
      </c>
      <c r="AZ13" s="787">
        <f t="shared" si="4"/>
        <v>0</v>
      </c>
      <c r="BA13" s="787">
        <f t="shared" si="4"/>
        <v>0</v>
      </c>
      <c r="BB13" s="787">
        <f t="shared" si="4"/>
        <v>0</v>
      </c>
      <c r="BC13" s="787">
        <f t="shared" si="4"/>
        <v>0</v>
      </c>
      <c r="BF13"/>
      <c r="BG13"/>
      <c r="BH13"/>
      <c r="BI13"/>
      <c r="BJ13"/>
      <c r="BK13"/>
      <c r="BL13"/>
      <c r="BM13"/>
      <c r="BN13"/>
      <c r="BO13"/>
      <c r="BP13"/>
      <c r="BQ13"/>
      <c r="BR13"/>
      <c r="BS13"/>
      <c r="BT13"/>
      <c r="BU13"/>
      <c r="BV13"/>
      <c r="BW13"/>
      <c r="BX13"/>
      <c r="BY13"/>
      <c r="BZ13"/>
      <c r="CA13"/>
      <c r="CB13"/>
      <c r="CC13"/>
    </row>
    <row r="14" spans="2:81" ht="30" customHeight="1">
      <c r="B14" s="771"/>
      <c r="C14" s="1425"/>
      <c r="D14" s="1426"/>
      <c r="E14" s="781" t="s">
        <v>2156</v>
      </c>
      <c r="F14" s="782" t="s">
        <v>2158</v>
      </c>
      <c r="G14" s="783"/>
      <c r="H14" s="783"/>
      <c r="I14" s="783"/>
      <c r="J14" s="789"/>
      <c r="K14" s="789"/>
      <c r="L14" s="789"/>
      <c r="M14" s="784"/>
      <c r="N14" s="784"/>
      <c r="O14" s="784"/>
      <c r="P14" s="784"/>
      <c r="Q14" s="784"/>
      <c r="R14" s="784"/>
      <c r="S14" s="784"/>
      <c r="T14" s="784"/>
      <c r="U14" s="784"/>
      <c r="V14" s="784"/>
      <c r="W14" s="784"/>
      <c r="X14" s="784"/>
      <c r="Y14" s="784"/>
      <c r="Z14" s="784"/>
      <c r="AA14" s="784"/>
      <c r="AB14" s="784"/>
      <c r="AC14" s="784"/>
      <c r="AD14" s="777" t="s">
        <v>2155</v>
      </c>
      <c r="AE14" s="785">
        <f>IF(COUNTIF(F14,"*Nm3")&gt;0,1,VLOOKUP(E14,$BA$71:$BB$72,2,FALSE))</f>
        <v>1</v>
      </c>
      <c r="AF14" s="786">
        <f>VLOOKUP($F14,$BA$60:$BB$63,2,FALSE)/VLOOKUP($AD14,$BA$60:$BB$63,2,FALSE)</f>
        <v>1000</v>
      </c>
      <c r="AG14" s="787">
        <f>ROUND(圧力補正*H14_換算前/単位補正係数,0)</f>
        <v>0</v>
      </c>
      <c r="AH14" s="787">
        <f>ROUND(圧力補正*H15_換算前/単位補正係数,0)</f>
        <v>0</v>
      </c>
      <c r="AI14" s="787">
        <f>ROUND(圧力補正*H16_換算前/単位補正係数,0)</f>
        <v>0</v>
      </c>
      <c r="AJ14" s="787">
        <f>ROUND(圧力補正*H17_換算前/単位補正係数,0)</f>
        <v>0</v>
      </c>
      <c r="AK14" s="787">
        <f>ROUND(圧力補正*H18_換算前/単位補正係数,0)</f>
        <v>0</v>
      </c>
      <c r="AL14" s="787">
        <f>ROUND(圧力補正*H19_換算前/単位補正係数,0)</f>
        <v>0</v>
      </c>
      <c r="AM14" s="787">
        <f>ROUND(圧力補正*H20_換算前/単位補正係数,0)</f>
        <v>0</v>
      </c>
      <c r="AN14" s="787">
        <f>ROUND(圧力補正*H21_換算前/単位補正係数,0)</f>
        <v>0</v>
      </c>
      <c r="AO14" s="787">
        <f>ROUND(圧力補正*H22_換算前/単位補正係数,0)</f>
        <v>0</v>
      </c>
      <c r="AP14" s="787">
        <f>ROUND(圧力補正*H23_換算前/単位補正係数,0)</f>
        <v>0</v>
      </c>
      <c r="AQ14" s="787">
        <f>ROUND(圧力補正*H24_換算前/単位補正係数,0)</f>
        <v>0</v>
      </c>
      <c r="AR14" s="787">
        <f>ROUND(圧力補正*H25_換算前/単位補正係数,0)</f>
        <v>0</v>
      </c>
      <c r="AS14" s="787">
        <f>ROUND(圧力補正*H26_換算前/単位補正係数,0)</f>
        <v>0</v>
      </c>
      <c r="AT14" s="787">
        <f>ROUND(圧力補正*H27_換算前/単位補正係数,0)</f>
        <v>0</v>
      </c>
      <c r="AU14" s="787">
        <f>ROUND(圧力補正*H28_換算前/単位補正係数,0)</f>
        <v>0</v>
      </c>
      <c r="AV14" s="787">
        <f>ROUND(圧力補正*H29_換算前/単位補正係数,0)</f>
        <v>0</v>
      </c>
      <c r="AW14" s="787">
        <f>ROUND(圧力補正*H30_換算前/単位補正係数,0)</f>
        <v>0</v>
      </c>
      <c r="AX14" s="787">
        <f>ROUND(圧力補正*H31_換算前/単位補正係数,0)</f>
        <v>0</v>
      </c>
      <c r="AY14" s="787">
        <f t="shared" si="4"/>
        <v>0</v>
      </c>
      <c r="AZ14" s="787">
        <f t="shared" si="4"/>
        <v>0</v>
      </c>
      <c r="BA14" s="787">
        <f t="shared" si="4"/>
        <v>0</v>
      </c>
      <c r="BB14" s="787">
        <f t="shared" si="4"/>
        <v>0</v>
      </c>
      <c r="BC14" s="787">
        <f t="shared" si="4"/>
        <v>0</v>
      </c>
      <c r="BF14"/>
      <c r="BG14"/>
      <c r="BH14"/>
      <c r="BI14"/>
      <c r="BJ14"/>
      <c r="BK14"/>
      <c r="BL14"/>
      <c r="BM14"/>
      <c r="BN14"/>
      <c r="BO14"/>
      <c r="BP14"/>
      <c r="BQ14"/>
      <c r="BR14"/>
      <c r="BS14"/>
      <c r="BT14"/>
      <c r="BU14"/>
      <c r="BV14"/>
      <c r="BW14"/>
      <c r="BX14"/>
      <c r="BY14"/>
      <c r="BZ14"/>
      <c r="CA14"/>
      <c r="CB14"/>
      <c r="CC14"/>
    </row>
    <row r="15" spans="2:81" ht="30" customHeight="1">
      <c r="B15" s="771"/>
      <c r="C15" s="1425"/>
      <c r="D15" s="788"/>
      <c r="E15" s="1464"/>
      <c r="F15" s="1465"/>
      <c r="G15" s="1465"/>
      <c r="H15" s="1465"/>
      <c r="I15" s="1465"/>
      <c r="J15" s="1465"/>
      <c r="K15" s="1465"/>
      <c r="L15" s="1465"/>
      <c r="M15" s="1465"/>
      <c r="N15" s="1465"/>
      <c r="O15" s="1465"/>
      <c r="P15" s="1465"/>
      <c r="Q15" s="1465"/>
      <c r="R15" s="1465"/>
      <c r="S15" s="1465"/>
      <c r="T15" s="1465"/>
      <c r="U15" s="1465"/>
      <c r="V15" s="1465"/>
      <c r="W15" s="1465"/>
      <c r="X15" s="1465"/>
      <c r="Y15" s="1465"/>
      <c r="Z15" s="1465"/>
      <c r="AA15" s="1465"/>
      <c r="AB15" s="1465"/>
      <c r="AC15" s="1466"/>
      <c r="AD15" s="781"/>
      <c r="AE15" s="1471"/>
      <c r="AF15" s="1471"/>
      <c r="AG15" s="786">
        <f>SUM(AG13:AG14)</f>
        <v>0</v>
      </c>
      <c r="AH15" s="786">
        <f t="shared" ref="AH15:BC15" si="5">SUM(AH13:AH14)</f>
        <v>0</v>
      </c>
      <c r="AI15" s="786">
        <f t="shared" si="5"/>
        <v>0</v>
      </c>
      <c r="AJ15" s="786">
        <f t="shared" si="5"/>
        <v>0</v>
      </c>
      <c r="AK15" s="786">
        <f t="shared" si="5"/>
        <v>0</v>
      </c>
      <c r="AL15" s="786">
        <f t="shared" si="5"/>
        <v>0</v>
      </c>
      <c r="AM15" s="786">
        <f t="shared" si="5"/>
        <v>0</v>
      </c>
      <c r="AN15" s="786">
        <f t="shared" si="5"/>
        <v>0</v>
      </c>
      <c r="AO15" s="786">
        <f t="shared" si="5"/>
        <v>0</v>
      </c>
      <c r="AP15" s="786">
        <f t="shared" si="5"/>
        <v>0</v>
      </c>
      <c r="AQ15" s="786">
        <f t="shared" si="5"/>
        <v>0</v>
      </c>
      <c r="AR15" s="786">
        <f t="shared" si="5"/>
        <v>0</v>
      </c>
      <c r="AS15" s="786">
        <f t="shared" si="5"/>
        <v>0</v>
      </c>
      <c r="AT15" s="786">
        <f t="shared" si="5"/>
        <v>0</v>
      </c>
      <c r="AU15" s="786">
        <f t="shared" si="5"/>
        <v>0</v>
      </c>
      <c r="AV15" s="786">
        <f t="shared" si="5"/>
        <v>0</v>
      </c>
      <c r="AW15" s="786">
        <f t="shared" si="5"/>
        <v>0</v>
      </c>
      <c r="AX15" s="786">
        <f t="shared" si="5"/>
        <v>0</v>
      </c>
      <c r="AY15" s="786">
        <f t="shared" si="5"/>
        <v>0</v>
      </c>
      <c r="AZ15" s="786">
        <f t="shared" si="5"/>
        <v>0</v>
      </c>
      <c r="BA15" s="786">
        <f t="shared" si="5"/>
        <v>0</v>
      </c>
      <c r="BB15" s="786">
        <f t="shared" si="5"/>
        <v>0</v>
      </c>
      <c r="BC15" s="786">
        <f t="shared" si="5"/>
        <v>0</v>
      </c>
      <c r="BF15"/>
      <c r="BG15"/>
      <c r="BH15"/>
      <c r="BI15"/>
      <c r="BJ15"/>
      <c r="BK15"/>
      <c r="BL15"/>
      <c r="BM15"/>
      <c r="BN15"/>
      <c r="BO15"/>
      <c r="BP15"/>
      <c r="BQ15"/>
      <c r="BR15"/>
      <c r="BS15"/>
      <c r="BT15"/>
      <c r="BU15"/>
      <c r="BV15"/>
      <c r="BW15"/>
      <c r="BX15"/>
      <c r="BY15"/>
      <c r="BZ15"/>
      <c r="CA15"/>
      <c r="CB15"/>
      <c r="CC15"/>
    </row>
    <row r="16" spans="2:81" ht="30" customHeight="1">
      <c r="B16" s="771"/>
      <c r="C16" s="1425"/>
      <c r="D16" s="1424" t="s">
        <v>2160</v>
      </c>
      <c r="E16" s="781" t="s">
        <v>2153</v>
      </c>
      <c r="F16" s="782" t="s">
        <v>2158</v>
      </c>
      <c r="G16" s="783"/>
      <c r="H16" s="783"/>
      <c r="I16" s="783"/>
      <c r="J16" s="783"/>
      <c r="K16" s="783"/>
      <c r="L16" s="783"/>
      <c r="M16" s="784"/>
      <c r="N16" s="784"/>
      <c r="O16" s="784"/>
      <c r="P16" s="784"/>
      <c r="Q16" s="784"/>
      <c r="R16" s="784"/>
      <c r="S16" s="784"/>
      <c r="T16" s="784"/>
      <c r="U16" s="784"/>
      <c r="V16" s="784"/>
      <c r="W16" s="784"/>
      <c r="X16" s="784"/>
      <c r="Y16" s="784"/>
      <c r="Z16" s="784"/>
      <c r="AA16" s="784"/>
      <c r="AB16" s="784"/>
      <c r="AC16" s="784"/>
      <c r="AD16" s="777" t="s">
        <v>2155</v>
      </c>
      <c r="AE16" s="785">
        <f>IF(COUNTIF(F16,"*Nm3")&gt;0,1,VLOOKUP(E16,$BA$71:$BB$72,2,FALSE))</f>
        <v>1</v>
      </c>
      <c r="AF16" s="786">
        <f>VLOOKUP($F16,$BA$60:$BB$63,2,FALSE)/VLOOKUP($AD16,$BA$60:$BB$63,2,FALSE)</f>
        <v>1000</v>
      </c>
      <c r="AG16" s="787">
        <f>ROUND(圧力補正*H14_換算前/単位補正係数,0)</f>
        <v>0</v>
      </c>
      <c r="AH16" s="787">
        <f>ROUND(圧力補正*H15_換算前/単位補正係数,0)</f>
        <v>0</v>
      </c>
      <c r="AI16" s="787">
        <f>ROUND(圧力補正*H16_換算前/単位補正係数,0)</f>
        <v>0</v>
      </c>
      <c r="AJ16" s="787">
        <f>ROUND(圧力補正*H17_換算前/単位補正係数,0)</f>
        <v>0</v>
      </c>
      <c r="AK16" s="787">
        <f>ROUND(圧力補正*H18_換算前/単位補正係数,0)</f>
        <v>0</v>
      </c>
      <c r="AL16" s="787">
        <f>ROUND(圧力補正*H19_換算前/単位補正係数,0)</f>
        <v>0</v>
      </c>
      <c r="AM16" s="787">
        <f>ROUND(圧力補正*H20_換算前/単位補正係数,0)</f>
        <v>0</v>
      </c>
      <c r="AN16" s="787">
        <f>ROUND(圧力補正*H21_換算前/単位補正係数,0)</f>
        <v>0</v>
      </c>
      <c r="AO16" s="787">
        <f>ROUND(圧力補正*H22_換算前/単位補正係数,0)</f>
        <v>0</v>
      </c>
      <c r="AP16" s="787">
        <f>ROUND(圧力補正*H23_換算前/単位補正係数,0)</f>
        <v>0</v>
      </c>
      <c r="AQ16" s="787">
        <f>ROUND(圧力補正*H24_換算前/単位補正係数,0)</f>
        <v>0</v>
      </c>
      <c r="AR16" s="787">
        <f>ROUND(圧力補正*H25_換算前/単位補正係数,0)</f>
        <v>0</v>
      </c>
      <c r="AS16" s="787">
        <f>ROUND(圧力補正*H26_換算前/単位補正係数,0)</f>
        <v>0</v>
      </c>
      <c r="AT16" s="787">
        <f>ROUND(圧力補正*H27_換算前/単位補正係数,0)</f>
        <v>0</v>
      </c>
      <c r="AU16" s="787">
        <f>ROUND(圧力補正*H28_換算前/単位補正係数,0)</f>
        <v>0</v>
      </c>
      <c r="AV16" s="787">
        <f>ROUND(圧力補正*H29_換算前/単位補正係数,0)</f>
        <v>0</v>
      </c>
      <c r="AW16" s="787">
        <f>ROUND(圧力補正*H30_換算前/単位補正係数,0)</f>
        <v>0</v>
      </c>
      <c r="AX16" s="787">
        <f>ROUND(圧力補正*H31_換算前/単位補正係数,0)</f>
        <v>0</v>
      </c>
      <c r="AY16" s="787">
        <f t="shared" ref="AY16:BC17" si="6">ROUND(圧力補正*Y16/単位補正係数,0)</f>
        <v>0</v>
      </c>
      <c r="AZ16" s="787">
        <f t="shared" si="6"/>
        <v>0</v>
      </c>
      <c r="BA16" s="787">
        <f t="shared" si="6"/>
        <v>0</v>
      </c>
      <c r="BB16" s="787">
        <f t="shared" si="6"/>
        <v>0</v>
      </c>
      <c r="BC16" s="787">
        <f t="shared" si="6"/>
        <v>0</v>
      </c>
      <c r="BF16"/>
      <c r="BG16"/>
      <c r="BH16"/>
      <c r="BI16"/>
      <c r="BJ16"/>
      <c r="BK16"/>
      <c r="BL16"/>
      <c r="BM16"/>
      <c r="BN16"/>
      <c r="BO16"/>
      <c r="BP16"/>
      <c r="BQ16"/>
      <c r="BR16"/>
      <c r="BS16"/>
      <c r="BT16"/>
      <c r="BU16"/>
      <c r="BV16"/>
      <c r="BW16"/>
      <c r="BX16"/>
      <c r="BY16"/>
      <c r="BZ16"/>
      <c r="CA16"/>
      <c r="CB16"/>
      <c r="CC16"/>
    </row>
    <row r="17" spans="2:81" ht="30" customHeight="1">
      <c r="B17" s="771"/>
      <c r="C17" s="1425"/>
      <c r="D17" s="1426"/>
      <c r="E17" s="781" t="s">
        <v>2156</v>
      </c>
      <c r="F17" s="782" t="s">
        <v>2158</v>
      </c>
      <c r="G17" s="789"/>
      <c r="H17" s="789"/>
      <c r="I17" s="789"/>
      <c r="J17" s="789"/>
      <c r="K17" s="789"/>
      <c r="L17" s="789"/>
      <c r="M17" s="784"/>
      <c r="N17" s="784"/>
      <c r="O17" s="784"/>
      <c r="P17" s="784"/>
      <c r="Q17" s="784"/>
      <c r="R17" s="784"/>
      <c r="S17" s="784"/>
      <c r="T17" s="784"/>
      <c r="U17" s="784"/>
      <c r="V17" s="784"/>
      <c r="W17" s="784"/>
      <c r="X17" s="784"/>
      <c r="Y17" s="784"/>
      <c r="Z17" s="784"/>
      <c r="AA17" s="784"/>
      <c r="AB17" s="784"/>
      <c r="AC17" s="784"/>
      <c r="AD17" s="777" t="s">
        <v>2155</v>
      </c>
      <c r="AE17" s="785">
        <f>IF(COUNTIF(F17,"*Nm3")&gt;0,1,VLOOKUP(E17,$BA$71:$BB$72,2,FALSE))</f>
        <v>1</v>
      </c>
      <c r="AF17" s="786">
        <f>VLOOKUP($F17,$BA$60:$BB$63,2,FALSE)/VLOOKUP($AD17,$BA$60:$BB$63,2,FALSE)</f>
        <v>1000</v>
      </c>
      <c r="AG17" s="787">
        <f>ROUND(圧力補正*H14_換算前/単位補正係数,0)</f>
        <v>0</v>
      </c>
      <c r="AH17" s="787">
        <f>ROUND(圧力補正*H15_換算前/単位補正係数,0)</f>
        <v>0</v>
      </c>
      <c r="AI17" s="787">
        <f>ROUND(圧力補正*H16_換算前/単位補正係数,0)</f>
        <v>0</v>
      </c>
      <c r="AJ17" s="787">
        <f>ROUND(圧力補正*H17_換算前/単位補正係数,0)</f>
        <v>0</v>
      </c>
      <c r="AK17" s="787">
        <f>ROUND(圧力補正*H18_換算前/単位補正係数,0)</f>
        <v>0</v>
      </c>
      <c r="AL17" s="787">
        <f>ROUND(圧力補正*H19_換算前/単位補正係数,0)</f>
        <v>0</v>
      </c>
      <c r="AM17" s="787">
        <f>ROUND(圧力補正*H20_換算前/単位補正係数,0)</f>
        <v>0</v>
      </c>
      <c r="AN17" s="787">
        <f>ROUND(圧力補正*H21_換算前/単位補正係数,0)</f>
        <v>0</v>
      </c>
      <c r="AO17" s="787">
        <f>ROUND(圧力補正*H22_換算前/単位補正係数,0)</f>
        <v>0</v>
      </c>
      <c r="AP17" s="787">
        <f>ROUND(圧力補正*H23_換算前/単位補正係数,0)</f>
        <v>0</v>
      </c>
      <c r="AQ17" s="787">
        <f>ROUND(圧力補正*H24_換算前/単位補正係数,0)</f>
        <v>0</v>
      </c>
      <c r="AR17" s="787">
        <f>ROUND(圧力補正*H25_換算前/単位補正係数,0)</f>
        <v>0</v>
      </c>
      <c r="AS17" s="787">
        <f>ROUND(圧力補正*H26_換算前/単位補正係数,0)</f>
        <v>0</v>
      </c>
      <c r="AT17" s="787">
        <f>ROUND(圧力補正*H27_換算前/単位補正係数,0)</f>
        <v>0</v>
      </c>
      <c r="AU17" s="787">
        <f>ROUND(圧力補正*H28_換算前/単位補正係数,0)</f>
        <v>0</v>
      </c>
      <c r="AV17" s="787">
        <f>ROUND(圧力補正*H29_換算前/単位補正係数,0)</f>
        <v>0</v>
      </c>
      <c r="AW17" s="787">
        <f>ROUND(圧力補正*H30_換算前/単位補正係数,0)</f>
        <v>0</v>
      </c>
      <c r="AX17" s="787">
        <f>ROUND(圧力補正*H31_換算前/単位補正係数,0)</f>
        <v>0</v>
      </c>
      <c r="AY17" s="787">
        <f t="shared" si="6"/>
        <v>0</v>
      </c>
      <c r="AZ17" s="787">
        <f t="shared" si="6"/>
        <v>0</v>
      </c>
      <c r="BA17" s="787">
        <f t="shared" si="6"/>
        <v>0</v>
      </c>
      <c r="BB17" s="787">
        <f t="shared" si="6"/>
        <v>0</v>
      </c>
      <c r="BC17" s="787">
        <f t="shared" si="6"/>
        <v>0</v>
      </c>
      <c r="BF17"/>
      <c r="BG17"/>
      <c r="BH17"/>
      <c r="BI17"/>
      <c r="BJ17"/>
      <c r="BK17"/>
      <c r="BL17"/>
      <c r="BM17"/>
      <c r="BN17"/>
      <c r="BO17"/>
      <c r="BP17"/>
      <c r="BQ17"/>
      <c r="BR17"/>
      <c r="BS17"/>
      <c r="BT17"/>
      <c r="BU17"/>
      <c r="BV17"/>
      <c r="BW17"/>
      <c r="BX17"/>
      <c r="BY17"/>
      <c r="BZ17"/>
      <c r="CA17"/>
      <c r="CB17"/>
      <c r="CC17"/>
    </row>
    <row r="18" spans="2:81" ht="30" customHeight="1">
      <c r="B18" s="771"/>
      <c r="C18" s="1425"/>
      <c r="D18" s="788"/>
      <c r="E18" s="1464"/>
      <c r="F18" s="1465"/>
      <c r="G18" s="1465"/>
      <c r="H18" s="1465"/>
      <c r="I18" s="1465"/>
      <c r="J18" s="1465"/>
      <c r="K18" s="1465"/>
      <c r="L18" s="1465"/>
      <c r="M18" s="1465"/>
      <c r="N18" s="1465"/>
      <c r="O18" s="1465"/>
      <c r="P18" s="1465"/>
      <c r="Q18" s="1465"/>
      <c r="R18" s="1465"/>
      <c r="S18" s="1465"/>
      <c r="T18" s="1465"/>
      <c r="U18" s="1465"/>
      <c r="V18" s="1465"/>
      <c r="W18" s="1465"/>
      <c r="X18" s="1465"/>
      <c r="Y18" s="1465"/>
      <c r="Z18" s="1465"/>
      <c r="AA18" s="1465"/>
      <c r="AB18" s="1465"/>
      <c r="AC18" s="1466"/>
      <c r="AD18" s="781"/>
      <c r="AE18" s="1471"/>
      <c r="AF18" s="1471"/>
      <c r="AG18" s="786">
        <f>SUM(AG16:AG17)</f>
        <v>0</v>
      </c>
      <c r="AH18" s="786">
        <f t="shared" ref="AH18:BC18" si="7">SUM(AH16:AH17)</f>
        <v>0</v>
      </c>
      <c r="AI18" s="786">
        <f t="shared" si="7"/>
        <v>0</v>
      </c>
      <c r="AJ18" s="786">
        <f t="shared" si="7"/>
        <v>0</v>
      </c>
      <c r="AK18" s="786">
        <f t="shared" si="7"/>
        <v>0</v>
      </c>
      <c r="AL18" s="786">
        <f t="shared" si="7"/>
        <v>0</v>
      </c>
      <c r="AM18" s="786">
        <f t="shared" si="7"/>
        <v>0</v>
      </c>
      <c r="AN18" s="786">
        <f t="shared" si="7"/>
        <v>0</v>
      </c>
      <c r="AO18" s="786">
        <f t="shared" si="7"/>
        <v>0</v>
      </c>
      <c r="AP18" s="786">
        <f t="shared" si="7"/>
        <v>0</v>
      </c>
      <c r="AQ18" s="786">
        <f t="shared" si="7"/>
        <v>0</v>
      </c>
      <c r="AR18" s="786">
        <f t="shared" si="7"/>
        <v>0</v>
      </c>
      <c r="AS18" s="786">
        <f t="shared" si="7"/>
        <v>0</v>
      </c>
      <c r="AT18" s="786">
        <f t="shared" si="7"/>
        <v>0</v>
      </c>
      <c r="AU18" s="786">
        <f t="shared" si="7"/>
        <v>0</v>
      </c>
      <c r="AV18" s="786">
        <f t="shared" si="7"/>
        <v>0</v>
      </c>
      <c r="AW18" s="786">
        <f t="shared" si="7"/>
        <v>0</v>
      </c>
      <c r="AX18" s="786">
        <f t="shared" si="7"/>
        <v>0</v>
      </c>
      <c r="AY18" s="786">
        <f t="shared" si="7"/>
        <v>0</v>
      </c>
      <c r="AZ18" s="786">
        <f t="shared" si="7"/>
        <v>0</v>
      </c>
      <c r="BA18" s="786">
        <f t="shared" si="7"/>
        <v>0</v>
      </c>
      <c r="BB18" s="786">
        <f t="shared" si="7"/>
        <v>0</v>
      </c>
      <c r="BC18" s="786">
        <f t="shared" si="7"/>
        <v>0</v>
      </c>
      <c r="BF18"/>
      <c r="BG18"/>
      <c r="BH18"/>
      <c r="BI18"/>
      <c r="BJ18"/>
      <c r="BK18"/>
      <c r="BL18"/>
      <c r="BM18"/>
      <c r="BN18"/>
      <c r="BO18"/>
      <c r="BP18"/>
      <c r="BQ18"/>
      <c r="BR18"/>
      <c r="BS18"/>
      <c r="BT18"/>
      <c r="BU18"/>
      <c r="BV18"/>
      <c r="BW18"/>
      <c r="BX18"/>
      <c r="BY18"/>
      <c r="BZ18"/>
      <c r="CA18"/>
      <c r="CB18"/>
      <c r="CC18"/>
    </row>
    <row r="19" spans="2:81" ht="30" customHeight="1">
      <c r="B19" s="771"/>
      <c r="C19" s="1425"/>
      <c r="D19" s="1424" t="s">
        <v>2161</v>
      </c>
      <c r="E19" s="781" t="s">
        <v>2153</v>
      </c>
      <c r="F19" s="782" t="s">
        <v>2158</v>
      </c>
      <c r="G19" s="783"/>
      <c r="H19" s="783"/>
      <c r="I19" s="783"/>
      <c r="J19" s="783"/>
      <c r="K19" s="783"/>
      <c r="L19" s="783"/>
      <c r="M19" s="784"/>
      <c r="N19" s="784"/>
      <c r="O19" s="784"/>
      <c r="P19" s="784"/>
      <c r="Q19" s="784"/>
      <c r="R19" s="784"/>
      <c r="S19" s="784"/>
      <c r="T19" s="784"/>
      <c r="U19" s="784"/>
      <c r="V19" s="784"/>
      <c r="W19" s="784"/>
      <c r="X19" s="784"/>
      <c r="Y19" s="784"/>
      <c r="Z19" s="784"/>
      <c r="AA19" s="784"/>
      <c r="AB19" s="784"/>
      <c r="AC19" s="784"/>
      <c r="AD19" s="777" t="s">
        <v>2155</v>
      </c>
      <c r="AE19" s="785">
        <f>IF(COUNTIF(F19,"*Nm3")&gt;0,1,VLOOKUP(E19,$BA$71:$BB$72,2,FALSE))</f>
        <v>1</v>
      </c>
      <c r="AF19" s="786">
        <f>VLOOKUP($F19,$BA$60:$BB$63,2,FALSE)/VLOOKUP($AD19,$BA$60:$BB$63,2,FALSE)</f>
        <v>1000</v>
      </c>
      <c r="AG19" s="787">
        <f>ROUND(圧力補正*H14_換算前/単位補正係数,0)</f>
        <v>0</v>
      </c>
      <c r="AH19" s="787">
        <f>ROUND(圧力補正*H15_換算前/単位補正係数,0)</f>
        <v>0</v>
      </c>
      <c r="AI19" s="787">
        <f>ROUND(圧力補正*H16_換算前/単位補正係数,0)</f>
        <v>0</v>
      </c>
      <c r="AJ19" s="787">
        <f>ROUND(圧力補正*H17_換算前/単位補正係数,0)</f>
        <v>0</v>
      </c>
      <c r="AK19" s="787">
        <f>ROUND(圧力補正*H18_換算前/単位補正係数,0)</f>
        <v>0</v>
      </c>
      <c r="AL19" s="787">
        <f>ROUND(圧力補正*H19_換算前/単位補正係数,0)</f>
        <v>0</v>
      </c>
      <c r="AM19" s="787">
        <f>ROUND(圧力補正*H20_換算前/単位補正係数,0)</f>
        <v>0</v>
      </c>
      <c r="AN19" s="787">
        <f>ROUND(圧力補正*H21_換算前/単位補正係数,0)</f>
        <v>0</v>
      </c>
      <c r="AO19" s="787">
        <f>ROUND(圧力補正*H22_換算前/単位補正係数,0)</f>
        <v>0</v>
      </c>
      <c r="AP19" s="787">
        <f>ROUND(圧力補正*H23_換算前/単位補正係数,0)</f>
        <v>0</v>
      </c>
      <c r="AQ19" s="787">
        <f>ROUND(圧力補正*H24_換算前/単位補正係数,0)</f>
        <v>0</v>
      </c>
      <c r="AR19" s="787">
        <f>ROUND(圧力補正*H25_換算前/単位補正係数,0)</f>
        <v>0</v>
      </c>
      <c r="AS19" s="787">
        <f>ROUND(圧力補正*H26_換算前/単位補正係数,0)</f>
        <v>0</v>
      </c>
      <c r="AT19" s="787">
        <f>ROUND(圧力補正*H27_換算前/単位補正係数,0)</f>
        <v>0</v>
      </c>
      <c r="AU19" s="787">
        <f>ROUND(圧力補正*H28_換算前/単位補正係数,0)</f>
        <v>0</v>
      </c>
      <c r="AV19" s="787">
        <f>ROUND(圧力補正*H29_換算前/単位補正係数,0)</f>
        <v>0</v>
      </c>
      <c r="AW19" s="787">
        <f>ROUND(圧力補正*H30_換算前/単位補正係数,0)</f>
        <v>0</v>
      </c>
      <c r="AX19" s="787">
        <f>ROUND(圧力補正*H31_換算前/単位補正係数,0)</f>
        <v>0</v>
      </c>
      <c r="AY19" s="787">
        <f t="shared" ref="AY19:BC20" si="8">ROUND(圧力補正*Y19/単位補正係数,0)</f>
        <v>0</v>
      </c>
      <c r="AZ19" s="787">
        <f t="shared" si="8"/>
        <v>0</v>
      </c>
      <c r="BA19" s="787">
        <f t="shared" si="8"/>
        <v>0</v>
      </c>
      <c r="BB19" s="787">
        <f t="shared" si="8"/>
        <v>0</v>
      </c>
      <c r="BC19" s="787">
        <f t="shared" si="8"/>
        <v>0</v>
      </c>
      <c r="BF19"/>
      <c r="BG19"/>
      <c r="BH19"/>
      <c r="BI19"/>
      <c r="BJ19"/>
      <c r="BK19"/>
      <c r="BL19"/>
      <c r="BM19"/>
      <c r="BN19"/>
      <c r="BO19"/>
      <c r="BP19"/>
      <c r="BQ19"/>
      <c r="BR19"/>
      <c r="BS19"/>
      <c r="BT19"/>
      <c r="BU19"/>
      <c r="BV19"/>
      <c r="BW19"/>
      <c r="BX19"/>
      <c r="BY19"/>
      <c r="BZ19"/>
      <c r="CA19"/>
      <c r="CB19"/>
      <c r="CC19"/>
    </row>
    <row r="20" spans="2:81" ht="30" customHeight="1">
      <c r="B20" s="771"/>
      <c r="C20" s="1425"/>
      <c r="D20" s="1426"/>
      <c r="E20" s="781" t="s">
        <v>2156</v>
      </c>
      <c r="F20" s="782" t="s">
        <v>2158</v>
      </c>
      <c r="G20" s="789"/>
      <c r="H20" s="789"/>
      <c r="I20" s="789"/>
      <c r="J20" s="789"/>
      <c r="K20" s="789"/>
      <c r="L20" s="789"/>
      <c r="M20" s="784"/>
      <c r="N20" s="784"/>
      <c r="O20" s="784"/>
      <c r="P20" s="784"/>
      <c r="Q20" s="784"/>
      <c r="R20" s="784"/>
      <c r="S20" s="784"/>
      <c r="T20" s="784"/>
      <c r="U20" s="784"/>
      <c r="V20" s="784"/>
      <c r="W20" s="784"/>
      <c r="X20" s="784"/>
      <c r="Y20" s="784"/>
      <c r="Z20" s="784"/>
      <c r="AA20" s="784"/>
      <c r="AB20" s="784"/>
      <c r="AC20" s="784"/>
      <c r="AD20" s="777" t="s">
        <v>2155</v>
      </c>
      <c r="AE20" s="785">
        <f>IF(COUNTIF(F20,"*Nm3")&gt;0,1,VLOOKUP(E20,$BA$71:$BB$72,2,FALSE))</f>
        <v>1</v>
      </c>
      <c r="AF20" s="786">
        <f>VLOOKUP($F20,$BA$60:$BB$63,2,FALSE)/VLOOKUP($AD20,$BA$60:$BB$63,2,FALSE)</f>
        <v>1000</v>
      </c>
      <c r="AG20" s="787">
        <f>ROUND(圧力補正*H14_換算前/単位補正係数,0)</f>
        <v>0</v>
      </c>
      <c r="AH20" s="787">
        <f>ROUND(圧力補正*H15_換算前/単位補正係数,0)</f>
        <v>0</v>
      </c>
      <c r="AI20" s="787">
        <f>ROUND(圧力補正*H16_換算前/単位補正係数,0)</f>
        <v>0</v>
      </c>
      <c r="AJ20" s="787">
        <f>ROUND(圧力補正*H17_換算前/単位補正係数,0)</f>
        <v>0</v>
      </c>
      <c r="AK20" s="787">
        <f>ROUND(圧力補正*H18_換算前/単位補正係数,0)</f>
        <v>0</v>
      </c>
      <c r="AL20" s="787">
        <f>ROUND(圧力補正*H19_換算前/単位補正係数,0)</f>
        <v>0</v>
      </c>
      <c r="AM20" s="787">
        <f>ROUND(圧力補正*H20_換算前/単位補正係数,0)</f>
        <v>0</v>
      </c>
      <c r="AN20" s="787">
        <f>ROUND(圧力補正*H21_換算前/単位補正係数,0)</f>
        <v>0</v>
      </c>
      <c r="AO20" s="787">
        <f>ROUND(圧力補正*H22_換算前/単位補正係数,0)</f>
        <v>0</v>
      </c>
      <c r="AP20" s="787">
        <f>ROUND(圧力補正*H23_換算前/単位補正係数,0)</f>
        <v>0</v>
      </c>
      <c r="AQ20" s="787">
        <f>ROUND(圧力補正*H24_換算前/単位補正係数,0)</f>
        <v>0</v>
      </c>
      <c r="AR20" s="787">
        <f>ROUND(圧力補正*H25_換算前/単位補正係数,0)</f>
        <v>0</v>
      </c>
      <c r="AS20" s="787">
        <f>ROUND(圧力補正*H26_換算前/単位補正係数,0)</f>
        <v>0</v>
      </c>
      <c r="AT20" s="787">
        <f>ROUND(圧力補正*H27_換算前/単位補正係数,0)</f>
        <v>0</v>
      </c>
      <c r="AU20" s="787">
        <f>ROUND(圧力補正*H28_換算前/単位補正係数,0)</f>
        <v>0</v>
      </c>
      <c r="AV20" s="787">
        <f>ROUND(圧力補正*H29_換算前/単位補正係数,0)</f>
        <v>0</v>
      </c>
      <c r="AW20" s="787">
        <f>ROUND(圧力補正*H30_換算前/単位補正係数,0)</f>
        <v>0</v>
      </c>
      <c r="AX20" s="787">
        <f>ROUND(圧力補正*H31_換算前/単位補正係数,0)</f>
        <v>0</v>
      </c>
      <c r="AY20" s="787">
        <f t="shared" si="8"/>
        <v>0</v>
      </c>
      <c r="AZ20" s="787">
        <f t="shared" si="8"/>
        <v>0</v>
      </c>
      <c r="BA20" s="787">
        <f t="shared" si="8"/>
        <v>0</v>
      </c>
      <c r="BB20" s="787">
        <f t="shared" si="8"/>
        <v>0</v>
      </c>
      <c r="BC20" s="787">
        <f t="shared" si="8"/>
        <v>0</v>
      </c>
      <c r="BF20"/>
      <c r="BG20"/>
      <c r="BH20"/>
      <c r="BI20"/>
      <c r="BJ20"/>
      <c r="BK20"/>
      <c r="BL20"/>
      <c r="BM20"/>
      <c r="BN20"/>
      <c r="BO20"/>
      <c r="BP20"/>
      <c r="BQ20"/>
      <c r="BR20"/>
      <c r="BS20"/>
      <c r="BT20"/>
      <c r="BU20"/>
      <c r="BV20"/>
      <c r="BW20"/>
      <c r="BX20"/>
      <c r="BY20"/>
      <c r="BZ20"/>
      <c r="CA20"/>
      <c r="CB20"/>
      <c r="CC20"/>
    </row>
    <row r="21" spans="2:81" ht="30" customHeight="1">
      <c r="B21" s="771"/>
      <c r="C21" s="1426"/>
      <c r="D21" s="790"/>
      <c r="E21" s="1464"/>
      <c r="F21" s="1465"/>
      <c r="G21" s="1465"/>
      <c r="H21" s="1465"/>
      <c r="I21" s="1465"/>
      <c r="J21" s="1465"/>
      <c r="K21" s="1465"/>
      <c r="L21" s="1465"/>
      <c r="M21" s="1465"/>
      <c r="N21" s="1465"/>
      <c r="O21" s="1465"/>
      <c r="P21" s="1465"/>
      <c r="Q21" s="1465"/>
      <c r="R21" s="1465"/>
      <c r="S21" s="1465"/>
      <c r="T21" s="1465"/>
      <c r="U21" s="1465"/>
      <c r="V21" s="1465"/>
      <c r="W21" s="1465"/>
      <c r="X21" s="1465"/>
      <c r="Y21" s="1465"/>
      <c r="Z21" s="1465"/>
      <c r="AA21" s="1465"/>
      <c r="AB21" s="1465"/>
      <c r="AC21" s="1466"/>
      <c r="AD21" s="781"/>
      <c r="AE21" s="1472"/>
      <c r="AF21" s="1472"/>
      <c r="AG21" s="791">
        <f>SUM(AG19:AG20)</f>
        <v>0</v>
      </c>
      <c r="AH21" s="791">
        <f t="shared" ref="AH21:BC21" si="9">SUM(AH19:AH20)</f>
        <v>0</v>
      </c>
      <c r="AI21" s="791">
        <f t="shared" si="9"/>
        <v>0</v>
      </c>
      <c r="AJ21" s="791">
        <f t="shared" si="9"/>
        <v>0</v>
      </c>
      <c r="AK21" s="791">
        <f t="shared" si="9"/>
        <v>0</v>
      </c>
      <c r="AL21" s="791">
        <f t="shared" si="9"/>
        <v>0</v>
      </c>
      <c r="AM21" s="791">
        <f t="shared" si="9"/>
        <v>0</v>
      </c>
      <c r="AN21" s="791">
        <f t="shared" si="9"/>
        <v>0</v>
      </c>
      <c r="AO21" s="786">
        <f t="shared" si="9"/>
        <v>0</v>
      </c>
      <c r="AP21" s="786">
        <f t="shared" si="9"/>
        <v>0</v>
      </c>
      <c r="AQ21" s="791">
        <f t="shared" si="9"/>
        <v>0</v>
      </c>
      <c r="AR21" s="791">
        <f t="shared" si="9"/>
        <v>0</v>
      </c>
      <c r="AS21" s="786">
        <f t="shared" si="9"/>
        <v>0</v>
      </c>
      <c r="AT21" s="786">
        <f t="shared" si="9"/>
        <v>0</v>
      </c>
      <c r="AU21" s="786">
        <f t="shared" si="9"/>
        <v>0</v>
      </c>
      <c r="AV21" s="786">
        <f t="shared" si="9"/>
        <v>0</v>
      </c>
      <c r="AW21" s="786">
        <f t="shared" si="9"/>
        <v>0</v>
      </c>
      <c r="AX21" s="786">
        <f t="shared" si="9"/>
        <v>0</v>
      </c>
      <c r="AY21" s="786">
        <f t="shared" si="9"/>
        <v>0</v>
      </c>
      <c r="AZ21" s="786">
        <f t="shared" si="9"/>
        <v>0</v>
      </c>
      <c r="BA21" s="786">
        <f t="shared" si="9"/>
        <v>0</v>
      </c>
      <c r="BB21" s="786">
        <f t="shared" si="9"/>
        <v>0</v>
      </c>
      <c r="BC21" s="786">
        <f t="shared" si="9"/>
        <v>0</v>
      </c>
      <c r="BF21"/>
      <c r="BG21"/>
      <c r="BH21"/>
      <c r="BI21"/>
      <c r="BJ21"/>
      <c r="BK21"/>
      <c r="BL21"/>
      <c r="BM21"/>
      <c r="BN21"/>
      <c r="BO21"/>
      <c r="BP21"/>
      <c r="BQ21"/>
      <c r="BR21"/>
      <c r="BS21"/>
      <c r="BT21"/>
      <c r="BU21"/>
      <c r="BV21"/>
      <c r="BW21"/>
      <c r="BX21"/>
      <c r="BY21"/>
      <c r="BZ21"/>
      <c r="CA21"/>
      <c r="CB21"/>
      <c r="CC21"/>
    </row>
    <row r="22" spans="2:81" ht="12.9" customHeight="1">
      <c r="B22" s="771"/>
      <c r="C22" s="792"/>
      <c r="D22" s="771"/>
      <c r="E22" s="792"/>
      <c r="F22" s="792"/>
      <c r="G22" s="792"/>
      <c r="H22" s="792"/>
      <c r="I22" s="792"/>
      <c r="J22" s="792"/>
      <c r="K22" s="792"/>
      <c r="L22" s="792"/>
      <c r="M22" s="792"/>
      <c r="N22" s="792"/>
      <c r="O22" s="792"/>
      <c r="P22" s="792"/>
      <c r="Q22" s="792"/>
      <c r="R22" s="792"/>
      <c r="S22" s="792"/>
      <c r="T22" s="792"/>
      <c r="U22" s="792"/>
      <c r="V22" s="792"/>
      <c r="W22" s="792"/>
      <c r="X22" s="792"/>
      <c r="Y22" s="792"/>
      <c r="Z22" s="792"/>
      <c r="AA22" s="792"/>
      <c r="AB22" s="792"/>
      <c r="AC22" s="792"/>
      <c r="AD22" s="793"/>
      <c r="AE22" s="794"/>
      <c r="AF22" s="794"/>
      <c r="AG22" s="795"/>
      <c r="AH22" s="795"/>
      <c r="AI22" s="795"/>
      <c r="AJ22" s="795"/>
      <c r="AK22" s="795"/>
      <c r="AL22" s="795"/>
      <c r="AM22" s="795"/>
      <c r="AN22" s="795"/>
      <c r="AQ22" s="795"/>
      <c r="AR22" s="795"/>
      <c r="BF22"/>
      <c r="BG22"/>
      <c r="BH22"/>
      <c r="BI22"/>
      <c r="BJ22"/>
      <c r="BK22"/>
      <c r="BL22"/>
      <c r="BM22"/>
      <c r="BN22"/>
      <c r="BO22"/>
      <c r="BP22"/>
      <c r="BQ22"/>
      <c r="BR22"/>
      <c r="BS22"/>
      <c r="BT22"/>
      <c r="BU22"/>
      <c r="BV22"/>
      <c r="BW22"/>
      <c r="BX22"/>
      <c r="BY22"/>
      <c r="BZ22"/>
      <c r="CA22"/>
      <c r="CB22"/>
      <c r="CC22"/>
    </row>
    <row r="23" spans="2:81" ht="12.9" customHeight="1">
      <c r="B23" s="771" t="s">
        <v>2162</v>
      </c>
      <c r="C23" s="771"/>
      <c r="D23" s="771"/>
      <c r="E23" s="771"/>
      <c r="F23" s="771"/>
      <c r="G23" s="771"/>
      <c r="H23" s="771"/>
      <c r="I23" s="771"/>
      <c r="J23" s="771"/>
      <c r="K23" s="771"/>
      <c r="L23" s="771"/>
      <c r="M23" s="771"/>
      <c r="N23" s="771"/>
      <c r="O23" s="771"/>
      <c r="P23" s="771"/>
      <c r="Q23" s="771"/>
      <c r="R23" s="771"/>
      <c r="S23" s="771"/>
      <c r="T23" s="771"/>
      <c r="U23" s="771"/>
      <c r="V23" s="771"/>
      <c r="W23" s="771"/>
      <c r="X23" s="771"/>
      <c r="Y23" s="771"/>
      <c r="Z23" s="771"/>
      <c r="AA23" s="771"/>
      <c r="AB23" s="771"/>
      <c r="AC23" s="771"/>
      <c r="AD23" s="771"/>
      <c r="AE23" s="796"/>
      <c r="AF23" s="796"/>
      <c r="AG23" s="796"/>
      <c r="AH23" s="796"/>
      <c r="AI23" s="796"/>
      <c r="AJ23" s="796"/>
      <c r="AK23" s="796"/>
      <c r="AL23" s="796"/>
      <c r="AM23" s="796"/>
      <c r="AN23" s="796"/>
      <c r="AQ23" s="796"/>
      <c r="AR23" s="796"/>
      <c r="BF23"/>
      <c r="BG23"/>
      <c r="BH23"/>
      <c r="BI23"/>
      <c r="BJ23"/>
      <c r="BK23"/>
      <c r="BL23"/>
      <c r="BM23"/>
      <c r="BN23"/>
      <c r="BO23"/>
      <c r="BP23"/>
      <c r="BQ23"/>
      <c r="BR23"/>
      <c r="BS23"/>
      <c r="BT23"/>
      <c r="BU23"/>
      <c r="BV23"/>
      <c r="BW23"/>
      <c r="BX23"/>
      <c r="BY23"/>
      <c r="BZ23"/>
      <c r="CA23"/>
      <c r="CB23"/>
      <c r="CC23"/>
    </row>
    <row r="24" spans="2:81" ht="12.9" customHeight="1">
      <c r="B24" s="771"/>
      <c r="C24" s="771"/>
      <c r="D24" s="771"/>
      <c r="E24" s="771"/>
      <c r="F24" s="771"/>
      <c r="G24" s="771"/>
      <c r="H24" s="771"/>
      <c r="I24" s="771"/>
      <c r="J24" s="771"/>
      <c r="K24" s="771"/>
      <c r="L24" s="771"/>
      <c r="M24" s="771"/>
      <c r="N24" s="771"/>
      <c r="O24" s="771"/>
      <c r="P24" s="771"/>
      <c r="Q24" s="771"/>
      <c r="R24" s="771"/>
      <c r="S24" s="771"/>
      <c r="T24" s="771"/>
      <c r="U24" s="771"/>
      <c r="V24" s="771"/>
      <c r="W24" s="771"/>
      <c r="X24" s="771"/>
      <c r="Y24" s="771"/>
      <c r="Z24" s="771"/>
      <c r="AA24" s="771"/>
      <c r="AB24" s="771"/>
      <c r="AC24" s="771"/>
      <c r="AD24" s="771"/>
      <c r="AE24" s="796"/>
      <c r="AF24" s="796"/>
      <c r="AG24" s="796"/>
      <c r="AH24" s="796"/>
      <c r="AI24" s="796"/>
      <c r="AJ24" s="796"/>
      <c r="AK24" s="796"/>
      <c r="AL24" s="796"/>
      <c r="AM24" s="796"/>
      <c r="AN24" s="796"/>
      <c r="AQ24" s="796"/>
      <c r="AR24" s="796"/>
      <c r="BF24"/>
      <c r="BG24"/>
      <c r="BH24"/>
      <c r="BI24"/>
      <c r="BJ24"/>
      <c r="BK24"/>
      <c r="BL24"/>
      <c r="BM24"/>
      <c r="BN24"/>
      <c r="BO24"/>
      <c r="BP24"/>
      <c r="BQ24"/>
      <c r="BR24"/>
      <c r="BS24"/>
      <c r="BT24"/>
      <c r="BU24"/>
      <c r="BV24"/>
      <c r="BW24"/>
      <c r="BX24"/>
      <c r="BY24"/>
      <c r="BZ24"/>
      <c r="CA24"/>
      <c r="CB24"/>
      <c r="CC24"/>
    </row>
    <row r="25" spans="2:81" ht="30" customHeight="1">
      <c r="B25" s="771"/>
      <c r="C25" s="1421"/>
      <c r="D25" s="1422"/>
      <c r="E25" s="1422"/>
      <c r="F25" s="1423"/>
      <c r="G25" s="1440" t="s">
        <v>2100</v>
      </c>
      <c r="H25" s="1441"/>
      <c r="I25" s="1441"/>
      <c r="J25" s="1441"/>
      <c r="K25" s="1441"/>
      <c r="L25" s="1441"/>
      <c r="M25" s="1441"/>
      <c r="N25" s="1441"/>
      <c r="O25" s="1441"/>
      <c r="P25" s="1441"/>
      <c r="Q25" s="1441"/>
      <c r="R25" s="1441"/>
      <c r="S25" s="1441"/>
      <c r="T25" s="1441"/>
      <c r="U25" s="1441"/>
      <c r="V25" s="1441"/>
      <c r="W25" s="1441"/>
      <c r="X25" s="1441"/>
      <c r="Y25" s="1441"/>
      <c r="Z25" s="1441"/>
      <c r="AA25" s="1441"/>
      <c r="AB25" s="1441"/>
      <c r="AC25" s="1442"/>
      <c r="AD25" s="790" t="s">
        <v>2163</v>
      </c>
      <c r="AE25" s="797"/>
      <c r="AF25" s="797"/>
      <c r="AG25" s="1444" t="s">
        <v>2164</v>
      </c>
      <c r="AH25" s="1445"/>
      <c r="AI25" s="1445"/>
      <c r="AJ25" s="1445"/>
      <c r="AK25" s="1445"/>
      <c r="AL25" s="1445"/>
      <c r="AM25" s="1445"/>
      <c r="AN25" s="1445"/>
      <c r="AO25" s="1445"/>
      <c r="AP25" s="1445"/>
      <c r="AQ25" s="1445"/>
      <c r="AR25" s="1445"/>
      <c r="AS25" s="1445"/>
      <c r="AT25" s="1445"/>
      <c r="AU25" s="1445"/>
      <c r="AV25" s="1445"/>
      <c r="AW25" s="1445"/>
      <c r="AX25" s="1445"/>
      <c r="AY25" s="1445"/>
      <c r="AZ25" s="1445"/>
      <c r="BA25" s="1445"/>
      <c r="BB25" s="1445"/>
      <c r="BC25" s="1446"/>
      <c r="BF25"/>
      <c r="BG25"/>
      <c r="BH25"/>
      <c r="BI25"/>
      <c r="BJ25"/>
      <c r="BK25"/>
      <c r="BL25"/>
      <c r="BM25"/>
      <c r="BN25"/>
      <c r="BO25"/>
      <c r="BP25"/>
      <c r="BQ25"/>
      <c r="BR25"/>
      <c r="BS25"/>
      <c r="BT25"/>
      <c r="BU25"/>
      <c r="BV25"/>
      <c r="BW25"/>
      <c r="BX25"/>
      <c r="BY25"/>
      <c r="BZ25"/>
      <c r="CA25"/>
      <c r="CB25"/>
      <c r="CC25"/>
    </row>
    <row r="26" spans="2:81" ht="30" customHeight="1">
      <c r="B26" s="771"/>
      <c r="C26" s="1421" t="s">
        <v>2165</v>
      </c>
      <c r="D26" s="1423"/>
      <c r="E26" s="798" t="s">
        <v>2166</v>
      </c>
      <c r="F26" s="778" t="s">
        <v>69</v>
      </c>
      <c r="G26" s="779" t="s">
        <v>2128</v>
      </c>
      <c r="H26" s="779" t="s">
        <v>2129</v>
      </c>
      <c r="I26" s="779" t="s">
        <v>2130</v>
      </c>
      <c r="J26" s="779" t="s">
        <v>2131</v>
      </c>
      <c r="K26" s="779" t="s">
        <v>2132</v>
      </c>
      <c r="L26" s="779" t="s">
        <v>2133</v>
      </c>
      <c r="M26" s="779" t="s">
        <v>2134</v>
      </c>
      <c r="N26" s="779" t="s">
        <v>2135</v>
      </c>
      <c r="O26" s="779" t="s">
        <v>2136</v>
      </c>
      <c r="P26" s="779" t="s">
        <v>2137</v>
      </c>
      <c r="Q26" s="779" t="s">
        <v>2138</v>
      </c>
      <c r="R26" s="779" t="s">
        <v>2139</v>
      </c>
      <c r="S26" s="779" t="s">
        <v>2140</v>
      </c>
      <c r="T26" s="779" t="s">
        <v>2141</v>
      </c>
      <c r="U26" s="779" t="s">
        <v>2142</v>
      </c>
      <c r="V26" s="779" t="s">
        <v>2143</v>
      </c>
      <c r="W26" s="779" t="s">
        <v>2144</v>
      </c>
      <c r="X26" s="779" t="s">
        <v>2167</v>
      </c>
      <c r="Y26" s="779" t="s">
        <v>2146</v>
      </c>
      <c r="Z26" s="779" t="s">
        <v>2147</v>
      </c>
      <c r="AA26" s="779" t="s">
        <v>2148</v>
      </c>
      <c r="AB26" s="779" t="s">
        <v>2149</v>
      </c>
      <c r="AC26" s="779" t="s">
        <v>2150</v>
      </c>
      <c r="AD26" s="779" t="s">
        <v>69</v>
      </c>
      <c r="AE26" s="780" t="s">
        <v>2168</v>
      </c>
      <c r="AF26" s="780" t="s">
        <v>2169</v>
      </c>
      <c r="AG26" s="779" t="s">
        <v>2128</v>
      </c>
      <c r="AH26" s="779" t="s">
        <v>2129</v>
      </c>
      <c r="AI26" s="779" t="s">
        <v>2130</v>
      </c>
      <c r="AJ26" s="779" t="s">
        <v>2131</v>
      </c>
      <c r="AK26" s="779" t="s">
        <v>2132</v>
      </c>
      <c r="AL26" s="779" t="s">
        <v>2133</v>
      </c>
      <c r="AM26" s="779" t="s">
        <v>2134</v>
      </c>
      <c r="AN26" s="779" t="s">
        <v>2135</v>
      </c>
      <c r="AO26" s="779" t="s">
        <v>2136</v>
      </c>
      <c r="AP26" s="779" t="s">
        <v>2137</v>
      </c>
      <c r="AQ26" s="779" t="s">
        <v>2138</v>
      </c>
      <c r="AR26" s="779" t="s">
        <v>2139</v>
      </c>
      <c r="AS26" s="779" t="s">
        <v>2140</v>
      </c>
      <c r="AT26" s="779" t="s">
        <v>2141</v>
      </c>
      <c r="AU26" s="779" t="s">
        <v>2142</v>
      </c>
      <c r="AV26" s="779" t="s">
        <v>2143</v>
      </c>
      <c r="AW26" s="779" t="s">
        <v>2144</v>
      </c>
      <c r="AX26" s="779" t="s">
        <v>2167</v>
      </c>
      <c r="AY26" s="779" t="s">
        <v>2146</v>
      </c>
      <c r="AZ26" s="779" t="s">
        <v>2147</v>
      </c>
      <c r="BA26" s="779" t="s">
        <v>2148</v>
      </c>
      <c r="BB26" s="779" t="s">
        <v>2149</v>
      </c>
      <c r="BC26" s="779" t="s">
        <v>2150</v>
      </c>
      <c r="BF26"/>
      <c r="BG26"/>
      <c r="BH26"/>
      <c r="BI26"/>
      <c r="BJ26"/>
      <c r="BK26"/>
      <c r="BL26"/>
      <c r="BM26"/>
      <c r="BN26"/>
      <c r="BO26"/>
      <c r="BP26"/>
      <c r="BQ26"/>
      <c r="BR26"/>
      <c r="BS26"/>
      <c r="BT26"/>
      <c r="BU26"/>
      <c r="BV26"/>
      <c r="BW26"/>
      <c r="BX26"/>
      <c r="BY26"/>
      <c r="BZ26"/>
      <c r="CA26"/>
      <c r="CB26"/>
      <c r="CC26"/>
    </row>
    <row r="27" spans="2:81" ht="30" customHeight="1">
      <c r="B27" s="771"/>
      <c r="C27" s="1467" t="s">
        <v>2170</v>
      </c>
      <c r="D27" s="1468"/>
      <c r="E27" s="799">
        <v>0.45800000000000002</v>
      </c>
      <c r="F27" s="782" t="s">
        <v>194</v>
      </c>
      <c r="G27" s="789"/>
      <c r="H27" s="789"/>
      <c r="I27" s="789"/>
      <c r="J27" s="789"/>
      <c r="K27" s="789"/>
      <c r="L27" s="789"/>
      <c r="M27" s="784"/>
      <c r="N27" s="784"/>
      <c r="O27" s="784"/>
      <c r="P27" s="784"/>
      <c r="Q27" s="784"/>
      <c r="R27" s="784"/>
      <c r="S27" s="784"/>
      <c r="T27" s="784"/>
      <c r="U27" s="784"/>
      <c r="V27" s="784"/>
      <c r="W27" s="784"/>
      <c r="X27" s="784"/>
      <c r="Y27" s="784"/>
      <c r="Z27" s="784"/>
      <c r="AA27" s="784"/>
      <c r="AB27" s="784"/>
      <c r="AC27" s="784"/>
      <c r="AD27" s="799" t="s">
        <v>19</v>
      </c>
      <c r="AE27" s="800">
        <f>IF(OR(F27="kg",F27="ｔ"),1,E27)</f>
        <v>1</v>
      </c>
      <c r="AF27" s="786">
        <f>VLOOKUP(F27,$BA$58:$BB$61,2,FALSE)</f>
        <v>1</v>
      </c>
      <c r="AG27" s="786">
        <f>ROUND(H14_LPG使用量/単位換算/LPG単位補正,0)</f>
        <v>0</v>
      </c>
      <c r="AH27" s="786">
        <f>ROUND(H15_LPG使用量/単位換算/LPG単位補正,0)</f>
        <v>0</v>
      </c>
      <c r="AI27" s="786">
        <f>ROUND(H16_LPG使用量/単位換算/LPG単位補正,0)</f>
        <v>0</v>
      </c>
      <c r="AJ27" s="786">
        <f>ROUND(H17_LPG使用量/単位換算/LPG単位補正,0)</f>
        <v>0</v>
      </c>
      <c r="AK27" s="786">
        <f>ROUND(H18_LPG使用量/単位換算/LPG単位補正,0)</f>
        <v>0</v>
      </c>
      <c r="AL27" s="786">
        <f>ROUND(H19_LPG使用量/単位換算/LPG単位補正,0)</f>
        <v>0</v>
      </c>
      <c r="AM27" s="786">
        <f>ROUND(H20_LPG使用量/単位換算/LPG単位補正,0)</f>
        <v>0</v>
      </c>
      <c r="AN27" s="786">
        <f>ROUND(H21_LPG使用量/単位換算/LPG単位補正,0)</f>
        <v>0</v>
      </c>
      <c r="AO27" s="786">
        <f>ROUND(H22_LPG使用量/単位換算/LPG単位補正,0)</f>
        <v>0</v>
      </c>
      <c r="AP27" s="786">
        <f>ROUND(H23_LPG使用量/単位換算/LPG単位補正,0)</f>
        <v>0</v>
      </c>
      <c r="AQ27" s="786">
        <f>ROUND(H24_LPG使用量/単位換算/LPG単位補正,0)</f>
        <v>0</v>
      </c>
      <c r="AR27" s="786">
        <f>ROUND(H25_LPG使用量/単位換算/LPG単位補正,0)</f>
        <v>0</v>
      </c>
      <c r="AS27" s="786">
        <f>ROUND(H26_LPG使用量/単位換算/LPG単位補正,0)</f>
        <v>0</v>
      </c>
      <c r="AT27" s="786">
        <f>ROUND(H27_LPG使用量/単位換算/LPG単位補正,0)</f>
        <v>0</v>
      </c>
      <c r="AU27" s="786">
        <f>ROUND(H28_LPG使用量/単位換算/LPG単位補正,0)</f>
        <v>0</v>
      </c>
      <c r="AV27" s="786">
        <f>ROUND(H29_LPG使用量/単位換算/LPG単位補正,0)</f>
        <v>0</v>
      </c>
      <c r="AW27" s="786">
        <f>ROUND(H30_LPG使用量/単位換算/LPG単位補正,0)</f>
        <v>0</v>
      </c>
      <c r="AX27" s="786">
        <f>ROUND(H31_LPG使用量/単位換算/LPG単位補正,0)</f>
        <v>0</v>
      </c>
      <c r="AY27" s="786">
        <f t="shared" ref="AY27:BC30" si="10">ROUND(Y27/単位換算/LPG単位補正,0)</f>
        <v>0</v>
      </c>
      <c r="AZ27" s="786">
        <f t="shared" si="10"/>
        <v>0</v>
      </c>
      <c r="BA27" s="786">
        <f t="shared" si="10"/>
        <v>0</v>
      </c>
      <c r="BB27" s="786">
        <f t="shared" si="10"/>
        <v>0</v>
      </c>
      <c r="BC27" s="786">
        <f t="shared" si="10"/>
        <v>0</v>
      </c>
      <c r="BF27"/>
      <c r="BG27"/>
      <c r="BH27"/>
      <c r="BI27"/>
      <c r="BJ27"/>
      <c r="BK27"/>
      <c r="BL27"/>
      <c r="BM27"/>
      <c r="BN27"/>
      <c r="BO27"/>
      <c r="BP27"/>
      <c r="BQ27"/>
      <c r="BR27"/>
      <c r="BS27"/>
      <c r="BT27"/>
      <c r="BU27"/>
      <c r="BV27"/>
      <c r="BW27"/>
      <c r="BX27"/>
      <c r="BY27"/>
      <c r="BZ27"/>
      <c r="CA27"/>
      <c r="CB27"/>
      <c r="CC27"/>
    </row>
    <row r="28" spans="2:81" ht="30" customHeight="1">
      <c r="B28" s="771"/>
      <c r="C28" s="1469" t="s">
        <v>2171</v>
      </c>
      <c r="D28" s="1470"/>
      <c r="E28" s="799">
        <v>0.502</v>
      </c>
      <c r="F28" s="782" t="s">
        <v>194</v>
      </c>
      <c r="G28" s="789"/>
      <c r="H28" s="789"/>
      <c r="I28" s="789"/>
      <c r="J28" s="789"/>
      <c r="K28" s="789"/>
      <c r="L28" s="789"/>
      <c r="M28" s="784"/>
      <c r="N28" s="784"/>
      <c r="O28" s="784"/>
      <c r="P28" s="784"/>
      <c r="Q28" s="784"/>
      <c r="R28" s="784"/>
      <c r="S28" s="784"/>
      <c r="T28" s="784"/>
      <c r="U28" s="784"/>
      <c r="V28" s="784"/>
      <c r="W28" s="784"/>
      <c r="X28" s="784"/>
      <c r="Y28" s="784"/>
      <c r="Z28" s="784"/>
      <c r="AA28" s="784"/>
      <c r="AB28" s="784"/>
      <c r="AC28" s="784"/>
      <c r="AD28" s="799" t="s">
        <v>19</v>
      </c>
      <c r="AE28" s="800">
        <f>IF(OR(F28="kg",F28="ｔ"),1,E28)</f>
        <v>1</v>
      </c>
      <c r="AF28" s="786">
        <f>VLOOKUP(F28,$BA$58:$BB$61,2,FALSE)</f>
        <v>1</v>
      </c>
      <c r="AG28" s="786">
        <f>ROUND(H14_LPG使用量/単位換算/LPG単位補正,0)</f>
        <v>0</v>
      </c>
      <c r="AH28" s="786">
        <f>ROUND(H15_LPG使用量/単位換算/LPG単位補正,0)</f>
        <v>0</v>
      </c>
      <c r="AI28" s="786">
        <f>ROUND(H16_LPG使用量/単位換算/LPG単位補正,0)</f>
        <v>0</v>
      </c>
      <c r="AJ28" s="786">
        <f>ROUND(H17_LPG使用量/単位換算/LPG単位補正,0)</f>
        <v>0</v>
      </c>
      <c r="AK28" s="786">
        <f>ROUND(H18_LPG使用量/単位換算/LPG単位補正,0)</f>
        <v>0</v>
      </c>
      <c r="AL28" s="786">
        <f>ROUND(H19_LPG使用量/単位換算/LPG単位補正,0)</f>
        <v>0</v>
      </c>
      <c r="AM28" s="786">
        <f>ROUND(H20_LPG使用量/単位換算/LPG単位補正,0)</f>
        <v>0</v>
      </c>
      <c r="AN28" s="786">
        <f>ROUND(H21_LPG使用量/単位換算/LPG単位補正,0)</f>
        <v>0</v>
      </c>
      <c r="AO28" s="786">
        <f>ROUND(H22_LPG使用量/単位換算/LPG単位補正,0)</f>
        <v>0</v>
      </c>
      <c r="AP28" s="786">
        <f>ROUND(H23_LPG使用量/単位換算/LPG単位補正,0)</f>
        <v>0</v>
      </c>
      <c r="AQ28" s="786">
        <f>ROUND(H24_LPG使用量/単位換算/LPG単位補正,0)</f>
        <v>0</v>
      </c>
      <c r="AR28" s="786">
        <f>ROUND(H25_LPG使用量/単位換算/LPG単位補正,0)</f>
        <v>0</v>
      </c>
      <c r="AS28" s="786">
        <f>ROUND(H26_LPG使用量/単位換算/LPG単位補正,0)</f>
        <v>0</v>
      </c>
      <c r="AT28" s="786">
        <f>ROUND(H27_LPG使用量/単位換算/LPG単位補正,0)</f>
        <v>0</v>
      </c>
      <c r="AU28" s="786">
        <f>ROUND(H28_LPG使用量/単位換算/LPG単位補正,0)</f>
        <v>0</v>
      </c>
      <c r="AV28" s="786">
        <f>ROUND(H29_LPG使用量/単位換算/LPG単位補正,0)</f>
        <v>0</v>
      </c>
      <c r="AW28" s="786">
        <f>ROUND(H30_LPG使用量/単位換算/LPG単位補正,0)</f>
        <v>0</v>
      </c>
      <c r="AX28" s="786">
        <f>ROUND(H31_LPG使用量/単位換算/LPG単位補正,0)</f>
        <v>0</v>
      </c>
      <c r="AY28" s="786">
        <f t="shared" si="10"/>
        <v>0</v>
      </c>
      <c r="AZ28" s="786">
        <f t="shared" si="10"/>
        <v>0</v>
      </c>
      <c r="BA28" s="786">
        <f t="shared" si="10"/>
        <v>0</v>
      </c>
      <c r="BB28" s="786">
        <f t="shared" si="10"/>
        <v>0</v>
      </c>
      <c r="BC28" s="786">
        <f t="shared" si="10"/>
        <v>0</v>
      </c>
      <c r="BF28"/>
      <c r="BG28"/>
      <c r="BH28"/>
      <c r="BI28"/>
      <c r="BJ28"/>
      <c r="BK28"/>
      <c r="BL28"/>
      <c r="BM28"/>
      <c r="BN28"/>
      <c r="BO28"/>
      <c r="BP28"/>
      <c r="BQ28"/>
      <c r="BR28"/>
      <c r="BS28"/>
      <c r="BT28"/>
      <c r="BU28"/>
      <c r="BV28"/>
      <c r="BW28"/>
      <c r="BX28"/>
      <c r="BY28"/>
      <c r="BZ28"/>
      <c r="CA28"/>
      <c r="CB28"/>
      <c r="CC28"/>
    </row>
    <row r="29" spans="2:81" ht="30" customHeight="1">
      <c r="B29" s="771"/>
      <c r="C29" s="1462" t="s">
        <v>2172</v>
      </c>
      <c r="D29" s="1463"/>
      <c r="E29" s="799">
        <v>0.35499999999999998</v>
      </c>
      <c r="F29" s="782" t="s">
        <v>194</v>
      </c>
      <c r="G29" s="789"/>
      <c r="H29" s="789"/>
      <c r="I29" s="789"/>
      <c r="J29" s="789"/>
      <c r="K29" s="789"/>
      <c r="L29" s="789"/>
      <c r="M29" s="784"/>
      <c r="N29" s="784"/>
      <c r="O29" s="784"/>
      <c r="P29" s="784"/>
      <c r="Q29" s="784"/>
      <c r="R29" s="784"/>
      <c r="S29" s="784"/>
      <c r="T29" s="784"/>
      <c r="U29" s="784"/>
      <c r="V29" s="784"/>
      <c r="W29" s="784"/>
      <c r="X29" s="784"/>
      <c r="Y29" s="784"/>
      <c r="Z29" s="784"/>
      <c r="AA29" s="784"/>
      <c r="AB29" s="784"/>
      <c r="AC29" s="784"/>
      <c r="AD29" s="799" t="s">
        <v>19</v>
      </c>
      <c r="AE29" s="800">
        <f>IF(OR(F29="kg",F29="ｔ"),1,E29)</f>
        <v>1</v>
      </c>
      <c r="AF29" s="786">
        <f>VLOOKUP(F29,$BA$58:$BB$61,2,FALSE)</f>
        <v>1</v>
      </c>
      <c r="AG29" s="786">
        <f>ROUND(H14_LPG使用量/単位換算/LPG単位補正,0)</f>
        <v>0</v>
      </c>
      <c r="AH29" s="786">
        <f>ROUND(H15_LPG使用量/単位換算/LPG単位補正,0)</f>
        <v>0</v>
      </c>
      <c r="AI29" s="786">
        <f>ROUND(H16_LPG使用量/単位換算/LPG単位補正,0)</f>
        <v>0</v>
      </c>
      <c r="AJ29" s="786">
        <f>ROUND(H17_LPG使用量/単位換算/LPG単位補正,0)</f>
        <v>0</v>
      </c>
      <c r="AK29" s="786">
        <f>ROUND(H18_LPG使用量/単位換算/LPG単位補正,0)</f>
        <v>0</v>
      </c>
      <c r="AL29" s="786">
        <f>ROUND(H19_LPG使用量/単位換算/LPG単位補正,0)</f>
        <v>0</v>
      </c>
      <c r="AM29" s="786">
        <f>ROUND(H20_LPG使用量/単位換算/LPG単位補正,0)</f>
        <v>0</v>
      </c>
      <c r="AN29" s="786">
        <f>ROUND(H21_LPG使用量/単位換算/LPG単位補正,0)</f>
        <v>0</v>
      </c>
      <c r="AO29" s="786">
        <f>ROUND(H22_LPG使用量/単位換算/LPG単位補正,0)</f>
        <v>0</v>
      </c>
      <c r="AP29" s="786">
        <f>ROUND(H23_LPG使用量/単位換算/LPG単位補正,0)</f>
        <v>0</v>
      </c>
      <c r="AQ29" s="786">
        <f>ROUND(H24_LPG使用量/単位換算/LPG単位補正,0)</f>
        <v>0</v>
      </c>
      <c r="AR29" s="786">
        <f>ROUND(H25_LPG使用量/単位換算/LPG単位補正,0)</f>
        <v>0</v>
      </c>
      <c r="AS29" s="786">
        <f>ROUND(H26_LPG使用量/単位換算/LPG単位補正,0)</f>
        <v>0</v>
      </c>
      <c r="AT29" s="786">
        <f>ROUND(H27_LPG使用量/単位換算/LPG単位補正,0)</f>
        <v>0</v>
      </c>
      <c r="AU29" s="786">
        <f>ROUND(H28_LPG使用量/単位換算/LPG単位補正,0)</f>
        <v>0</v>
      </c>
      <c r="AV29" s="786">
        <f>ROUND(H29_LPG使用量/単位換算/LPG単位補正,0)</f>
        <v>0</v>
      </c>
      <c r="AW29" s="786">
        <f>ROUND(H30_LPG使用量/単位換算/LPG単位補正,0)</f>
        <v>0</v>
      </c>
      <c r="AX29" s="786">
        <f>ROUND(H31_LPG使用量/単位換算/LPG単位補正,0)</f>
        <v>0</v>
      </c>
      <c r="AY29" s="786">
        <f t="shared" si="10"/>
        <v>0</v>
      </c>
      <c r="AZ29" s="786">
        <f t="shared" si="10"/>
        <v>0</v>
      </c>
      <c r="BA29" s="786">
        <f t="shared" si="10"/>
        <v>0</v>
      </c>
      <c r="BB29" s="786">
        <f t="shared" si="10"/>
        <v>0</v>
      </c>
      <c r="BC29" s="786">
        <f t="shared" si="10"/>
        <v>0</v>
      </c>
      <c r="BF29"/>
      <c r="BG29"/>
      <c r="BH29"/>
      <c r="BI29"/>
      <c r="BJ29"/>
      <c r="BK29"/>
      <c r="BL29"/>
      <c r="BM29"/>
      <c r="BN29"/>
      <c r="BO29"/>
      <c r="BP29"/>
      <c r="BQ29"/>
      <c r="BR29"/>
      <c r="BS29"/>
      <c r="BT29"/>
      <c r="BU29"/>
      <c r="BV29"/>
      <c r="BW29"/>
      <c r="BX29"/>
      <c r="BY29"/>
      <c r="BZ29"/>
      <c r="CA29"/>
      <c r="CB29"/>
      <c r="CC29"/>
    </row>
    <row r="30" spans="2:81" ht="30" customHeight="1">
      <c r="B30" s="771"/>
      <c r="C30" s="1462" t="s">
        <v>2173</v>
      </c>
      <c r="D30" s="1463"/>
      <c r="E30" s="799">
        <v>0.48199999999999998</v>
      </c>
      <c r="F30" s="782" t="s">
        <v>194</v>
      </c>
      <c r="G30" s="789"/>
      <c r="H30" s="789"/>
      <c r="I30" s="789"/>
      <c r="J30" s="789"/>
      <c r="K30" s="789"/>
      <c r="L30" s="789"/>
      <c r="M30" s="784"/>
      <c r="N30" s="784"/>
      <c r="O30" s="784"/>
      <c r="P30" s="784"/>
      <c r="Q30" s="784"/>
      <c r="R30" s="784"/>
      <c r="S30" s="784"/>
      <c r="T30" s="784"/>
      <c r="U30" s="784"/>
      <c r="V30" s="784"/>
      <c r="W30" s="784"/>
      <c r="X30" s="784"/>
      <c r="Y30" s="784"/>
      <c r="Z30" s="784"/>
      <c r="AA30" s="784"/>
      <c r="AB30" s="784"/>
      <c r="AC30" s="784"/>
      <c r="AD30" s="799" t="s">
        <v>19</v>
      </c>
      <c r="AE30" s="800">
        <f>IF(OR(F30="kg",F30="ｔ"),1,E30)</f>
        <v>1</v>
      </c>
      <c r="AF30" s="786">
        <f>VLOOKUP(F30,$BA$58:$BB$61,2,FALSE)</f>
        <v>1</v>
      </c>
      <c r="AG30" s="786">
        <f>ROUND(H14_LPG使用量/単位換算/LPG単位補正,0)</f>
        <v>0</v>
      </c>
      <c r="AH30" s="786">
        <f>ROUND(H15_LPG使用量/単位換算/LPG単位補正,0)</f>
        <v>0</v>
      </c>
      <c r="AI30" s="786">
        <f>ROUND(H16_LPG使用量/単位換算/LPG単位補正,0)</f>
        <v>0</v>
      </c>
      <c r="AJ30" s="786">
        <f>ROUND(H17_LPG使用量/単位換算/LPG単位補正,0)</f>
        <v>0</v>
      </c>
      <c r="AK30" s="786">
        <f>ROUND(H18_LPG使用量/単位換算/LPG単位補正,0)</f>
        <v>0</v>
      </c>
      <c r="AL30" s="786">
        <f>ROUND(H19_LPG使用量/単位換算/LPG単位補正,0)</f>
        <v>0</v>
      </c>
      <c r="AM30" s="786">
        <f>ROUND(H20_LPG使用量/単位換算/LPG単位補正,0)</f>
        <v>0</v>
      </c>
      <c r="AN30" s="786">
        <f>ROUND(H21_LPG使用量/単位換算/LPG単位補正,0)</f>
        <v>0</v>
      </c>
      <c r="AO30" s="786">
        <f>ROUND(H22_LPG使用量/単位換算/LPG単位補正,0)</f>
        <v>0</v>
      </c>
      <c r="AP30" s="786">
        <f>ROUND(H23_LPG使用量/単位換算/LPG単位補正,0)</f>
        <v>0</v>
      </c>
      <c r="AQ30" s="786">
        <f>ROUND(H24_LPG使用量/単位換算/LPG単位補正,0)</f>
        <v>0</v>
      </c>
      <c r="AR30" s="786">
        <f>ROUND(H25_LPG使用量/単位換算/LPG単位補正,0)</f>
        <v>0</v>
      </c>
      <c r="AS30" s="786">
        <f>ROUND(H26_LPG使用量/単位換算/LPG単位補正,0)</f>
        <v>0</v>
      </c>
      <c r="AT30" s="786">
        <f>ROUND(H27_LPG使用量/単位換算/LPG単位補正,0)</f>
        <v>0</v>
      </c>
      <c r="AU30" s="786">
        <f>ROUND(H28_LPG使用量/単位換算/LPG単位補正,0)</f>
        <v>0</v>
      </c>
      <c r="AV30" s="786">
        <f>ROUND(H29_LPG使用量/単位換算/LPG単位補正,0)</f>
        <v>0</v>
      </c>
      <c r="AW30" s="786">
        <f>ROUND(H30_LPG使用量/単位換算/LPG単位補正,0)</f>
        <v>0</v>
      </c>
      <c r="AX30" s="786">
        <f>ROUND(H31_LPG使用量/単位換算/LPG単位補正,0)</f>
        <v>0</v>
      </c>
      <c r="AY30" s="786">
        <f t="shared" si="10"/>
        <v>0</v>
      </c>
      <c r="AZ30" s="786">
        <f t="shared" si="10"/>
        <v>0</v>
      </c>
      <c r="BA30" s="786">
        <f t="shared" si="10"/>
        <v>0</v>
      </c>
      <c r="BB30" s="786">
        <f t="shared" si="10"/>
        <v>0</v>
      </c>
      <c r="BC30" s="786">
        <f t="shared" si="10"/>
        <v>0</v>
      </c>
      <c r="BF30"/>
      <c r="BG30"/>
      <c r="BH30"/>
      <c r="BI30"/>
      <c r="BJ30"/>
      <c r="BK30"/>
      <c r="BL30"/>
      <c r="BM30"/>
      <c r="BN30"/>
      <c r="BO30"/>
      <c r="BP30"/>
      <c r="BQ30"/>
      <c r="BR30"/>
      <c r="BS30"/>
      <c r="BT30"/>
      <c r="BU30"/>
      <c r="BV30"/>
      <c r="BW30"/>
      <c r="BX30"/>
      <c r="BY30"/>
      <c r="BZ30"/>
      <c r="CA30"/>
      <c r="CB30"/>
      <c r="CC30"/>
    </row>
    <row r="31" spans="2:81" ht="30" customHeight="1">
      <c r="B31" s="771"/>
      <c r="C31" s="1421"/>
      <c r="D31" s="1423"/>
      <c r="E31" s="1464"/>
      <c r="F31" s="1465"/>
      <c r="G31" s="1465"/>
      <c r="H31" s="1465"/>
      <c r="I31" s="1465"/>
      <c r="J31" s="1465"/>
      <c r="K31" s="1465"/>
      <c r="L31" s="1465"/>
      <c r="M31" s="1465"/>
      <c r="N31" s="1465"/>
      <c r="O31" s="1465"/>
      <c r="P31" s="1465"/>
      <c r="Q31" s="1465"/>
      <c r="R31" s="1465"/>
      <c r="S31" s="1465"/>
      <c r="T31" s="1465"/>
      <c r="U31" s="1465"/>
      <c r="V31" s="1465"/>
      <c r="W31" s="1465"/>
      <c r="X31" s="1465"/>
      <c r="Y31" s="1465"/>
      <c r="Z31" s="1465"/>
      <c r="AA31" s="1465"/>
      <c r="AB31" s="1465"/>
      <c r="AC31" s="1466"/>
      <c r="AD31" s="790"/>
      <c r="AE31" s="797"/>
      <c r="AF31" s="797"/>
      <c r="AG31" s="801">
        <f t="shared" ref="AG31:AX31" si="11">SUM(AG27:AG30)</f>
        <v>0</v>
      </c>
      <c r="AH31" s="801">
        <f t="shared" si="11"/>
        <v>0</v>
      </c>
      <c r="AI31" s="801">
        <f t="shared" si="11"/>
        <v>0</v>
      </c>
      <c r="AJ31" s="801">
        <f t="shared" si="11"/>
        <v>0</v>
      </c>
      <c r="AK31" s="801">
        <f t="shared" si="11"/>
        <v>0</v>
      </c>
      <c r="AL31" s="801">
        <f t="shared" si="11"/>
        <v>0</v>
      </c>
      <c r="AM31" s="801">
        <f t="shared" si="11"/>
        <v>0</v>
      </c>
      <c r="AN31" s="801">
        <f t="shared" si="11"/>
        <v>0</v>
      </c>
      <c r="AO31" s="801">
        <f t="shared" si="11"/>
        <v>0</v>
      </c>
      <c r="AP31" s="801">
        <f t="shared" si="11"/>
        <v>0</v>
      </c>
      <c r="AQ31" s="801">
        <f t="shared" si="11"/>
        <v>0</v>
      </c>
      <c r="AR31" s="801">
        <f t="shared" si="11"/>
        <v>0</v>
      </c>
      <c r="AS31" s="801">
        <f t="shared" si="11"/>
        <v>0</v>
      </c>
      <c r="AT31" s="801">
        <f t="shared" si="11"/>
        <v>0</v>
      </c>
      <c r="AU31" s="801">
        <f t="shared" si="11"/>
        <v>0</v>
      </c>
      <c r="AV31" s="801">
        <f t="shared" si="11"/>
        <v>0</v>
      </c>
      <c r="AW31" s="801">
        <f t="shared" si="11"/>
        <v>0</v>
      </c>
      <c r="AX31" s="801">
        <f t="shared" si="11"/>
        <v>0</v>
      </c>
      <c r="AY31" s="801">
        <f t="shared" ref="AY31:BC31" si="12">SUM(AY27:AY30)</f>
        <v>0</v>
      </c>
      <c r="AZ31" s="801">
        <f t="shared" si="12"/>
        <v>0</v>
      </c>
      <c r="BA31" s="801">
        <f t="shared" si="12"/>
        <v>0</v>
      </c>
      <c r="BB31" s="801">
        <f t="shared" si="12"/>
        <v>0</v>
      </c>
      <c r="BC31" s="801">
        <f t="shared" si="12"/>
        <v>0</v>
      </c>
      <c r="BF31"/>
      <c r="BG31"/>
      <c r="BH31"/>
      <c r="BI31"/>
      <c r="BJ31"/>
      <c r="BK31"/>
      <c r="BL31"/>
      <c r="BM31"/>
      <c r="BN31"/>
      <c r="BO31"/>
      <c r="BP31"/>
      <c r="BQ31"/>
      <c r="BR31"/>
      <c r="BS31"/>
      <c r="BT31"/>
      <c r="BU31"/>
      <c r="BV31"/>
      <c r="BW31"/>
      <c r="BX31"/>
      <c r="BY31"/>
      <c r="BZ31"/>
      <c r="CA31"/>
      <c r="CB31"/>
      <c r="CC31"/>
    </row>
    <row r="32" spans="2:81" ht="12.9" customHeight="1">
      <c r="B32" s="771"/>
      <c r="C32" s="771"/>
      <c r="D32" s="771"/>
      <c r="E32" s="771"/>
      <c r="F32" s="771"/>
      <c r="G32" s="771"/>
      <c r="H32" s="771"/>
      <c r="I32" s="771"/>
      <c r="J32" s="771"/>
      <c r="K32" s="771"/>
      <c r="L32" s="771"/>
      <c r="M32" s="771"/>
      <c r="N32" s="771"/>
      <c r="O32" s="771"/>
      <c r="P32" s="771"/>
      <c r="Q32" s="771"/>
      <c r="R32" s="771"/>
      <c r="S32" s="771"/>
      <c r="T32" s="771"/>
      <c r="U32" s="771"/>
      <c r="V32" s="771"/>
      <c r="W32" s="771"/>
      <c r="X32" s="771"/>
      <c r="Y32" s="771"/>
      <c r="Z32" s="771"/>
      <c r="AA32" s="771"/>
      <c r="AB32" s="771"/>
      <c r="AC32" s="771"/>
      <c r="AD32" s="771"/>
      <c r="AE32" s="796"/>
      <c r="AF32" s="796"/>
      <c r="AG32" s="796"/>
      <c r="AH32" s="796"/>
      <c r="AI32" s="796"/>
      <c r="AJ32" s="796"/>
      <c r="AK32" s="796"/>
      <c r="AL32" s="796"/>
      <c r="AM32" s="796"/>
      <c r="AN32" s="796"/>
      <c r="AQ32" s="796"/>
      <c r="AR32" s="796"/>
      <c r="BF32"/>
      <c r="BG32"/>
      <c r="BH32"/>
      <c r="BI32"/>
      <c r="BJ32"/>
      <c r="BK32"/>
      <c r="BL32"/>
      <c r="BM32"/>
      <c r="BN32"/>
      <c r="BO32"/>
      <c r="BP32"/>
      <c r="BQ32"/>
      <c r="BR32"/>
      <c r="BS32"/>
      <c r="BT32"/>
      <c r="BU32"/>
      <c r="BV32"/>
      <c r="BW32"/>
      <c r="BX32"/>
      <c r="BY32"/>
      <c r="BZ32"/>
      <c r="CA32"/>
      <c r="CB32"/>
      <c r="CC32"/>
    </row>
    <row r="33" spans="2:81" ht="12.9" customHeight="1">
      <c r="B33" s="771" t="s">
        <v>2174</v>
      </c>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c r="AD33" s="771"/>
      <c r="AE33" s="796"/>
      <c r="AF33" s="796"/>
      <c r="AG33" s="796"/>
      <c r="AH33" s="796"/>
      <c r="AI33" s="796"/>
      <c r="AJ33" s="796"/>
      <c r="AK33" s="796"/>
      <c r="AL33" s="796"/>
      <c r="AM33" s="796"/>
      <c r="AN33" s="796"/>
      <c r="AQ33" s="796"/>
      <c r="AR33" s="796"/>
      <c r="BF33"/>
      <c r="BG33"/>
      <c r="BH33"/>
      <c r="BI33"/>
      <c r="BJ33"/>
      <c r="BK33"/>
      <c r="BL33"/>
      <c r="BM33"/>
      <c r="BN33"/>
      <c r="BO33"/>
      <c r="BP33"/>
      <c r="BQ33"/>
      <c r="BR33"/>
      <c r="BS33"/>
      <c r="BT33"/>
      <c r="BU33"/>
      <c r="BV33"/>
      <c r="BW33"/>
      <c r="BX33"/>
      <c r="BY33"/>
      <c r="BZ33"/>
      <c r="CA33"/>
      <c r="CB33"/>
      <c r="CC33"/>
    </row>
    <row r="34" spans="2:81" ht="12.9" customHeight="1">
      <c r="B34" s="771"/>
      <c r="C34" s="771"/>
      <c r="D34" s="771"/>
      <c r="E34" s="771"/>
      <c r="F34" s="771"/>
      <c r="G34" s="771"/>
      <c r="H34" s="771"/>
      <c r="I34" s="771"/>
      <c r="J34" s="771"/>
      <c r="K34" s="771"/>
      <c r="L34" s="771"/>
      <c r="M34" s="771"/>
      <c r="N34" s="771"/>
      <c r="O34" s="771"/>
      <c r="P34" s="771"/>
      <c r="Q34" s="771"/>
      <c r="R34" s="771"/>
      <c r="S34" s="771"/>
      <c r="T34" s="771"/>
      <c r="U34" s="771"/>
      <c r="V34" s="771"/>
      <c r="W34" s="771"/>
      <c r="X34" s="771"/>
      <c r="Y34" s="771"/>
      <c r="Z34" s="771"/>
      <c r="AA34" s="771"/>
      <c r="AB34" s="771"/>
      <c r="AC34" s="771"/>
      <c r="AD34" s="771"/>
      <c r="AE34" s="796"/>
      <c r="AF34" s="796"/>
      <c r="AG34" s="796"/>
      <c r="AH34" s="796"/>
      <c r="AI34" s="796"/>
      <c r="AJ34" s="796"/>
      <c r="AK34" s="796"/>
      <c r="AL34" s="796"/>
      <c r="AM34" s="796"/>
      <c r="AN34" s="796"/>
      <c r="AQ34" s="796"/>
      <c r="AR34" s="796"/>
      <c r="BF34"/>
      <c r="BG34"/>
      <c r="BH34"/>
      <c r="BI34"/>
      <c r="BJ34"/>
      <c r="BK34"/>
      <c r="BL34"/>
      <c r="BM34"/>
      <c r="BN34"/>
      <c r="BO34"/>
      <c r="BP34"/>
      <c r="BQ34"/>
      <c r="BR34"/>
      <c r="BS34"/>
      <c r="BT34"/>
      <c r="BU34"/>
      <c r="BV34"/>
      <c r="BW34"/>
      <c r="BX34"/>
      <c r="BY34"/>
      <c r="BZ34"/>
      <c r="CA34"/>
      <c r="CB34"/>
      <c r="CC34"/>
    </row>
    <row r="35" spans="2:81" ht="30" customHeight="1">
      <c r="B35" s="771"/>
      <c r="C35" s="1437"/>
      <c r="D35" s="1438"/>
      <c r="E35" s="1438"/>
      <c r="F35" s="1439"/>
      <c r="G35" s="1440" t="s">
        <v>2100</v>
      </c>
      <c r="H35" s="1441"/>
      <c r="I35" s="1441"/>
      <c r="J35" s="1441"/>
      <c r="K35" s="1441"/>
      <c r="L35" s="1441"/>
      <c r="M35" s="1441"/>
      <c r="N35" s="1441"/>
      <c r="O35" s="1441"/>
      <c r="P35" s="1441"/>
      <c r="Q35" s="1441"/>
      <c r="R35" s="1441"/>
      <c r="S35" s="1441"/>
      <c r="T35" s="1441"/>
      <c r="U35" s="1441"/>
      <c r="V35" s="1441"/>
      <c r="W35" s="1441"/>
      <c r="X35" s="1441"/>
      <c r="Y35" s="1441"/>
      <c r="Z35" s="1441"/>
      <c r="AA35" s="1441"/>
      <c r="AB35" s="1441"/>
      <c r="AC35" s="1442"/>
      <c r="AD35" s="777" t="s">
        <v>2101</v>
      </c>
      <c r="AE35" s="802"/>
      <c r="AF35" s="803"/>
      <c r="AG35" s="1444" t="s">
        <v>2175</v>
      </c>
      <c r="AH35" s="1445"/>
      <c r="AI35" s="1445"/>
      <c r="AJ35" s="1445"/>
      <c r="AK35" s="1445"/>
      <c r="AL35" s="1445"/>
      <c r="AM35" s="1445"/>
      <c r="AN35" s="1445"/>
      <c r="AO35" s="1445"/>
      <c r="AP35" s="1445"/>
      <c r="AQ35" s="1445"/>
      <c r="AR35" s="1445"/>
      <c r="AS35" s="1445"/>
      <c r="AT35" s="1445"/>
      <c r="AU35" s="1445"/>
      <c r="AV35" s="1445"/>
      <c r="AW35" s="1445"/>
      <c r="AX35" s="1445"/>
      <c r="AY35" s="1445"/>
      <c r="AZ35" s="1445"/>
      <c r="BA35" s="1445"/>
      <c r="BB35" s="1445"/>
      <c r="BC35" s="1446"/>
      <c r="BF35"/>
      <c r="BG35"/>
      <c r="BH35"/>
      <c r="BI35"/>
      <c r="BJ35"/>
      <c r="BK35"/>
      <c r="BL35"/>
      <c r="BM35"/>
      <c r="BN35"/>
      <c r="BO35"/>
      <c r="BP35"/>
      <c r="BQ35"/>
      <c r="BR35"/>
      <c r="BS35"/>
      <c r="BT35"/>
      <c r="BU35"/>
      <c r="BV35"/>
      <c r="BW35"/>
      <c r="BX35"/>
      <c r="BY35"/>
      <c r="BZ35"/>
      <c r="CA35"/>
      <c r="CB35"/>
      <c r="CC35"/>
    </row>
    <row r="36" spans="2:81" ht="30" customHeight="1">
      <c r="B36" s="771"/>
      <c r="C36" s="1447"/>
      <c r="D36" s="1448"/>
      <c r="E36" s="1449"/>
      <c r="F36" s="778" t="s">
        <v>69</v>
      </c>
      <c r="G36" s="779" t="s">
        <v>2128</v>
      </c>
      <c r="H36" s="779" t="s">
        <v>2129</v>
      </c>
      <c r="I36" s="779" t="s">
        <v>2130</v>
      </c>
      <c r="J36" s="779" t="s">
        <v>2131</v>
      </c>
      <c r="K36" s="779" t="s">
        <v>2132</v>
      </c>
      <c r="L36" s="779" t="s">
        <v>2133</v>
      </c>
      <c r="M36" s="779" t="s">
        <v>2134</v>
      </c>
      <c r="N36" s="779" t="s">
        <v>2135</v>
      </c>
      <c r="O36" s="779" t="s">
        <v>2136</v>
      </c>
      <c r="P36" s="779" t="s">
        <v>2137</v>
      </c>
      <c r="Q36" s="779" t="s">
        <v>2138</v>
      </c>
      <c r="R36" s="779" t="s">
        <v>2139</v>
      </c>
      <c r="S36" s="779" t="s">
        <v>2140</v>
      </c>
      <c r="T36" s="779" t="s">
        <v>2141</v>
      </c>
      <c r="U36" s="779" t="s">
        <v>2142</v>
      </c>
      <c r="V36" s="779" t="s">
        <v>2143</v>
      </c>
      <c r="W36" s="779" t="s">
        <v>2144</v>
      </c>
      <c r="X36" s="779" t="s">
        <v>2167</v>
      </c>
      <c r="Y36" s="779" t="s">
        <v>2146</v>
      </c>
      <c r="Z36" s="779" t="s">
        <v>2147</v>
      </c>
      <c r="AA36" s="779" t="s">
        <v>2148</v>
      </c>
      <c r="AB36" s="779" t="s">
        <v>2149</v>
      </c>
      <c r="AC36" s="779" t="s">
        <v>2150</v>
      </c>
      <c r="AD36" s="779" t="s">
        <v>69</v>
      </c>
      <c r="AE36" s="780"/>
      <c r="AF36" s="780"/>
      <c r="AG36" s="779" t="s">
        <v>2128</v>
      </c>
      <c r="AH36" s="779" t="s">
        <v>2129</v>
      </c>
      <c r="AI36" s="779" t="s">
        <v>2130</v>
      </c>
      <c r="AJ36" s="779" t="s">
        <v>2131</v>
      </c>
      <c r="AK36" s="779" t="s">
        <v>2132</v>
      </c>
      <c r="AL36" s="779" t="s">
        <v>2133</v>
      </c>
      <c r="AM36" s="779" t="s">
        <v>2134</v>
      </c>
      <c r="AN36" s="779" t="s">
        <v>2135</v>
      </c>
      <c r="AO36" s="779" t="s">
        <v>2136</v>
      </c>
      <c r="AP36" s="779" t="s">
        <v>2137</v>
      </c>
      <c r="AQ36" s="779" t="s">
        <v>2138</v>
      </c>
      <c r="AR36" s="779" t="s">
        <v>2139</v>
      </c>
      <c r="AS36" s="779" t="s">
        <v>2140</v>
      </c>
      <c r="AT36" s="779" t="s">
        <v>2141</v>
      </c>
      <c r="AU36" s="779" t="s">
        <v>2142</v>
      </c>
      <c r="AV36" s="779" t="s">
        <v>2143</v>
      </c>
      <c r="AW36" s="779" t="s">
        <v>2144</v>
      </c>
      <c r="AX36" s="779" t="s">
        <v>2167</v>
      </c>
      <c r="AY36" s="779" t="s">
        <v>2146</v>
      </c>
      <c r="AZ36" s="779" t="s">
        <v>2147</v>
      </c>
      <c r="BA36" s="779" t="s">
        <v>2148</v>
      </c>
      <c r="BB36" s="779" t="s">
        <v>2149</v>
      </c>
      <c r="BC36" s="779" t="s">
        <v>2150</v>
      </c>
      <c r="BF36"/>
      <c r="BG36"/>
      <c r="BH36"/>
      <c r="BI36"/>
      <c r="BJ36"/>
      <c r="BK36"/>
      <c r="BL36"/>
      <c r="BM36"/>
      <c r="BN36"/>
      <c r="BO36"/>
      <c r="BP36"/>
      <c r="BQ36"/>
      <c r="BR36"/>
      <c r="BS36"/>
      <c r="BT36"/>
      <c r="BU36"/>
      <c r="BV36"/>
      <c r="BW36"/>
      <c r="BX36"/>
      <c r="BY36"/>
      <c r="BZ36"/>
      <c r="CA36"/>
      <c r="CB36"/>
      <c r="CC36"/>
    </row>
    <row r="37" spans="2:81" ht="30" customHeight="1">
      <c r="B37" s="771"/>
      <c r="C37" s="1450" t="s">
        <v>2176</v>
      </c>
      <c r="D37" s="1451"/>
      <c r="E37" s="804" t="s">
        <v>2177</v>
      </c>
      <c r="F37" s="778" t="s">
        <v>2178</v>
      </c>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779"/>
      <c r="AE37" s="806" t="s">
        <v>2127</v>
      </c>
      <c r="AF37" s="802"/>
      <c r="AG37" s="807">
        <f>IF(COUNTIF(F39,"*Nm3")&gt;0,1,G37/101.325*273.15/(273.15+G38))</f>
        <v>0</v>
      </c>
      <c r="AH37" s="807">
        <f>IF(COUNTIF(F39,"*Nm3")&gt;0,1,H37/101.325*273.15/(273.15+H38))</f>
        <v>0</v>
      </c>
      <c r="AI37" s="807">
        <f>IF(COUNTIF(F39,"*Nm3")&gt;0,1,I37/101.325*273.15/(273.15+I38))</f>
        <v>0</v>
      </c>
      <c r="AJ37" s="807">
        <f>IF(COUNTIF(F39,"*Nm3")&gt;0,1,J37/101.325*273.15/(273.15+J38))</f>
        <v>0</v>
      </c>
      <c r="AK37" s="807">
        <f>IF(COUNTIF(F39,"*Nm3")&gt;0,1,K37/101.325*273.15/(273.15+K38))</f>
        <v>0</v>
      </c>
      <c r="AL37" s="807">
        <f>IF(COUNTIF(F39,"*Nm3")&gt;0,1,L37/101.325*273.15/(273.15+L38))</f>
        <v>0</v>
      </c>
      <c r="AM37" s="807">
        <f>IF(COUNTIF(F39,"*Nm3")&gt;0,1,M37/101.325*273.15/(273.15+M38))</f>
        <v>0</v>
      </c>
      <c r="AN37" s="807">
        <f>IF(COUNTIF(F39,"*Nm3")&gt;0,1,N37/101.325*273.15/(273.15+N38))</f>
        <v>0</v>
      </c>
      <c r="AO37" s="807">
        <f>IF(COUNTIF(F39,"*Nm3")&gt;0,1,O37/101.325*273.15/(273.15+O38))</f>
        <v>0</v>
      </c>
      <c r="AP37" s="807">
        <f>IF(COUNTIF(F39,"*Nm3")&gt;0,1,P37/101.325*273.15/(273.15+P38))</f>
        <v>0</v>
      </c>
      <c r="AQ37" s="807">
        <f>IF(COUNTIF(F39,"*Nm3")&gt;0,1,Q37/101.325*273.15/(273.15+Q38))</f>
        <v>0</v>
      </c>
      <c r="AR37" s="807">
        <f>IF(COUNTIF(F39,"*Nm3")&gt;0,1,R37/101.325*273.15/(273.15+R38))</f>
        <v>0</v>
      </c>
      <c r="AS37" s="807">
        <f t="shared" ref="AS37:BC37" si="13">IF(COUNTIF(F39,"*Nm3")&gt;0,1,S37/101.325*273.15/(273.15+S38))</f>
        <v>0</v>
      </c>
      <c r="AT37" s="807">
        <f t="shared" si="13"/>
        <v>0</v>
      </c>
      <c r="AU37" s="807">
        <f t="shared" si="13"/>
        <v>0</v>
      </c>
      <c r="AV37" s="807">
        <f t="shared" si="13"/>
        <v>0</v>
      </c>
      <c r="AW37" s="807">
        <f t="shared" si="13"/>
        <v>0</v>
      </c>
      <c r="AX37" s="807">
        <f t="shared" si="13"/>
        <v>0</v>
      </c>
      <c r="AY37" s="807">
        <f t="shared" si="13"/>
        <v>0</v>
      </c>
      <c r="AZ37" s="807">
        <f t="shared" si="13"/>
        <v>0</v>
      </c>
      <c r="BA37" s="807">
        <f t="shared" si="13"/>
        <v>0</v>
      </c>
      <c r="BB37" s="807">
        <f t="shared" si="13"/>
        <v>0</v>
      </c>
      <c r="BC37" s="807">
        <f t="shared" si="13"/>
        <v>0</v>
      </c>
      <c r="BF37"/>
      <c r="BG37"/>
      <c r="BH37"/>
      <c r="BI37"/>
      <c r="BJ37"/>
      <c r="BK37"/>
      <c r="BL37"/>
      <c r="BM37"/>
      <c r="BN37"/>
      <c r="BO37"/>
      <c r="BP37"/>
      <c r="BQ37"/>
      <c r="BR37"/>
      <c r="BS37"/>
      <c r="BT37"/>
      <c r="BU37"/>
      <c r="BV37"/>
      <c r="BW37"/>
      <c r="BX37"/>
      <c r="BY37"/>
      <c r="BZ37"/>
      <c r="CA37"/>
      <c r="CB37"/>
      <c r="CC37"/>
    </row>
    <row r="38" spans="2:81" ht="30" customHeight="1">
      <c r="B38" s="771"/>
      <c r="C38" s="1452"/>
      <c r="D38" s="1453"/>
      <c r="E38" s="804" t="s">
        <v>2179</v>
      </c>
      <c r="F38" s="778" t="s">
        <v>2180</v>
      </c>
      <c r="G38" s="805"/>
      <c r="H38" s="805"/>
      <c r="I38" s="805"/>
      <c r="J38" s="805"/>
      <c r="K38" s="805"/>
      <c r="L38" s="805"/>
      <c r="M38" s="805"/>
      <c r="N38" s="805"/>
      <c r="O38" s="805"/>
      <c r="P38" s="805"/>
      <c r="Q38" s="805"/>
      <c r="R38" s="805"/>
      <c r="S38" s="805"/>
      <c r="T38" s="805"/>
      <c r="U38" s="805"/>
      <c r="V38" s="805"/>
      <c r="W38" s="805"/>
      <c r="X38" s="805"/>
      <c r="Y38" s="808"/>
      <c r="Z38" s="808"/>
      <c r="AA38" s="808"/>
      <c r="AB38" s="808"/>
      <c r="AC38" s="805"/>
      <c r="AD38" s="1433"/>
      <c r="AE38" s="1434"/>
      <c r="AF38" s="1434"/>
      <c r="AG38" s="1434"/>
      <c r="AH38" s="1434"/>
      <c r="AI38" s="1434"/>
      <c r="AJ38" s="1434"/>
      <c r="AK38" s="1434"/>
      <c r="AL38" s="1434"/>
      <c r="AM38" s="1434"/>
      <c r="AN38" s="1434"/>
      <c r="AO38" s="1434"/>
      <c r="AP38" s="1434"/>
      <c r="AQ38" s="1434"/>
      <c r="AR38" s="1434"/>
      <c r="AS38" s="1435"/>
      <c r="AT38" s="809"/>
      <c r="AU38" s="809"/>
      <c r="AV38" s="809"/>
      <c r="AW38" s="809"/>
      <c r="AX38" s="809"/>
      <c r="AY38" s="809"/>
      <c r="AZ38" s="809"/>
      <c r="BA38" s="809"/>
      <c r="BB38" s="809"/>
      <c r="BC38" s="810"/>
      <c r="BF38"/>
      <c r="BG38"/>
      <c r="BH38"/>
      <c r="BI38"/>
      <c r="BJ38"/>
      <c r="BK38"/>
      <c r="BL38"/>
      <c r="BM38"/>
      <c r="BN38"/>
      <c r="BO38"/>
      <c r="BP38"/>
      <c r="BQ38"/>
      <c r="BR38"/>
      <c r="BS38"/>
      <c r="BT38"/>
      <c r="BU38"/>
      <c r="BV38"/>
      <c r="BW38"/>
      <c r="BX38"/>
      <c r="BY38"/>
      <c r="BZ38"/>
      <c r="CA38"/>
      <c r="CB38"/>
      <c r="CC38"/>
    </row>
    <row r="39" spans="2:81" ht="30" customHeight="1">
      <c r="B39" s="771"/>
      <c r="C39" s="1454"/>
      <c r="D39" s="1455"/>
      <c r="E39" s="811" t="s">
        <v>75</v>
      </c>
      <c r="F39" s="782" t="s">
        <v>2154</v>
      </c>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77" t="s">
        <v>2155</v>
      </c>
      <c r="AE39" s="812" t="s">
        <v>77</v>
      </c>
      <c r="AF39" s="786">
        <f>VLOOKUP($F39,$BA$60:$BB$63,2,FALSE)/VLOOKUP($AD39,$BA$60:$BB$63,2,FALSE)</f>
        <v>1000</v>
      </c>
      <c r="AG39" s="786">
        <f>ROUND(H14_その他ガス*$AG37/$AF39,0)</f>
        <v>0</v>
      </c>
      <c r="AH39" s="786">
        <f>ROUND(H15_その他ガス*$AH37/$AF39,0)</f>
        <v>0</v>
      </c>
      <c r="AI39" s="786">
        <f>ROUND(H16_その他ガス*$AI37/$AF39,0)</f>
        <v>0</v>
      </c>
      <c r="AJ39" s="786">
        <f>ROUND(H17_その他ガス*$AJ37/$AF39,0)</f>
        <v>0</v>
      </c>
      <c r="AK39" s="786">
        <f>ROUND(H18_その他ガス*$AK37/$AF39,0)</f>
        <v>0</v>
      </c>
      <c r="AL39" s="786">
        <f>ROUND(H19_その他ガス*$AL37/$AF39,0)</f>
        <v>0</v>
      </c>
      <c r="AM39" s="786">
        <f>ROUND(H20_その他ガス*$AM37/$AF39,0)</f>
        <v>0</v>
      </c>
      <c r="AN39" s="786">
        <f>ROUND(H21_その他ガス*$AN37/$AF39,0)</f>
        <v>0</v>
      </c>
      <c r="AO39" s="786">
        <f>ROUND(H22_その他ガス*$AO37/$AF39,0)</f>
        <v>0</v>
      </c>
      <c r="AP39" s="786">
        <f>ROUND(H23_その他ガス*$AP37/$AF39,0)</f>
        <v>0</v>
      </c>
      <c r="AQ39" s="786">
        <f>ROUND(H24_その他ガス*$AQ37/$AF39,0)</f>
        <v>0</v>
      </c>
      <c r="AR39" s="786">
        <f>ROUND(H25_その他ガス*$AR37/$AF39,0)</f>
        <v>0</v>
      </c>
      <c r="AS39" s="786">
        <f>ROUND(H26_その他ガス*$AS37/$AF39,0)</f>
        <v>0</v>
      </c>
      <c r="AT39" s="786">
        <f>ROUND(H27_その他ガス*$AS37/$AF39,0)</f>
        <v>0</v>
      </c>
      <c r="AU39" s="786">
        <f>ROUND(H28_その他ガス*$AS37/$AF39,0)</f>
        <v>0</v>
      </c>
      <c r="AV39" s="786">
        <f>ROUND(H29_その他ガス*$AS37/$AF39,0)</f>
        <v>0</v>
      </c>
      <c r="AW39" s="786">
        <f>ROUND(H30_その他ガス*$AS37/$AF39,0)</f>
        <v>0</v>
      </c>
      <c r="AX39" s="786">
        <f>ROUND(H31_その他ガス*$AS37/$AF39,0)</f>
        <v>0</v>
      </c>
      <c r="AY39" s="786">
        <f>ROUND(Y39*$AS37/$AF39,0)</f>
        <v>0</v>
      </c>
      <c r="AZ39" s="786">
        <f t="shared" ref="AZ39:BC39" si="14">ROUND(Z39*$AS37/$AF39,0)</f>
        <v>0</v>
      </c>
      <c r="BA39" s="786">
        <f t="shared" si="14"/>
        <v>0</v>
      </c>
      <c r="BB39" s="786">
        <f t="shared" si="14"/>
        <v>0</v>
      </c>
      <c r="BC39" s="786">
        <f t="shared" si="14"/>
        <v>0</v>
      </c>
      <c r="BF39"/>
      <c r="BG39"/>
      <c r="BH39"/>
      <c r="BI39"/>
      <c r="BJ39"/>
      <c r="BK39"/>
      <c r="BL39"/>
      <c r="BM39"/>
      <c r="BN39"/>
      <c r="BO39"/>
      <c r="BP39"/>
      <c r="BQ39"/>
      <c r="BR39"/>
      <c r="BS39"/>
      <c r="BT39"/>
      <c r="BU39"/>
      <c r="BV39"/>
      <c r="BW39"/>
      <c r="BX39"/>
      <c r="BY39"/>
      <c r="BZ39"/>
      <c r="CA39"/>
      <c r="CB39"/>
      <c r="CC39"/>
    </row>
    <row r="40" spans="2:81" ht="30" customHeight="1">
      <c r="B40" s="771"/>
      <c r="C40" s="1456" t="s">
        <v>29</v>
      </c>
      <c r="D40" s="1457"/>
      <c r="E40" s="804" t="s">
        <v>2177</v>
      </c>
      <c r="F40" s="778" t="s">
        <v>2178</v>
      </c>
      <c r="G40" s="805"/>
      <c r="H40" s="805"/>
      <c r="I40" s="805"/>
      <c r="J40" s="805"/>
      <c r="K40" s="805"/>
      <c r="L40" s="805"/>
      <c r="M40" s="805"/>
      <c r="N40" s="805"/>
      <c r="O40" s="805"/>
      <c r="P40" s="805"/>
      <c r="Q40" s="805"/>
      <c r="R40" s="805"/>
      <c r="S40" s="805"/>
      <c r="T40" s="805"/>
      <c r="U40" s="805"/>
      <c r="V40" s="805"/>
      <c r="W40" s="805"/>
      <c r="X40" s="805"/>
      <c r="Y40" s="805"/>
      <c r="Z40" s="805"/>
      <c r="AA40" s="805"/>
      <c r="AB40" s="805"/>
      <c r="AC40" s="805"/>
      <c r="AD40" s="779"/>
      <c r="AE40" s="806" t="s">
        <v>2127</v>
      </c>
      <c r="AF40" s="780"/>
      <c r="AG40" s="807">
        <f>IF(COUNTIF(F42,"*Nm3")&gt;0,1,G40/101.325*273.15/(273.15+G41))</f>
        <v>0</v>
      </c>
      <c r="AH40" s="807">
        <f>IF(COUNTIF(F42,"*Nm3")&gt;0,1,H40/101.325*273.15/(273.15+H41))</f>
        <v>0</v>
      </c>
      <c r="AI40" s="807">
        <f>IF(COUNTIF(F42,"*Nm3")&gt;0,1,I40/101.325*273.15/(273.15+I41))</f>
        <v>0</v>
      </c>
      <c r="AJ40" s="807">
        <f>IF(COUNTIF(F42,"*Nm3")&gt;0,1,J40/101.325*273.15/(273.15+J41))</f>
        <v>0</v>
      </c>
      <c r="AK40" s="807">
        <f>IF(COUNTIF(F42,"*Nm3")&gt;0,1,K40/101.325*273.15/(273.15+K41))</f>
        <v>0</v>
      </c>
      <c r="AL40" s="807">
        <f>IF(COUNTIF(F42,"*Nm3")&gt;0,1,L40/101.325*273.15/(273.15+L41))</f>
        <v>0</v>
      </c>
      <c r="AM40" s="807">
        <f>IF(COUNTIF(F42,"*Nm3")&gt;0,1,M40/101.325*273.15/(273.15+M41))</f>
        <v>0</v>
      </c>
      <c r="AN40" s="807">
        <f>IF(COUNTIF(F42,"*Nm3")&gt;0,1,N40/101.325*273.15/(273.15+N41))</f>
        <v>0</v>
      </c>
      <c r="AO40" s="807">
        <f>IF(COUNTIF(F42,"*Nm3")&gt;0,1,O40/101.325*273.15/(273.15+O41))</f>
        <v>0</v>
      </c>
      <c r="AP40" s="807">
        <f>IF(COUNTIF(F42,"*Nm3")&gt;0,1,P40/101.325*273.15/(273.15+P41))</f>
        <v>0</v>
      </c>
      <c r="AQ40" s="807">
        <f>IF(COUNTIF(F42,"*Nm3")&gt;0,1,Q40/101.325*273.15/(273.15+Q41))</f>
        <v>0</v>
      </c>
      <c r="AR40" s="807">
        <f>IF(COUNTIF(F42,"*Nm3")&gt;0,1,R40/101.325*273.15/(273.15+R41))</f>
        <v>0</v>
      </c>
      <c r="AS40" s="807">
        <f t="shared" ref="AS40:BC40" si="15">IF(COUNTIF(F42,"*Nm3")&gt;0,1,S40/101.325*273.15/(273.15+S41))</f>
        <v>0</v>
      </c>
      <c r="AT40" s="807">
        <f t="shared" si="15"/>
        <v>0</v>
      </c>
      <c r="AU40" s="807">
        <f t="shared" si="15"/>
        <v>0</v>
      </c>
      <c r="AV40" s="807">
        <f t="shared" si="15"/>
        <v>0</v>
      </c>
      <c r="AW40" s="807">
        <f t="shared" si="15"/>
        <v>0</v>
      </c>
      <c r="AX40" s="807">
        <f t="shared" si="15"/>
        <v>0</v>
      </c>
      <c r="AY40" s="807">
        <f t="shared" si="15"/>
        <v>0</v>
      </c>
      <c r="AZ40" s="807">
        <f t="shared" si="15"/>
        <v>0</v>
      </c>
      <c r="BA40" s="807">
        <f t="shared" si="15"/>
        <v>0</v>
      </c>
      <c r="BB40" s="807">
        <f t="shared" si="15"/>
        <v>0</v>
      </c>
      <c r="BC40" s="807">
        <f t="shared" si="15"/>
        <v>0</v>
      </c>
      <c r="BF40"/>
      <c r="BG40"/>
      <c r="BH40"/>
      <c r="BI40"/>
      <c r="BJ40"/>
      <c r="BK40"/>
      <c r="BL40"/>
      <c r="BM40"/>
      <c r="BN40"/>
      <c r="BO40"/>
      <c r="BP40"/>
      <c r="BQ40"/>
      <c r="BR40"/>
      <c r="BS40"/>
      <c r="BT40"/>
      <c r="BU40"/>
      <c r="BV40"/>
      <c r="BW40"/>
      <c r="BX40"/>
      <c r="BY40"/>
      <c r="BZ40"/>
      <c r="CA40"/>
      <c r="CB40"/>
      <c r="CC40"/>
    </row>
    <row r="41" spans="2:81" ht="30" customHeight="1">
      <c r="B41" s="771"/>
      <c r="C41" s="1458"/>
      <c r="D41" s="1459"/>
      <c r="E41" s="804" t="s">
        <v>2179</v>
      </c>
      <c r="F41" s="778" t="s">
        <v>2180</v>
      </c>
      <c r="G41" s="805"/>
      <c r="H41" s="805"/>
      <c r="I41" s="805"/>
      <c r="J41" s="805"/>
      <c r="K41" s="805"/>
      <c r="L41" s="805"/>
      <c r="M41" s="805"/>
      <c r="N41" s="805"/>
      <c r="O41" s="805"/>
      <c r="P41" s="805"/>
      <c r="Q41" s="805"/>
      <c r="R41" s="805"/>
      <c r="S41" s="805"/>
      <c r="T41" s="808"/>
      <c r="U41" s="808"/>
      <c r="V41" s="808"/>
      <c r="W41" s="808"/>
      <c r="X41" s="805"/>
      <c r="Y41" s="808"/>
      <c r="Z41" s="808"/>
      <c r="AA41" s="808"/>
      <c r="AB41" s="808"/>
      <c r="AC41" s="805"/>
      <c r="AD41" s="1433"/>
      <c r="AE41" s="1434"/>
      <c r="AF41" s="1434"/>
      <c r="AG41" s="1434"/>
      <c r="AH41" s="1434"/>
      <c r="AI41" s="1434"/>
      <c r="AJ41" s="1434"/>
      <c r="AK41" s="1434"/>
      <c r="AL41" s="1434"/>
      <c r="AM41" s="1434"/>
      <c r="AN41" s="1434"/>
      <c r="AO41" s="1434"/>
      <c r="AP41" s="1434"/>
      <c r="AQ41" s="1434"/>
      <c r="AR41" s="1434"/>
      <c r="AS41" s="1435"/>
      <c r="AT41" s="809"/>
      <c r="AU41" s="809"/>
      <c r="AV41" s="809"/>
      <c r="AW41" s="809"/>
      <c r="AX41" s="809"/>
      <c r="AY41" s="809"/>
      <c r="AZ41" s="809"/>
      <c r="BA41" s="809"/>
      <c r="BB41" s="809"/>
      <c r="BC41" s="813"/>
      <c r="BF41"/>
      <c r="BG41"/>
      <c r="BH41"/>
      <c r="BI41"/>
      <c r="BJ41"/>
      <c r="BK41"/>
      <c r="BL41"/>
      <c r="BM41"/>
      <c r="BN41"/>
      <c r="BO41"/>
      <c r="BP41"/>
      <c r="BQ41"/>
      <c r="BR41"/>
      <c r="BS41"/>
      <c r="BT41"/>
      <c r="BU41"/>
      <c r="BV41"/>
      <c r="BW41"/>
      <c r="BX41"/>
      <c r="BY41"/>
      <c r="BZ41"/>
      <c r="CA41"/>
      <c r="CB41"/>
      <c r="CC41"/>
    </row>
    <row r="42" spans="2:81" ht="30" customHeight="1">
      <c r="B42" s="771"/>
      <c r="C42" s="1460"/>
      <c r="D42" s="1461"/>
      <c r="E42" s="811" t="s">
        <v>75</v>
      </c>
      <c r="F42" s="782" t="s">
        <v>2154</v>
      </c>
      <c r="G42" s="784"/>
      <c r="H42" s="784"/>
      <c r="I42" s="784"/>
      <c r="J42" s="784"/>
      <c r="K42" s="784"/>
      <c r="L42" s="784"/>
      <c r="M42" s="784"/>
      <c r="N42" s="784"/>
      <c r="O42" s="784"/>
      <c r="P42" s="784"/>
      <c r="Q42" s="784"/>
      <c r="R42" s="784"/>
      <c r="S42" s="784"/>
      <c r="T42" s="784"/>
      <c r="U42" s="784"/>
      <c r="V42" s="784"/>
      <c r="W42" s="784"/>
      <c r="X42" s="784"/>
      <c r="Y42" s="784"/>
      <c r="Z42" s="784"/>
      <c r="AA42" s="784"/>
      <c r="AB42" s="784"/>
      <c r="AC42" s="784"/>
      <c r="AD42" s="777" t="s">
        <v>2155</v>
      </c>
      <c r="AE42" s="812" t="s">
        <v>77</v>
      </c>
      <c r="AF42" s="786">
        <f>VLOOKUP($F42,$BA$60:$BB$63,2,FALSE)</f>
        <v>1000</v>
      </c>
      <c r="AG42" s="786">
        <f>ROUND(H14_その他ガス*$AG40/$AF42,0)</f>
        <v>0</v>
      </c>
      <c r="AH42" s="786">
        <f>ROUND(H15_その他ガス*$AH40/$AF42,0)</f>
        <v>0</v>
      </c>
      <c r="AI42" s="786">
        <f>ROUND(H16_その他ガス*$AI40/$AF42,0)</f>
        <v>0</v>
      </c>
      <c r="AJ42" s="786">
        <f>ROUND(H17_その他ガス*$AJ40/$AF42,0)</f>
        <v>0</v>
      </c>
      <c r="AK42" s="786">
        <f>ROUND(H18_その他ガス*$AK40/$AF42,0)</f>
        <v>0</v>
      </c>
      <c r="AL42" s="786">
        <f>ROUND(H19_その他ガス*$AL40/$AF42,0)</f>
        <v>0</v>
      </c>
      <c r="AM42" s="786">
        <f>ROUND(H20_その他ガス*$AM40/$AF42,0)</f>
        <v>0</v>
      </c>
      <c r="AN42" s="786">
        <f>ROUND(H21_その他ガス*$AN40/$AF42,0)</f>
        <v>0</v>
      </c>
      <c r="AO42" s="786">
        <f>ROUND(H22_その他ガス*$AO40/$AF42,0)</f>
        <v>0</v>
      </c>
      <c r="AP42" s="786">
        <f>ROUND(H23_その他ガス*$AP40/$AF42,0)</f>
        <v>0</v>
      </c>
      <c r="AQ42" s="786">
        <f>ROUND(H24_その他ガス*$AQ40/$AF42,0)</f>
        <v>0</v>
      </c>
      <c r="AR42" s="786">
        <f>ROUND(H25_その他ガス*$AR40/$AF42,0)</f>
        <v>0</v>
      </c>
      <c r="AS42" s="786">
        <f>ROUND(H26_その他ガス*$AS40/$AF42,0)</f>
        <v>0</v>
      </c>
      <c r="AT42" s="786">
        <f>ROUND(H27_その他ガス*$AS40/$AF42,0)</f>
        <v>0</v>
      </c>
      <c r="AU42" s="786">
        <f>ROUND(H28_その他ガス*$AS40/$AF42,0)</f>
        <v>0</v>
      </c>
      <c r="AV42" s="786">
        <f>ROUND(H29_その他ガス*$AS40/$AF42,0)</f>
        <v>0</v>
      </c>
      <c r="AW42" s="786">
        <f>ROUND(H30_その他ガス*$AS40/$AF42,0)</f>
        <v>0</v>
      </c>
      <c r="AX42" s="786">
        <f>ROUND(H31_その他ガス*$AS40/$AF42,0)</f>
        <v>0</v>
      </c>
      <c r="AY42" s="786">
        <f>ROUND(Y42*$AS40/$AF42,0)</f>
        <v>0</v>
      </c>
      <c r="AZ42" s="786">
        <f t="shared" ref="AZ42:BC42" si="16">ROUND(Z42*$AS40/$AF42,0)</f>
        <v>0</v>
      </c>
      <c r="BA42" s="786">
        <f t="shared" si="16"/>
        <v>0</v>
      </c>
      <c r="BB42" s="786">
        <f t="shared" si="16"/>
        <v>0</v>
      </c>
      <c r="BC42" s="786">
        <f t="shared" si="16"/>
        <v>0</v>
      </c>
      <c r="BF42"/>
      <c r="BG42"/>
      <c r="BH42"/>
      <c r="BI42"/>
      <c r="BJ42"/>
      <c r="BK42"/>
      <c r="BL42"/>
      <c r="BM42"/>
      <c r="BN42"/>
      <c r="BO42"/>
      <c r="BP42"/>
      <c r="BQ42"/>
      <c r="BR42"/>
      <c r="BS42"/>
      <c r="BT42"/>
      <c r="BU42"/>
      <c r="BV42"/>
      <c r="BW42"/>
      <c r="BX42"/>
      <c r="BY42"/>
      <c r="BZ42"/>
      <c r="CA42"/>
      <c r="CB42"/>
      <c r="CC42"/>
    </row>
    <row r="43" spans="2:81" ht="30" customHeight="1">
      <c r="B43" s="771"/>
      <c r="C43" s="1427" t="s">
        <v>1637</v>
      </c>
      <c r="D43" s="1428"/>
      <c r="E43" s="804" t="s">
        <v>2177</v>
      </c>
      <c r="F43" s="778" t="s">
        <v>2178</v>
      </c>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779"/>
      <c r="AE43" s="806" t="s">
        <v>2127</v>
      </c>
      <c r="AF43" s="780"/>
      <c r="AG43" s="807">
        <f>IF(COUNTIF(F45,"*Nm3")&gt;0,1,G43/101.325*273.15/(273.15+G44))</f>
        <v>0</v>
      </c>
      <c r="AH43" s="807">
        <f>IF(COUNTIF(F45,"*Nm3")&gt;0,1,H43/101.325*273.15/(273.15+H44))</f>
        <v>0</v>
      </c>
      <c r="AI43" s="807">
        <f>IF(COUNTIF(F45,"*Nm3")&gt;0,1,I43/101.325*273.15/(273.15+I44))</f>
        <v>0</v>
      </c>
      <c r="AJ43" s="807">
        <f>IF(COUNTIF(F45,"*Nm3")&gt;0,1,J43/101.325*273.15/(273.15+J44))</f>
        <v>0</v>
      </c>
      <c r="AK43" s="807">
        <f>IF(COUNTIF(F45,"*Nm3")&gt;0,1,K43/101.325*273.15/(273.15+K44))</f>
        <v>0</v>
      </c>
      <c r="AL43" s="807">
        <f>IF(COUNTIF(F45,"*Nm3")&gt;0,1,L43/101.325*273.15/(273.15+L44))</f>
        <v>0</v>
      </c>
      <c r="AM43" s="807">
        <f>IF(COUNTIF(F45,"*Nm3")&gt;0,1,M43/101.325*273.15/(273.15+M44))</f>
        <v>0</v>
      </c>
      <c r="AN43" s="807">
        <f>IF(COUNTIF(F45,"*Nm3")&gt;0,1,N43/101.325*273.15/(273.15+N44))</f>
        <v>0</v>
      </c>
      <c r="AO43" s="807">
        <f>IF(COUNTIF(F45,"*Nm3")&gt;0,1,O43/101.325*273.15/(273.15+O44))</f>
        <v>0</v>
      </c>
      <c r="AP43" s="807">
        <f>IF(COUNTIF(F45,"*Nm3")&gt;0,1,P43/101.325*273.15/(273.15+P44))</f>
        <v>0</v>
      </c>
      <c r="AQ43" s="807">
        <f>IF(COUNTIF(F45,"*Nm3")&gt;0,1,Q43/101.325*273.15/(273.15+Q44))</f>
        <v>0</v>
      </c>
      <c r="AR43" s="807">
        <f>IF(COUNTIF(F45,"*Nm3")&gt;0,1,R43/101.325*273.15/(273.15+R44))</f>
        <v>0</v>
      </c>
      <c r="AS43" s="807">
        <f t="shared" ref="AS43:BC43" si="17">IF(COUNTIF(F45,"*Nm3")&gt;0,1,S43/101.325*273.15/(273.15+S44))</f>
        <v>0</v>
      </c>
      <c r="AT43" s="807">
        <f t="shared" si="17"/>
        <v>0</v>
      </c>
      <c r="AU43" s="807">
        <f t="shared" si="17"/>
        <v>0</v>
      </c>
      <c r="AV43" s="807">
        <f t="shared" si="17"/>
        <v>0</v>
      </c>
      <c r="AW43" s="807">
        <f t="shared" si="17"/>
        <v>0</v>
      </c>
      <c r="AX43" s="807">
        <f t="shared" si="17"/>
        <v>0</v>
      </c>
      <c r="AY43" s="807">
        <f t="shared" si="17"/>
        <v>0</v>
      </c>
      <c r="AZ43" s="807">
        <f t="shared" si="17"/>
        <v>0</v>
      </c>
      <c r="BA43" s="807">
        <f t="shared" si="17"/>
        <v>0</v>
      </c>
      <c r="BB43" s="807">
        <f t="shared" si="17"/>
        <v>0</v>
      </c>
      <c r="BC43" s="807">
        <f t="shared" si="17"/>
        <v>0</v>
      </c>
      <c r="BF43"/>
      <c r="BG43"/>
      <c r="BH43"/>
      <c r="BI43"/>
      <c r="BJ43"/>
      <c r="BK43"/>
      <c r="BL43"/>
      <c r="BM43"/>
      <c r="BN43"/>
      <c r="BO43"/>
      <c r="BP43"/>
      <c r="BQ43"/>
      <c r="BR43"/>
      <c r="BS43"/>
      <c r="BT43"/>
      <c r="BU43"/>
      <c r="BV43"/>
      <c r="BW43"/>
      <c r="BX43"/>
      <c r="BY43"/>
      <c r="BZ43"/>
      <c r="CA43"/>
      <c r="CB43"/>
      <c r="CC43"/>
    </row>
    <row r="44" spans="2:81" ht="30" customHeight="1">
      <c r="B44" s="771"/>
      <c r="C44" s="1429"/>
      <c r="D44" s="1430"/>
      <c r="E44" s="804" t="s">
        <v>2179</v>
      </c>
      <c r="F44" s="778" t="s">
        <v>2180</v>
      </c>
      <c r="G44" s="805"/>
      <c r="H44" s="805"/>
      <c r="I44" s="805"/>
      <c r="J44" s="805"/>
      <c r="K44" s="805"/>
      <c r="L44" s="805"/>
      <c r="M44" s="805"/>
      <c r="N44" s="805"/>
      <c r="O44" s="805"/>
      <c r="P44" s="805"/>
      <c r="Q44" s="805"/>
      <c r="R44" s="805"/>
      <c r="S44" s="805"/>
      <c r="T44" s="808"/>
      <c r="U44" s="808"/>
      <c r="V44" s="808"/>
      <c r="W44" s="808"/>
      <c r="X44" s="805"/>
      <c r="Y44" s="808"/>
      <c r="Z44" s="808"/>
      <c r="AA44" s="808"/>
      <c r="AB44" s="808"/>
      <c r="AC44" s="805"/>
      <c r="AD44" s="1433"/>
      <c r="AE44" s="1434"/>
      <c r="AF44" s="1434"/>
      <c r="AG44" s="1434"/>
      <c r="AH44" s="1434"/>
      <c r="AI44" s="1434"/>
      <c r="AJ44" s="1434"/>
      <c r="AK44" s="1434"/>
      <c r="AL44" s="1434"/>
      <c r="AM44" s="1434"/>
      <c r="AN44" s="1434"/>
      <c r="AO44" s="1434"/>
      <c r="AP44" s="1434"/>
      <c r="AQ44" s="1434"/>
      <c r="AR44" s="1434"/>
      <c r="AS44" s="1435"/>
      <c r="AT44" s="809"/>
      <c r="AU44" s="809"/>
      <c r="AV44" s="809"/>
      <c r="AW44" s="809"/>
      <c r="AX44" s="809"/>
      <c r="AY44" s="809"/>
      <c r="AZ44" s="809"/>
      <c r="BA44" s="809"/>
      <c r="BB44" s="809"/>
      <c r="BC44" s="813"/>
      <c r="BF44"/>
      <c r="BG44"/>
      <c r="BH44"/>
      <c r="BI44"/>
      <c r="BJ44"/>
      <c r="BK44"/>
      <c r="BL44"/>
      <c r="BM44"/>
      <c r="BN44"/>
      <c r="BO44"/>
      <c r="BP44"/>
      <c r="BQ44"/>
      <c r="BR44"/>
      <c r="BS44"/>
      <c r="BT44"/>
      <c r="BU44"/>
      <c r="BV44"/>
      <c r="BW44"/>
      <c r="BX44"/>
      <c r="BY44"/>
      <c r="BZ44"/>
      <c r="CA44"/>
      <c r="CB44"/>
      <c r="CC44"/>
    </row>
    <row r="45" spans="2:81" ht="30" customHeight="1">
      <c r="B45" s="771"/>
      <c r="C45" s="1431"/>
      <c r="D45" s="1432"/>
      <c r="E45" s="811" t="s">
        <v>75</v>
      </c>
      <c r="F45" s="782" t="s">
        <v>2154</v>
      </c>
      <c r="G45" s="784"/>
      <c r="H45" s="784"/>
      <c r="I45" s="784"/>
      <c r="J45" s="784"/>
      <c r="K45" s="784"/>
      <c r="L45" s="784"/>
      <c r="M45" s="784"/>
      <c r="N45" s="784"/>
      <c r="O45" s="784"/>
      <c r="P45" s="784"/>
      <c r="Q45" s="784"/>
      <c r="R45" s="784"/>
      <c r="S45" s="784"/>
      <c r="T45" s="784"/>
      <c r="U45" s="784"/>
      <c r="V45" s="784"/>
      <c r="W45" s="784"/>
      <c r="X45" s="784"/>
      <c r="Y45" s="784"/>
      <c r="Z45" s="784"/>
      <c r="AA45" s="784"/>
      <c r="AB45" s="784"/>
      <c r="AC45" s="784"/>
      <c r="AD45" s="777" t="s">
        <v>2155</v>
      </c>
      <c r="AE45" s="812" t="s">
        <v>77</v>
      </c>
      <c r="AF45" s="786">
        <f>VLOOKUP($F45,$BA$60:$BB$63,2,FALSE)</f>
        <v>1000</v>
      </c>
      <c r="AG45" s="786">
        <f>ROUND(H14_その他ガス*$AG43/$AF45,0)</f>
        <v>0</v>
      </c>
      <c r="AH45" s="786">
        <f>ROUND(H15_その他ガス*$AH43/$AF45,0)</f>
        <v>0</v>
      </c>
      <c r="AI45" s="786">
        <f>ROUND(H16_その他ガス*$AI43/$AF45,0)</f>
        <v>0</v>
      </c>
      <c r="AJ45" s="786">
        <f>ROUND(H17_その他ガス*$AJ43/$AF45,0)</f>
        <v>0</v>
      </c>
      <c r="AK45" s="786">
        <f>ROUND(H18_その他ガス*$AK43/$AF45,0)</f>
        <v>0</v>
      </c>
      <c r="AL45" s="786">
        <f>ROUND(H19_その他ガス*$AL43/$AF45,0)</f>
        <v>0</v>
      </c>
      <c r="AM45" s="786">
        <f>ROUND(H20_その他ガス*$AM43/$AF45,0)</f>
        <v>0</v>
      </c>
      <c r="AN45" s="786">
        <f>ROUND(H21_その他ガス*$AN43/$AF45,0)</f>
        <v>0</v>
      </c>
      <c r="AO45" s="786">
        <f>ROUND(H22_その他ガス*$AO43/$AF45,0)</f>
        <v>0</v>
      </c>
      <c r="AP45" s="786">
        <f>ROUND(H23_その他ガス*$AP43/$AF45,0)</f>
        <v>0</v>
      </c>
      <c r="AQ45" s="786">
        <f>ROUND(H24_その他ガス*$AQ43/$AF45,0)</f>
        <v>0</v>
      </c>
      <c r="AR45" s="786">
        <f>ROUND(H25_その他ガス*$AR43/$AF45,0)</f>
        <v>0</v>
      </c>
      <c r="AS45" s="786">
        <f>ROUND(H26_その他ガス*$AS43/$AF45,0)</f>
        <v>0</v>
      </c>
      <c r="AT45" s="786">
        <f>ROUND(H27_その他ガス*$AS43/$AF45,0)</f>
        <v>0</v>
      </c>
      <c r="AU45" s="786">
        <f>ROUND(H28_その他ガス*$AS43/$AF45,0)</f>
        <v>0</v>
      </c>
      <c r="AV45" s="786">
        <f>ROUND(H29_その他ガス*$AS43/$AF45,0)</f>
        <v>0</v>
      </c>
      <c r="AW45" s="786">
        <f>ROUND(H30_その他ガス*$AS43/$AF45,0)</f>
        <v>0</v>
      </c>
      <c r="AX45" s="786">
        <f>ROUND(H31_その他ガス*$AS43/$AF45,0)</f>
        <v>0</v>
      </c>
      <c r="AY45" s="786">
        <f>ROUND(Y45*$AS43/$AF45,0)</f>
        <v>0</v>
      </c>
      <c r="AZ45" s="786">
        <f t="shared" ref="AZ45:BC45" si="18">ROUND(Z45*$AS43/$AF45,0)</f>
        <v>0</v>
      </c>
      <c r="BA45" s="786">
        <f t="shared" si="18"/>
        <v>0</v>
      </c>
      <c r="BB45" s="786">
        <f t="shared" si="18"/>
        <v>0</v>
      </c>
      <c r="BC45" s="786">
        <f t="shared" si="18"/>
        <v>0</v>
      </c>
      <c r="BF45"/>
      <c r="BG45"/>
      <c r="BH45"/>
      <c r="BI45"/>
      <c r="BJ45"/>
      <c r="BK45"/>
      <c r="BL45"/>
      <c r="BM45"/>
      <c r="BN45"/>
      <c r="BO45"/>
      <c r="BP45"/>
      <c r="BQ45"/>
      <c r="BR45"/>
      <c r="BS45"/>
      <c r="BT45"/>
      <c r="BU45"/>
      <c r="BV45"/>
      <c r="BW45"/>
      <c r="BX45"/>
      <c r="BY45"/>
      <c r="BZ45"/>
      <c r="CA45"/>
      <c r="CB45"/>
      <c r="CC45"/>
    </row>
    <row r="46" spans="2:81" ht="30" customHeight="1">
      <c r="B46" s="771"/>
      <c r="C46" s="1427" t="s">
        <v>30</v>
      </c>
      <c r="D46" s="1428"/>
      <c r="E46" s="804" t="s">
        <v>2177</v>
      </c>
      <c r="F46" s="778" t="s">
        <v>2178</v>
      </c>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779"/>
      <c r="AE46" s="806" t="s">
        <v>2127</v>
      </c>
      <c r="AF46" s="780"/>
      <c r="AG46" s="807">
        <f>IF(COUNTIF(F48,"*Nm3")&gt;0,1,G46/101.325*273.15/(273.15+G47))</f>
        <v>0</v>
      </c>
      <c r="AH46" s="807">
        <f>IF(COUNTIF(F48,"*Nm3")&gt;0,1,H46/101.325*273.15/(273.15+H47))</f>
        <v>0</v>
      </c>
      <c r="AI46" s="807">
        <f>IF(COUNTIF(F48,"*Nm3")&gt;0,1,I46/101.325*273.15/(273.15+I47))</f>
        <v>0</v>
      </c>
      <c r="AJ46" s="807">
        <f>IF(COUNTIF(F48,"*Nm3")&gt;0,1,J46/101.325*273.15/(273.15+J47))</f>
        <v>0</v>
      </c>
      <c r="AK46" s="807">
        <f>IF(COUNTIF(F48,"*Nm3")&gt;0,1,K46/101.325*273.15/(273.15+K47))</f>
        <v>0</v>
      </c>
      <c r="AL46" s="807">
        <f>IF(COUNTIF(F48,"*Nm3")&gt;0,1,L46/101.325*273.15/(273.15+L47))</f>
        <v>0</v>
      </c>
      <c r="AM46" s="807">
        <f>IF(COUNTIF(F48,"*Nm3")&gt;0,1,M46/101.325*273.15/(273.15+M47))</f>
        <v>0</v>
      </c>
      <c r="AN46" s="807">
        <f>IF(COUNTIF(F48,"*Nm3")&gt;0,1,N46/101.325*273.15/(273.15+N47))</f>
        <v>0</v>
      </c>
      <c r="AO46" s="807">
        <f>IF(COUNTIF(F48,"*Nm3")&gt;0,1,O46/101.325*273.15/(273.15+O47))</f>
        <v>0</v>
      </c>
      <c r="AP46" s="807">
        <f>IF(COUNTIF(F48,"*Nm3")&gt;0,1,P46/101.325*273.15/(273.15+P47))</f>
        <v>0</v>
      </c>
      <c r="AQ46" s="807">
        <f>IF(COUNTIF(F48,"*Nm3")&gt;0,1,Q46/101.325*273.15/(273.15+Q47))</f>
        <v>0</v>
      </c>
      <c r="AR46" s="807">
        <f>IF(COUNTIF(F48,"*Nm3")&gt;0,1,R46/101.325*273.15/(273.15+R47))</f>
        <v>0</v>
      </c>
      <c r="AS46" s="807">
        <f t="shared" ref="AS46:BC46" si="19">IF(COUNTIF(F48,"*Nm3")&gt;0,1,S46/101.325*273.15/(273.15+S47))</f>
        <v>0</v>
      </c>
      <c r="AT46" s="807">
        <f t="shared" si="19"/>
        <v>0</v>
      </c>
      <c r="AU46" s="807">
        <f t="shared" si="19"/>
        <v>0</v>
      </c>
      <c r="AV46" s="807">
        <f t="shared" si="19"/>
        <v>0</v>
      </c>
      <c r="AW46" s="807">
        <f t="shared" si="19"/>
        <v>0</v>
      </c>
      <c r="AX46" s="807">
        <f t="shared" si="19"/>
        <v>0</v>
      </c>
      <c r="AY46" s="807">
        <f t="shared" si="19"/>
        <v>0</v>
      </c>
      <c r="AZ46" s="807">
        <f t="shared" si="19"/>
        <v>0</v>
      </c>
      <c r="BA46" s="807">
        <f t="shared" si="19"/>
        <v>0</v>
      </c>
      <c r="BB46" s="807">
        <f t="shared" si="19"/>
        <v>0</v>
      </c>
      <c r="BC46" s="807">
        <f t="shared" si="19"/>
        <v>0</v>
      </c>
      <c r="BF46"/>
      <c r="BG46"/>
      <c r="BH46"/>
      <c r="BI46"/>
      <c r="BJ46"/>
      <c r="BK46"/>
      <c r="BL46"/>
      <c r="BM46"/>
      <c r="BN46"/>
      <c r="BO46"/>
      <c r="BP46"/>
      <c r="BQ46"/>
      <c r="BR46"/>
      <c r="BS46"/>
      <c r="BT46"/>
      <c r="BU46"/>
      <c r="BV46"/>
      <c r="BW46"/>
      <c r="BX46"/>
      <c r="BY46"/>
      <c r="BZ46"/>
      <c r="CA46"/>
      <c r="CB46"/>
      <c r="CC46"/>
    </row>
    <row r="47" spans="2:81" ht="30" customHeight="1">
      <c r="B47" s="771"/>
      <c r="C47" s="1429"/>
      <c r="D47" s="1430"/>
      <c r="E47" s="804" t="s">
        <v>2179</v>
      </c>
      <c r="F47" s="778" t="s">
        <v>2180</v>
      </c>
      <c r="G47" s="805"/>
      <c r="H47" s="805"/>
      <c r="I47" s="805"/>
      <c r="J47" s="805"/>
      <c r="K47" s="805"/>
      <c r="L47" s="805"/>
      <c r="M47" s="805"/>
      <c r="N47" s="805"/>
      <c r="O47" s="805"/>
      <c r="P47" s="805"/>
      <c r="Q47" s="805"/>
      <c r="R47" s="805"/>
      <c r="S47" s="805"/>
      <c r="T47" s="808"/>
      <c r="U47" s="808"/>
      <c r="V47" s="808"/>
      <c r="W47" s="808"/>
      <c r="X47" s="805"/>
      <c r="Y47" s="808"/>
      <c r="Z47" s="808"/>
      <c r="AA47" s="808"/>
      <c r="AB47" s="808"/>
      <c r="AC47" s="805"/>
      <c r="AD47" s="1433"/>
      <c r="AE47" s="1434"/>
      <c r="AF47" s="1434"/>
      <c r="AG47" s="1434"/>
      <c r="AH47" s="1434"/>
      <c r="AI47" s="1434"/>
      <c r="AJ47" s="1434"/>
      <c r="AK47" s="1434"/>
      <c r="AL47" s="1434"/>
      <c r="AM47" s="1434"/>
      <c r="AN47" s="1434"/>
      <c r="AO47" s="1434"/>
      <c r="AP47" s="1434"/>
      <c r="AQ47" s="1434"/>
      <c r="AR47" s="1434"/>
      <c r="AS47" s="1435"/>
      <c r="AT47" s="809"/>
      <c r="AU47" s="809"/>
      <c r="AV47" s="809"/>
      <c r="AW47" s="809"/>
      <c r="AX47" s="809"/>
      <c r="AY47" s="809"/>
      <c r="AZ47" s="809"/>
      <c r="BA47" s="809"/>
      <c r="BB47" s="809"/>
      <c r="BC47" s="813"/>
      <c r="BF47"/>
      <c r="BG47"/>
      <c r="BH47"/>
      <c r="BI47"/>
      <c r="BJ47"/>
      <c r="BK47"/>
      <c r="BL47"/>
      <c r="BM47"/>
      <c r="BN47"/>
      <c r="BO47"/>
      <c r="BP47"/>
      <c r="BQ47"/>
      <c r="BR47"/>
      <c r="BS47"/>
      <c r="BT47"/>
      <c r="BU47"/>
      <c r="BV47"/>
      <c r="BW47"/>
      <c r="BX47"/>
      <c r="BY47"/>
      <c r="BZ47"/>
      <c r="CA47"/>
      <c r="CB47"/>
      <c r="CC47"/>
    </row>
    <row r="48" spans="2:81" ht="30" customHeight="1">
      <c r="B48" s="771"/>
      <c r="C48" s="1431"/>
      <c r="D48" s="1432"/>
      <c r="E48" s="811" t="s">
        <v>75</v>
      </c>
      <c r="F48" s="782" t="s">
        <v>2154</v>
      </c>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77" t="s">
        <v>2155</v>
      </c>
      <c r="AE48" s="812" t="s">
        <v>77</v>
      </c>
      <c r="AF48" s="786">
        <f>VLOOKUP($F48,$BA$60:$BB$63,2,FALSE)</f>
        <v>1000</v>
      </c>
      <c r="AG48" s="786">
        <f>ROUND(H14_その他ガス*$AG46/$AF48,0)</f>
        <v>0</v>
      </c>
      <c r="AH48" s="786">
        <f>ROUND(H15_その他ガス*$AH46/$AF48,0)</f>
        <v>0</v>
      </c>
      <c r="AI48" s="786">
        <f>ROUND(H16_その他ガス*$AI46/$AF48,0)</f>
        <v>0</v>
      </c>
      <c r="AJ48" s="786">
        <f>ROUND(H17_その他ガス*$AJ46/$AF48,0)</f>
        <v>0</v>
      </c>
      <c r="AK48" s="786">
        <f>ROUND(H18_その他ガス*$AK46/$AF48,0)</f>
        <v>0</v>
      </c>
      <c r="AL48" s="786">
        <f>ROUND(H19_その他ガス*$AL46/$AF48,0)</f>
        <v>0</v>
      </c>
      <c r="AM48" s="786">
        <f>ROUND(H20_その他ガス*$AM46/$AF48,0)</f>
        <v>0</v>
      </c>
      <c r="AN48" s="786">
        <f>ROUND(H21_その他ガス*$AN46/$AF48,0)</f>
        <v>0</v>
      </c>
      <c r="AO48" s="786">
        <f>ROUND(H22_その他ガス*$AO46/$AF48,0)</f>
        <v>0</v>
      </c>
      <c r="AP48" s="786">
        <f>ROUND(H23_その他ガス*$AP46/$AF48,0)</f>
        <v>0</v>
      </c>
      <c r="AQ48" s="786">
        <f>ROUND(H24_その他ガス*$AQ46/$AF48,0)</f>
        <v>0</v>
      </c>
      <c r="AR48" s="786">
        <f>ROUND(H25_その他ガス*$AR46/$AF48,0)</f>
        <v>0</v>
      </c>
      <c r="AS48" s="786">
        <f>ROUND(H26_その他ガス*$AS46/$AF48,0)</f>
        <v>0</v>
      </c>
      <c r="AT48" s="786">
        <f>ROUND(H27_その他ガス*$AS46/$AF48,0)</f>
        <v>0</v>
      </c>
      <c r="AU48" s="786">
        <f>ROUND(H28_その他ガス*$AS46/$AF48,0)</f>
        <v>0</v>
      </c>
      <c r="AV48" s="786">
        <f>ROUND(H29_その他ガス*$AS46/$AF48,0)</f>
        <v>0</v>
      </c>
      <c r="AW48" s="786">
        <f>ROUND(H30_その他ガス*$AS46/$AF48,0)</f>
        <v>0</v>
      </c>
      <c r="AX48" s="786">
        <f>ROUND(H31_その他ガス*$AS46/$AF48,0)</f>
        <v>0</v>
      </c>
      <c r="AY48" s="786">
        <f>ROUND(Y48*$AS46/$AF48,0)</f>
        <v>0</v>
      </c>
      <c r="AZ48" s="786">
        <f t="shared" ref="AZ48:BC48" si="20">ROUND(Z48*$AS46/$AF48,0)</f>
        <v>0</v>
      </c>
      <c r="BA48" s="786">
        <f t="shared" si="20"/>
        <v>0</v>
      </c>
      <c r="BB48" s="786">
        <f t="shared" si="20"/>
        <v>0</v>
      </c>
      <c r="BC48" s="786">
        <f t="shared" si="20"/>
        <v>0</v>
      </c>
      <c r="BF48"/>
      <c r="BG48"/>
      <c r="BH48"/>
      <c r="BI48"/>
      <c r="BJ48"/>
      <c r="BK48"/>
      <c r="BL48"/>
      <c r="BM48"/>
      <c r="BN48"/>
      <c r="BO48"/>
      <c r="BP48"/>
      <c r="BQ48"/>
      <c r="BR48"/>
      <c r="BS48"/>
      <c r="BT48"/>
      <c r="BU48"/>
      <c r="BV48"/>
      <c r="BW48"/>
      <c r="BX48"/>
      <c r="BY48"/>
      <c r="BZ48"/>
      <c r="CA48"/>
      <c r="CB48"/>
      <c r="CC48"/>
    </row>
    <row r="49" spans="2:81" ht="17.25" customHeight="1">
      <c r="B49" s="771"/>
      <c r="C49" s="771"/>
      <c r="D49" s="771"/>
      <c r="E49" s="771"/>
      <c r="F49" s="771"/>
      <c r="AD49" s="771"/>
      <c r="BF49"/>
      <c r="BG49"/>
      <c r="BH49"/>
      <c r="BI49"/>
      <c r="BJ49"/>
      <c r="BK49"/>
      <c r="BL49"/>
      <c r="BM49"/>
      <c r="BN49"/>
      <c r="BO49"/>
      <c r="BP49"/>
      <c r="BQ49"/>
      <c r="BR49"/>
      <c r="BS49"/>
      <c r="BT49"/>
      <c r="BU49"/>
      <c r="BV49"/>
      <c r="BW49"/>
      <c r="BX49"/>
      <c r="BY49"/>
      <c r="BZ49"/>
      <c r="CA49"/>
      <c r="CB49"/>
      <c r="CC49"/>
    </row>
    <row r="50" spans="2:81" ht="18">
      <c r="B50" s="774" t="s">
        <v>2181</v>
      </c>
      <c r="C50" s="771"/>
      <c r="D50" s="771"/>
      <c r="E50" s="814"/>
      <c r="F50" s="771"/>
      <c r="O50" s="815"/>
      <c r="P50" s="815"/>
      <c r="Q50" s="815"/>
      <c r="S50" s="816"/>
      <c r="T50" s="816"/>
      <c r="U50" s="816"/>
      <c r="V50" s="816"/>
      <c r="W50" s="816"/>
      <c r="X50" s="816"/>
      <c r="Y50" s="816"/>
      <c r="Z50" s="816"/>
      <c r="AA50" s="816"/>
      <c r="AB50" s="816"/>
      <c r="AC50" s="816"/>
      <c r="BF50"/>
      <c r="BG50"/>
      <c r="BH50"/>
      <c r="BI50"/>
      <c r="BJ50"/>
      <c r="BK50"/>
      <c r="BL50"/>
      <c r="BM50"/>
      <c r="BN50"/>
      <c r="BO50"/>
      <c r="BP50"/>
      <c r="BQ50"/>
      <c r="BR50"/>
      <c r="BS50"/>
      <c r="BT50"/>
      <c r="BU50"/>
      <c r="BV50"/>
      <c r="BW50"/>
      <c r="BX50"/>
      <c r="BY50"/>
      <c r="BZ50"/>
      <c r="CA50"/>
      <c r="CB50"/>
      <c r="CC50"/>
    </row>
    <row r="51" spans="2:81" ht="18">
      <c r="B51" s="771"/>
      <c r="C51" s="771"/>
      <c r="D51" s="771"/>
      <c r="E51" s="814"/>
      <c r="F51" s="771"/>
      <c r="L51" s="1436"/>
      <c r="M51" s="1436"/>
      <c r="N51" s="1436"/>
      <c r="O51" s="1436"/>
      <c r="P51" s="817"/>
      <c r="Q51" s="817"/>
      <c r="R51" s="817"/>
      <c r="S51" s="817"/>
      <c r="T51" s="817"/>
      <c r="U51" s="817"/>
      <c r="V51" s="817"/>
      <c r="W51" s="817"/>
      <c r="X51" s="817"/>
      <c r="Y51" s="817"/>
      <c r="Z51" s="817"/>
      <c r="AA51" s="817"/>
      <c r="AB51" s="817"/>
      <c r="AC51" s="817"/>
      <c r="BF51"/>
      <c r="BG51"/>
      <c r="BH51"/>
      <c r="BI51"/>
      <c r="BJ51"/>
      <c r="BK51"/>
      <c r="BL51"/>
      <c r="BM51"/>
      <c r="BN51"/>
      <c r="BO51"/>
      <c r="BP51"/>
      <c r="BQ51"/>
      <c r="BR51"/>
      <c r="BS51"/>
      <c r="BT51"/>
      <c r="BU51"/>
      <c r="BV51"/>
      <c r="BW51"/>
      <c r="BX51"/>
      <c r="BY51"/>
      <c r="BZ51"/>
      <c r="CA51"/>
      <c r="CB51"/>
      <c r="CC51"/>
    </row>
    <row r="52" spans="2:81" ht="24.9" customHeight="1">
      <c r="B52" s="771"/>
      <c r="C52" s="1437"/>
      <c r="D52" s="1438"/>
      <c r="E52" s="1438"/>
      <c r="F52" s="1439"/>
      <c r="G52" s="1440" t="s">
        <v>2100</v>
      </c>
      <c r="H52" s="1441"/>
      <c r="I52" s="1441"/>
      <c r="J52" s="1441"/>
      <c r="K52" s="1441"/>
      <c r="L52" s="1441"/>
      <c r="M52" s="1441"/>
      <c r="N52" s="1441"/>
      <c r="O52" s="1441"/>
      <c r="P52" s="1441"/>
      <c r="Q52" s="1441"/>
      <c r="R52" s="1441"/>
      <c r="S52" s="1441"/>
      <c r="T52" s="1441"/>
      <c r="U52" s="1441"/>
      <c r="V52" s="1441"/>
      <c r="W52" s="1441"/>
      <c r="X52" s="1441"/>
      <c r="Y52" s="1441"/>
      <c r="Z52" s="1441"/>
      <c r="AA52" s="1441"/>
      <c r="AB52" s="1441"/>
      <c r="AC52" s="1442"/>
      <c r="AD52" s="777" t="s">
        <v>2101</v>
      </c>
      <c r="AE52" s="1443"/>
      <c r="AF52" s="1443"/>
      <c r="AG52" s="1444" t="s">
        <v>2102</v>
      </c>
      <c r="AH52" s="1445"/>
      <c r="AI52" s="1445"/>
      <c r="AJ52" s="1445"/>
      <c r="AK52" s="1445"/>
      <c r="AL52" s="1445"/>
      <c r="AM52" s="1445"/>
      <c r="AN52" s="1445"/>
      <c r="AO52" s="1445"/>
      <c r="AP52" s="1445"/>
      <c r="AQ52" s="1445"/>
      <c r="AR52" s="1445"/>
      <c r="AS52" s="1445"/>
      <c r="AT52" s="1445"/>
      <c r="AU52" s="1445"/>
      <c r="AV52" s="1445"/>
      <c r="AW52" s="1445"/>
      <c r="AX52" s="1445"/>
      <c r="AY52" s="1445"/>
      <c r="AZ52" s="1445"/>
      <c r="BA52" s="1445"/>
      <c r="BB52" s="1445"/>
      <c r="BC52" s="1446"/>
      <c r="BF52"/>
      <c r="BG52"/>
      <c r="BH52"/>
      <c r="BI52"/>
      <c r="BJ52"/>
      <c r="BK52"/>
      <c r="BL52"/>
      <c r="BM52"/>
      <c r="BN52"/>
      <c r="BO52"/>
      <c r="BP52"/>
      <c r="BQ52"/>
      <c r="BR52"/>
      <c r="BS52"/>
      <c r="BT52"/>
      <c r="BU52"/>
      <c r="BV52"/>
      <c r="BW52"/>
      <c r="BX52"/>
      <c r="BY52"/>
      <c r="BZ52"/>
      <c r="CA52"/>
      <c r="CB52"/>
      <c r="CC52"/>
    </row>
    <row r="53" spans="2:81" ht="24.9" customHeight="1">
      <c r="B53" s="771"/>
      <c r="C53" s="1421"/>
      <c r="D53" s="1422"/>
      <c r="E53" s="1423"/>
      <c r="F53" s="778" t="s">
        <v>69</v>
      </c>
      <c r="G53" s="818" t="s">
        <v>2128</v>
      </c>
      <c r="H53" s="818" t="s">
        <v>2129</v>
      </c>
      <c r="I53" s="818" t="s">
        <v>2130</v>
      </c>
      <c r="J53" s="818" t="s">
        <v>2131</v>
      </c>
      <c r="K53" s="818" t="s">
        <v>2132</v>
      </c>
      <c r="L53" s="818" t="s">
        <v>2133</v>
      </c>
      <c r="M53" s="818" t="s">
        <v>2134</v>
      </c>
      <c r="N53" s="818" t="s">
        <v>2135</v>
      </c>
      <c r="O53" s="818" t="s">
        <v>2136</v>
      </c>
      <c r="P53" s="818" t="s">
        <v>2137</v>
      </c>
      <c r="Q53" s="818" t="s">
        <v>2138</v>
      </c>
      <c r="R53" s="818" t="s">
        <v>2139</v>
      </c>
      <c r="S53" s="818" t="s">
        <v>2140</v>
      </c>
      <c r="T53" s="818" t="s">
        <v>2141</v>
      </c>
      <c r="U53" s="818" t="s">
        <v>2142</v>
      </c>
      <c r="V53" s="818" t="s">
        <v>2143</v>
      </c>
      <c r="W53" s="818" t="s">
        <v>2144</v>
      </c>
      <c r="X53" s="779" t="s">
        <v>2167</v>
      </c>
      <c r="Y53" s="779" t="s">
        <v>2146</v>
      </c>
      <c r="Z53" s="779" t="s">
        <v>2147</v>
      </c>
      <c r="AA53" s="779" t="s">
        <v>2148</v>
      </c>
      <c r="AB53" s="779" t="s">
        <v>2149</v>
      </c>
      <c r="AC53" s="779" t="s">
        <v>2150</v>
      </c>
      <c r="AD53" s="779" t="s">
        <v>69</v>
      </c>
      <c r="AE53" s="780"/>
      <c r="AF53" s="780" t="s">
        <v>77</v>
      </c>
      <c r="AG53" s="779" t="s">
        <v>2128</v>
      </c>
      <c r="AH53" s="779" t="s">
        <v>2129</v>
      </c>
      <c r="AI53" s="779" t="s">
        <v>2130</v>
      </c>
      <c r="AJ53" s="779" t="s">
        <v>2131</v>
      </c>
      <c r="AK53" s="779" t="s">
        <v>2132</v>
      </c>
      <c r="AL53" s="779" t="s">
        <v>2133</v>
      </c>
      <c r="AM53" s="779" t="s">
        <v>2134</v>
      </c>
      <c r="AN53" s="779" t="s">
        <v>2135</v>
      </c>
      <c r="AO53" s="779" t="s">
        <v>2136</v>
      </c>
      <c r="AP53" s="779" t="s">
        <v>2137</v>
      </c>
      <c r="AQ53" s="779" t="s">
        <v>2138</v>
      </c>
      <c r="AR53" s="779" t="s">
        <v>2139</v>
      </c>
      <c r="AS53" s="779" t="s">
        <v>2140</v>
      </c>
      <c r="AT53" s="779" t="s">
        <v>2141</v>
      </c>
      <c r="AU53" s="779" t="s">
        <v>2142</v>
      </c>
      <c r="AV53" s="779" t="s">
        <v>2143</v>
      </c>
      <c r="AW53" s="779" t="s">
        <v>2144</v>
      </c>
      <c r="AX53" s="779" t="s">
        <v>2167</v>
      </c>
      <c r="AY53" s="779" t="s">
        <v>2146</v>
      </c>
      <c r="AZ53" s="779" t="s">
        <v>2147</v>
      </c>
      <c r="BA53" s="779" t="s">
        <v>2148</v>
      </c>
      <c r="BB53" s="779" t="s">
        <v>2149</v>
      </c>
      <c r="BC53" s="779" t="s">
        <v>2150</v>
      </c>
      <c r="BF53"/>
      <c r="BG53"/>
      <c r="BH53"/>
      <c r="BI53"/>
      <c r="BJ53"/>
      <c r="BK53"/>
      <c r="BL53"/>
      <c r="BM53"/>
      <c r="BN53"/>
      <c r="BO53"/>
      <c r="BP53"/>
      <c r="BQ53"/>
      <c r="BR53"/>
      <c r="BS53"/>
      <c r="BT53"/>
      <c r="BU53"/>
      <c r="BV53"/>
      <c r="BW53"/>
      <c r="BX53"/>
      <c r="BY53"/>
      <c r="BZ53"/>
      <c r="CA53"/>
      <c r="CB53"/>
      <c r="CC53"/>
    </row>
    <row r="54" spans="2:81" ht="24.9" customHeight="1">
      <c r="B54" s="771"/>
      <c r="C54" s="1424" t="s">
        <v>2182</v>
      </c>
      <c r="D54" s="1424" t="s">
        <v>2183</v>
      </c>
      <c r="E54" s="781" t="s">
        <v>2184</v>
      </c>
      <c r="F54" s="819" t="s">
        <v>2185</v>
      </c>
      <c r="G54" s="784"/>
      <c r="H54" s="784"/>
      <c r="I54" s="784"/>
      <c r="J54" s="784"/>
      <c r="K54" s="784"/>
      <c r="L54" s="784"/>
      <c r="M54" s="784"/>
      <c r="N54" s="784"/>
      <c r="O54" s="784"/>
      <c r="P54" s="784"/>
      <c r="Q54" s="784"/>
      <c r="R54" s="784"/>
      <c r="S54" s="784"/>
      <c r="T54" s="784"/>
      <c r="U54" s="784"/>
      <c r="V54" s="784"/>
      <c r="W54" s="784"/>
      <c r="X54" s="784"/>
      <c r="Y54" s="784"/>
      <c r="Z54" s="784"/>
      <c r="AA54" s="784"/>
      <c r="AB54" s="784"/>
      <c r="AC54" s="784"/>
      <c r="AD54" s="777" t="s">
        <v>2186</v>
      </c>
      <c r="AE54" s="785" t="s">
        <v>77</v>
      </c>
      <c r="AF54" s="786">
        <f>VLOOKUP($F54,$BA$64:$BB$65,2,FALSE)/VLOOKUP($AD54,$BA$64:$BB$65,2,FALSE)</f>
        <v>1000</v>
      </c>
      <c r="AG54" s="787">
        <f t="shared" ref="AG54:BC54" si="21">ROUND(G54/$AF54,0)</f>
        <v>0</v>
      </c>
      <c r="AH54" s="787">
        <f t="shared" si="21"/>
        <v>0</v>
      </c>
      <c r="AI54" s="787">
        <f t="shared" si="21"/>
        <v>0</v>
      </c>
      <c r="AJ54" s="787">
        <f t="shared" si="21"/>
        <v>0</v>
      </c>
      <c r="AK54" s="787">
        <f t="shared" si="21"/>
        <v>0</v>
      </c>
      <c r="AL54" s="787">
        <f t="shared" si="21"/>
        <v>0</v>
      </c>
      <c r="AM54" s="787">
        <f t="shared" si="21"/>
        <v>0</v>
      </c>
      <c r="AN54" s="787">
        <f t="shared" si="21"/>
        <v>0</v>
      </c>
      <c r="AO54" s="787">
        <f t="shared" si="21"/>
        <v>0</v>
      </c>
      <c r="AP54" s="787">
        <f t="shared" si="21"/>
        <v>0</v>
      </c>
      <c r="AQ54" s="787">
        <f t="shared" si="21"/>
        <v>0</v>
      </c>
      <c r="AR54" s="787">
        <f t="shared" si="21"/>
        <v>0</v>
      </c>
      <c r="AS54" s="787">
        <f t="shared" si="21"/>
        <v>0</v>
      </c>
      <c r="AT54" s="787">
        <f t="shared" si="21"/>
        <v>0</v>
      </c>
      <c r="AU54" s="787">
        <f t="shared" si="21"/>
        <v>0</v>
      </c>
      <c r="AV54" s="787">
        <f t="shared" si="21"/>
        <v>0</v>
      </c>
      <c r="AW54" s="787">
        <f t="shared" si="21"/>
        <v>0</v>
      </c>
      <c r="AX54" s="787">
        <f t="shared" si="21"/>
        <v>0</v>
      </c>
      <c r="AY54" s="787">
        <f t="shared" si="21"/>
        <v>0</v>
      </c>
      <c r="AZ54" s="787">
        <f t="shared" si="21"/>
        <v>0</v>
      </c>
      <c r="BA54" s="787">
        <f t="shared" si="21"/>
        <v>0</v>
      </c>
      <c r="BB54" s="787">
        <f t="shared" si="21"/>
        <v>0</v>
      </c>
      <c r="BC54" s="787">
        <f t="shared" si="21"/>
        <v>0</v>
      </c>
      <c r="BF54"/>
      <c r="BG54"/>
      <c r="BH54"/>
      <c r="BI54"/>
      <c r="BJ54"/>
      <c r="BK54"/>
      <c r="BL54"/>
      <c r="BM54"/>
      <c r="BN54"/>
      <c r="BO54"/>
      <c r="BP54"/>
      <c r="BQ54"/>
      <c r="BR54"/>
      <c r="BS54"/>
      <c r="BT54"/>
      <c r="BU54"/>
      <c r="BV54"/>
      <c r="BW54"/>
      <c r="BX54"/>
      <c r="BY54"/>
      <c r="BZ54"/>
      <c r="CA54"/>
      <c r="CB54"/>
      <c r="CC54"/>
    </row>
    <row r="55" spans="2:81" ht="24.9" customHeight="1">
      <c r="B55" s="771"/>
      <c r="C55" s="1425"/>
      <c r="D55" s="1426"/>
      <c r="E55" s="781" t="s">
        <v>235</v>
      </c>
      <c r="F55" s="820" t="s">
        <v>2187</v>
      </c>
      <c r="G55" s="821"/>
      <c r="H55" s="821"/>
      <c r="I55" s="821"/>
      <c r="J55" s="821"/>
      <c r="K55" s="821"/>
      <c r="L55" s="821"/>
      <c r="M55" s="821"/>
      <c r="N55" s="821"/>
      <c r="O55" s="821"/>
      <c r="P55" s="821"/>
      <c r="Q55" s="821"/>
      <c r="R55" s="821"/>
      <c r="S55" s="821"/>
      <c r="T55" s="821"/>
      <c r="U55" s="821"/>
      <c r="V55" s="821"/>
      <c r="W55" s="821"/>
      <c r="X55" s="821"/>
      <c r="Y55" s="821"/>
      <c r="Z55" s="821"/>
      <c r="AA55" s="821"/>
      <c r="AB55" s="821"/>
      <c r="AC55" s="821"/>
      <c r="AD55" s="777"/>
      <c r="AE55" s="785" t="s">
        <v>2188</v>
      </c>
      <c r="AF55" s="786"/>
      <c r="AG55" s="787">
        <f t="shared" ref="AG55:BC55" si="22">AG54*G55</f>
        <v>0</v>
      </c>
      <c r="AH55" s="787">
        <f t="shared" si="22"/>
        <v>0</v>
      </c>
      <c r="AI55" s="787">
        <f t="shared" si="22"/>
        <v>0</v>
      </c>
      <c r="AJ55" s="787">
        <f t="shared" si="22"/>
        <v>0</v>
      </c>
      <c r="AK55" s="787">
        <f t="shared" si="22"/>
        <v>0</v>
      </c>
      <c r="AL55" s="787">
        <f t="shared" si="22"/>
        <v>0</v>
      </c>
      <c r="AM55" s="787">
        <f t="shared" si="22"/>
        <v>0</v>
      </c>
      <c r="AN55" s="787">
        <f t="shared" si="22"/>
        <v>0</v>
      </c>
      <c r="AO55" s="787">
        <f t="shared" si="22"/>
        <v>0</v>
      </c>
      <c r="AP55" s="787">
        <f t="shared" si="22"/>
        <v>0</v>
      </c>
      <c r="AQ55" s="787">
        <f t="shared" si="22"/>
        <v>0</v>
      </c>
      <c r="AR55" s="787">
        <f t="shared" si="22"/>
        <v>0</v>
      </c>
      <c r="AS55" s="787">
        <f t="shared" si="22"/>
        <v>0</v>
      </c>
      <c r="AT55" s="787">
        <f t="shared" si="22"/>
        <v>0</v>
      </c>
      <c r="AU55" s="787">
        <f t="shared" si="22"/>
        <v>0</v>
      </c>
      <c r="AV55" s="787">
        <f t="shared" si="22"/>
        <v>0</v>
      </c>
      <c r="AW55" s="787">
        <f t="shared" si="22"/>
        <v>0</v>
      </c>
      <c r="AX55" s="787">
        <f t="shared" si="22"/>
        <v>0</v>
      </c>
      <c r="AY55" s="787">
        <f t="shared" si="22"/>
        <v>0</v>
      </c>
      <c r="AZ55" s="787">
        <f t="shared" si="22"/>
        <v>0</v>
      </c>
      <c r="BA55" s="787">
        <f t="shared" si="22"/>
        <v>0</v>
      </c>
      <c r="BB55" s="787">
        <f t="shared" si="22"/>
        <v>0</v>
      </c>
      <c r="BC55" s="787">
        <f t="shared" si="22"/>
        <v>0</v>
      </c>
      <c r="BF55"/>
      <c r="BG55"/>
      <c r="BH55"/>
      <c r="BI55"/>
      <c r="BJ55"/>
      <c r="BK55"/>
      <c r="BL55"/>
      <c r="BM55"/>
      <c r="BN55"/>
      <c r="BO55"/>
      <c r="BP55"/>
      <c r="BQ55"/>
      <c r="BR55"/>
      <c r="BS55"/>
      <c r="BT55"/>
      <c r="BU55"/>
      <c r="BV55"/>
      <c r="BW55"/>
      <c r="BX55"/>
      <c r="BY55"/>
      <c r="BZ55"/>
      <c r="CA55"/>
      <c r="CB55"/>
      <c r="CC55"/>
    </row>
    <row r="56" spans="2:81" ht="24.9" customHeight="1">
      <c r="B56" s="771"/>
      <c r="C56" s="1425"/>
      <c r="D56" s="1424" t="s">
        <v>2189</v>
      </c>
      <c r="E56" s="781" t="s">
        <v>2190</v>
      </c>
      <c r="F56" s="819" t="s">
        <v>2191</v>
      </c>
      <c r="G56" s="784"/>
      <c r="H56" s="784"/>
      <c r="I56" s="784"/>
      <c r="J56" s="784"/>
      <c r="K56" s="784"/>
      <c r="L56" s="784"/>
      <c r="M56" s="784"/>
      <c r="N56" s="784"/>
      <c r="O56" s="784"/>
      <c r="P56" s="784"/>
      <c r="Q56" s="784"/>
      <c r="R56" s="784"/>
      <c r="S56" s="784"/>
      <c r="T56" s="784"/>
      <c r="U56" s="784"/>
      <c r="V56" s="784"/>
      <c r="W56" s="784"/>
      <c r="X56" s="784"/>
      <c r="Y56" s="784"/>
      <c r="Z56" s="784"/>
      <c r="AA56" s="784"/>
      <c r="AB56" s="784"/>
      <c r="AC56" s="784"/>
      <c r="AD56" s="777" t="s">
        <v>7</v>
      </c>
      <c r="AE56" s="785" t="s">
        <v>77</v>
      </c>
      <c r="AF56" s="786">
        <f>VLOOKUP($F56,$BA$66:$BB$67,2,FALSE)/VLOOKUP($AD56,$BA$66:$BB$67,2,FALSE)</f>
        <v>1000</v>
      </c>
      <c r="AG56" s="787">
        <f t="shared" ref="AG56:BC56" si="23">ROUND(G56/$AF56,0)</f>
        <v>0</v>
      </c>
      <c r="AH56" s="787">
        <f t="shared" si="23"/>
        <v>0</v>
      </c>
      <c r="AI56" s="787">
        <f t="shared" si="23"/>
        <v>0</v>
      </c>
      <c r="AJ56" s="787">
        <f t="shared" si="23"/>
        <v>0</v>
      </c>
      <c r="AK56" s="787">
        <f t="shared" si="23"/>
        <v>0</v>
      </c>
      <c r="AL56" s="787">
        <f t="shared" si="23"/>
        <v>0</v>
      </c>
      <c r="AM56" s="787">
        <f t="shared" si="23"/>
        <v>0</v>
      </c>
      <c r="AN56" s="787">
        <f t="shared" si="23"/>
        <v>0</v>
      </c>
      <c r="AO56" s="787">
        <f t="shared" si="23"/>
        <v>0</v>
      </c>
      <c r="AP56" s="787">
        <f t="shared" si="23"/>
        <v>0</v>
      </c>
      <c r="AQ56" s="787">
        <f t="shared" si="23"/>
        <v>0</v>
      </c>
      <c r="AR56" s="787">
        <f t="shared" si="23"/>
        <v>0</v>
      </c>
      <c r="AS56" s="787">
        <f t="shared" si="23"/>
        <v>0</v>
      </c>
      <c r="AT56" s="787">
        <f t="shared" si="23"/>
        <v>0</v>
      </c>
      <c r="AU56" s="787">
        <f t="shared" si="23"/>
        <v>0</v>
      </c>
      <c r="AV56" s="787">
        <f t="shared" si="23"/>
        <v>0</v>
      </c>
      <c r="AW56" s="787">
        <f t="shared" si="23"/>
        <v>0</v>
      </c>
      <c r="AX56" s="787">
        <f t="shared" si="23"/>
        <v>0</v>
      </c>
      <c r="AY56" s="787">
        <f t="shared" si="23"/>
        <v>0</v>
      </c>
      <c r="AZ56" s="787">
        <f t="shared" si="23"/>
        <v>0</v>
      </c>
      <c r="BA56" s="787">
        <f t="shared" si="23"/>
        <v>0</v>
      </c>
      <c r="BB56" s="787">
        <f t="shared" si="23"/>
        <v>0</v>
      </c>
      <c r="BC56" s="787">
        <f t="shared" si="23"/>
        <v>0</v>
      </c>
      <c r="BF56"/>
      <c r="BG56"/>
      <c r="BH56"/>
      <c r="BI56"/>
      <c r="BJ56"/>
      <c r="BK56"/>
      <c r="BL56"/>
      <c r="BM56"/>
      <c r="BN56"/>
      <c r="BO56"/>
      <c r="BP56"/>
      <c r="BQ56"/>
      <c r="BR56"/>
      <c r="BS56"/>
      <c r="BT56"/>
      <c r="BU56"/>
      <c r="BV56"/>
      <c r="BW56"/>
      <c r="BX56"/>
      <c r="BY56"/>
      <c r="BZ56"/>
      <c r="CA56"/>
      <c r="CB56"/>
      <c r="CC56"/>
    </row>
    <row r="57" spans="2:81" ht="24.9" customHeight="1">
      <c r="B57" s="771"/>
      <c r="C57" s="1426"/>
      <c r="D57" s="1426"/>
      <c r="E57" s="781" t="s">
        <v>235</v>
      </c>
      <c r="F57" s="820" t="s">
        <v>2192</v>
      </c>
      <c r="G57" s="822"/>
      <c r="H57" s="822"/>
      <c r="I57" s="822"/>
      <c r="J57" s="822"/>
      <c r="K57" s="822"/>
      <c r="L57" s="822"/>
      <c r="M57" s="822"/>
      <c r="N57" s="822"/>
      <c r="O57" s="822"/>
      <c r="P57" s="822"/>
      <c r="Q57" s="822"/>
      <c r="R57" s="822"/>
      <c r="S57" s="822"/>
      <c r="T57" s="822"/>
      <c r="U57" s="822"/>
      <c r="V57" s="822"/>
      <c r="W57" s="822"/>
      <c r="X57" s="822"/>
      <c r="Y57" s="822"/>
      <c r="Z57" s="822"/>
      <c r="AA57" s="822"/>
      <c r="AB57" s="822"/>
      <c r="AC57" s="822"/>
      <c r="AD57" s="777"/>
      <c r="AE57" s="785" t="s">
        <v>2188</v>
      </c>
      <c r="AF57" s="786"/>
      <c r="AG57" s="787">
        <f t="shared" ref="AG57:BC57" si="24">AG56*G57</f>
        <v>0</v>
      </c>
      <c r="AH57" s="787">
        <f t="shared" si="24"/>
        <v>0</v>
      </c>
      <c r="AI57" s="787">
        <f t="shared" si="24"/>
        <v>0</v>
      </c>
      <c r="AJ57" s="787">
        <f t="shared" si="24"/>
        <v>0</v>
      </c>
      <c r="AK57" s="787">
        <f t="shared" si="24"/>
        <v>0</v>
      </c>
      <c r="AL57" s="787">
        <f t="shared" si="24"/>
        <v>0</v>
      </c>
      <c r="AM57" s="787">
        <f t="shared" si="24"/>
        <v>0</v>
      </c>
      <c r="AN57" s="787">
        <f t="shared" si="24"/>
        <v>0</v>
      </c>
      <c r="AO57" s="787">
        <f t="shared" si="24"/>
        <v>0</v>
      </c>
      <c r="AP57" s="787">
        <f t="shared" si="24"/>
        <v>0</v>
      </c>
      <c r="AQ57" s="787">
        <f t="shared" si="24"/>
        <v>0</v>
      </c>
      <c r="AR57" s="787">
        <f t="shared" si="24"/>
        <v>0</v>
      </c>
      <c r="AS57" s="787">
        <f t="shared" si="24"/>
        <v>0</v>
      </c>
      <c r="AT57" s="787">
        <f t="shared" si="24"/>
        <v>0</v>
      </c>
      <c r="AU57" s="787">
        <f t="shared" si="24"/>
        <v>0</v>
      </c>
      <c r="AV57" s="787">
        <f t="shared" si="24"/>
        <v>0</v>
      </c>
      <c r="AW57" s="787">
        <f t="shared" si="24"/>
        <v>0</v>
      </c>
      <c r="AX57" s="787">
        <f t="shared" si="24"/>
        <v>0</v>
      </c>
      <c r="AY57" s="787">
        <f t="shared" si="24"/>
        <v>0</v>
      </c>
      <c r="AZ57" s="787">
        <f t="shared" si="24"/>
        <v>0</v>
      </c>
      <c r="BA57" s="787">
        <f t="shared" si="24"/>
        <v>0</v>
      </c>
      <c r="BB57" s="787">
        <f t="shared" si="24"/>
        <v>0</v>
      </c>
      <c r="BC57" s="787">
        <f t="shared" si="24"/>
        <v>0</v>
      </c>
      <c r="BF57"/>
      <c r="BG57"/>
      <c r="BH57"/>
      <c r="BI57"/>
      <c r="BJ57"/>
      <c r="BK57"/>
      <c r="BL57"/>
      <c r="BM57"/>
      <c r="BN57"/>
      <c r="BO57"/>
      <c r="BP57"/>
      <c r="BQ57"/>
      <c r="BR57"/>
      <c r="BS57"/>
      <c r="BT57"/>
      <c r="BU57"/>
      <c r="BV57"/>
      <c r="BW57"/>
      <c r="BX57"/>
      <c r="BY57"/>
      <c r="BZ57"/>
      <c r="CA57"/>
      <c r="CB57"/>
      <c r="CC57"/>
    </row>
    <row r="58" spans="2:81">
      <c r="AL58" s="823"/>
      <c r="AM58" s="823"/>
      <c r="AQ58" s="823"/>
      <c r="BA58" s="802" t="s">
        <v>2193</v>
      </c>
      <c r="BB58" s="802">
        <v>1000</v>
      </c>
    </row>
    <row r="59" spans="2:81">
      <c r="AL59" s="823"/>
      <c r="AM59" s="823"/>
      <c r="AQ59" s="823"/>
      <c r="BA59" s="824" t="s">
        <v>194</v>
      </c>
      <c r="BB59" s="802">
        <v>1</v>
      </c>
    </row>
    <row r="60" spans="2:81" ht="15.5">
      <c r="AL60" s="823"/>
      <c r="AM60" s="823"/>
      <c r="AQ60" s="823"/>
      <c r="BA60" s="802" t="s">
        <v>2194</v>
      </c>
      <c r="BB60" s="802">
        <v>1000</v>
      </c>
    </row>
    <row r="61" spans="2:81" ht="14">
      <c r="AL61" s="823"/>
      <c r="AM61" s="823"/>
      <c r="AQ61" s="823"/>
      <c r="BA61" s="802" t="s">
        <v>2195</v>
      </c>
      <c r="BB61" s="802">
        <v>1</v>
      </c>
    </row>
    <row r="62" spans="2:81">
      <c r="BA62" s="802" t="s">
        <v>2196</v>
      </c>
      <c r="BB62" s="802">
        <v>1000</v>
      </c>
    </row>
    <row r="63" spans="2:81">
      <c r="BA63" s="802" t="s">
        <v>2197</v>
      </c>
      <c r="BB63" s="802">
        <v>1</v>
      </c>
    </row>
    <row r="64" spans="2:81">
      <c r="BA64" s="802" t="s">
        <v>2185</v>
      </c>
      <c r="BB64" s="802">
        <v>1000</v>
      </c>
    </row>
    <row r="65" spans="53:56">
      <c r="BA65" s="802" t="s">
        <v>2198</v>
      </c>
      <c r="BB65" s="802">
        <v>1</v>
      </c>
    </row>
    <row r="66" spans="53:56">
      <c r="BA66" s="802" t="s">
        <v>2191</v>
      </c>
      <c r="BB66" s="802">
        <v>1000</v>
      </c>
    </row>
    <row r="67" spans="53:56">
      <c r="BA67" s="802" t="s">
        <v>2199</v>
      </c>
      <c r="BB67" s="802">
        <v>1</v>
      </c>
      <c r="BD67" s="825"/>
    </row>
    <row r="70" spans="53:56" ht="13.5" customHeight="1">
      <c r="BA70" s="772" t="s">
        <v>2200</v>
      </c>
    </row>
    <row r="71" spans="53:56">
      <c r="BA71" s="802" t="s">
        <v>2153</v>
      </c>
      <c r="BB71" s="826">
        <f>ROUND((101.325+2)/101.325*273.15/(273.15+15),6)</f>
        <v>0.96665500000000004</v>
      </c>
    </row>
    <row r="72" spans="53:56">
      <c r="BA72" s="802" t="s">
        <v>2156</v>
      </c>
      <c r="BB72" s="802">
        <f>ROUND((101.325+0.981)/101.325*273.15/(273.15+15),6)</f>
        <v>0.95712200000000003</v>
      </c>
    </row>
    <row r="74" spans="53:56">
      <c r="BA74" s="799" t="s">
        <v>1</v>
      </c>
      <c r="BB74" s="790" t="s">
        <v>2201</v>
      </c>
    </row>
    <row r="75" spans="53:56">
      <c r="BA75" s="790" t="s">
        <v>2202</v>
      </c>
      <c r="BB75" s="799">
        <v>0.45800000000000002</v>
      </c>
    </row>
    <row r="76" spans="53:56">
      <c r="BA76" s="790" t="s">
        <v>2171</v>
      </c>
      <c r="BB76" s="799">
        <v>0.502</v>
      </c>
    </row>
    <row r="77" spans="53:56">
      <c r="BA77" s="790" t="s">
        <v>2172</v>
      </c>
      <c r="BB77" s="799">
        <v>0.35499999999999998</v>
      </c>
    </row>
    <row r="78" spans="53:56">
      <c r="BA78" s="790" t="s">
        <v>2203</v>
      </c>
      <c r="BB78" s="799">
        <v>0.48199999999999998</v>
      </c>
    </row>
    <row r="79" spans="53:56">
      <c r="BA79" s="790" t="s">
        <v>2204</v>
      </c>
      <c r="BB79" s="799">
        <v>0.45800000000000002</v>
      </c>
    </row>
    <row r="80" spans="53:56">
      <c r="BA80" s="790" t="s">
        <v>2205</v>
      </c>
      <c r="BB80" s="799"/>
    </row>
  </sheetData>
  <sheetProtection algorithmName="SHA-512" hashValue="xLbBmt56LzcjOr4DslcddK9OmabMGYnjN5PIPvdjOLjT6ZdUFg2W9xUmwtODMJW49AsQbd0ZvTLW7H7J8OdH1w==" saltValue="XLL5X1GIfsnyY+b+NM2SWw==" spinCount="100000" sheet="1" objects="1" scenarios="1" formatCells="0"/>
  <mergeCells count="53">
    <mergeCell ref="AG5:BC5"/>
    <mergeCell ref="C6:E6"/>
    <mergeCell ref="AE15:AF15"/>
    <mergeCell ref="N4:S4"/>
    <mergeCell ref="C5:F5"/>
    <mergeCell ref="G5:AC5"/>
    <mergeCell ref="AE5:AF5"/>
    <mergeCell ref="C28:D28"/>
    <mergeCell ref="D16:D17"/>
    <mergeCell ref="E18:AC18"/>
    <mergeCell ref="AE18:AF18"/>
    <mergeCell ref="D19:D20"/>
    <mergeCell ref="E21:AC21"/>
    <mergeCell ref="AE21:AF21"/>
    <mergeCell ref="C7:C21"/>
    <mergeCell ref="D7:D8"/>
    <mergeCell ref="E9:AC9"/>
    <mergeCell ref="AE9:AF9"/>
    <mergeCell ref="D10:D11"/>
    <mergeCell ref="E12:AC12"/>
    <mergeCell ref="AE12:AF12"/>
    <mergeCell ref="D13:D14"/>
    <mergeCell ref="E15:AC15"/>
    <mergeCell ref="C25:F25"/>
    <mergeCell ref="G25:AC25"/>
    <mergeCell ref="AG25:BC25"/>
    <mergeCell ref="C26:D26"/>
    <mergeCell ref="C27:D27"/>
    <mergeCell ref="C29:D29"/>
    <mergeCell ref="C30:D30"/>
    <mergeCell ref="C31:D31"/>
    <mergeCell ref="E31:AC31"/>
    <mergeCell ref="C35:F35"/>
    <mergeCell ref="G35:AC35"/>
    <mergeCell ref="AG35:BC35"/>
    <mergeCell ref="C36:E36"/>
    <mergeCell ref="C37:D39"/>
    <mergeCell ref="AD38:AS38"/>
    <mergeCell ref="C40:D42"/>
    <mergeCell ref="AD41:AS41"/>
    <mergeCell ref="AD44:AS44"/>
    <mergeCell ref="C46:D48"/>
    <mergeCell ref="AD47:AS47"/>
    <mergeCell ref="L51:O51"/>
    <mergeCell ref="C52:F52"/>
    <mergeCell ref="G52:AC52"/>
    <mergeCell ref="AE52:AF52"/>
    <mergeCell ref="AG52:BC52"/>
    <mergeCell ref="C53:E53"/>
    <mergeCell ref="C54:C57"/>
    <mergeCell ref="D54:D55"/>
    <mergeCell ref="D56:D57"/>
    <mergeCell ref="C43:D45"/>
  </mergeCells>
  <phoneticPr fontId="5"/>
  <conditionalFormatting sqref="M7:AC8">
    <cfRule type="containsBlanks" dxfId="99" priority="7">
      <formula>LEN(TRIM(M7))=0</formula>
    </cfRule>
  </conditionalFormatting>
  <conditionalFormatting sqref="M10:AC11 M13:AC14 M16:AC17">
    <cfRule type="containsBlanks" dxfId="98" priority="6">
      <formula>LEN(TRIM(M10))=0</formula>
    </cfRule>
  </conditionalFormatting>
  <conditionalFormatting sqref="M19:AC20">
    <cfRule type="containsBlanks" dxfId="97" priority="5">
      <formula>LEN(TRIM(M19))=0</formula>
    </cfRule>
  </conditionalFormatting>
  <conditionalFormatting sqref="M27:AC30">
    <cfRule type="containsBlanks" dxfId="96" priority="1">
      <formula>LEN(TRIM(M27))=0</formula>
    </cfRule>
  </conditionalFormatting>
  <conditionalFormatting sqref="M37:AC48">
    <cfRule type="containsBlanks" dxfId="95" priority="3">
      <formula>LEN(TRIM(M37))=0</formula>
    </cfRule>
  </conditionalFormatting>
  <conditionalFormatting sqref="M54:AC57">
    <cfRule type="containsBlanks" dxfId="94" priority="2">
      <formula>LEN(TRIM(M54))=0</formula>
    </cfRule>
  </conditionalFormatting>
  <dataValidations disablePrompts="1" count="4">
    <dataValidation type="list" allowBlank="1" showInputMessage="1" showErrorMessage="1" sqref="F56" xr:uid="{25AE5744-8674-4EE3-815B-A629141B2640}">
      <formula1>$BA$66:$BA$67</formula1>
    </dataValidation>
    <dataValidation type="list" allowBlank="1" showInputMessage="1" showErrorMessage="1" sqref="F7:F8 F48 F45 F39 F16:F17 F13:F14 F10:F11 F42 F19:F20" xr:uid="{9D21AB78-B890-4FA7-89D7-970733E38E23}">
      <formula1>$BA$60:$BA$63</formula1>
    </dataValidation>
    <dataValidation type="list" allowBlank="1" showInputMessage="1" showErrorMessage="1" sqref="F27:F30" xr:uid="{179372A4-094D-4E62-895B-977A732268C0}">
      <formula1>$BA$58:$BA$61</formula1>
    </dataValidation>
    <dataValidation type="list" allowBlank="1" showInputMessage="1" showErrorMessage="1" sqref="F54" xr:uid="{8D6E9009-6F1E-495D-8FB7-8671563FAD16}">
      <formula1>$BA$64:$BA$65</formula1>
    </dataValidation>
  </dataValidations>
  <pageMargins left="0.78740157480314965" right="0.59055118110236227" top="0.78740157480314965" bottom="0.59055118110236227" header="0.31496062992125984" footer="0.31496062992125984"/>
  <pageSetup paperSize="9" scale="56" fitToHeight="0" orientation="portrait" r:id="rId1"/>
  <headerFooter>
    <oddHeader>&amp;R&amp;8ver.4.01</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theme="0" tint="-0.14999847407452621"/>
  </sheetPr>
  <dimension ref="B2:G63"/>
  <sheetViews>
    <sheetView topLeftCell="A12" zoomScaleNormal="100" workbookViewId="0">
      <selection activeCell="D20" sqref="D20"/>
    </sheetView>
  </sheetViews>
  <sheetFormatPr defaultRowHeight="18"/>
  <cols>
    <col min="1" max="1" width="4" customWidth="1"/>
    <col min="2" max="2" width="40" bestFit="1" customWidth="1"/>
    <col min="3" max="3" width="40" customWidth="1"/>
    <col min="4" max="4" width="18.6640625" bestFit="1" customWidth="1"/>
    <col min="5" max="5" width="76.6640625" customWidth="1"/>
  </cols>
  <sheetData>
    <row r="2" spans="2:3">
      <c r="B2" s="120" t="s">
        <v>1622</v>
      </c>
      <c r="C2" s="120" t="s">
        <v>1623</v>
      </c>
    </row>
    <row r="3" spans="2:3">
      <c r="B3" s="123" t="s">
        <v>373</v>
      </c>
      <c r="C3" s="123">
        <v>1000</v>
      </c>
    </row>
    <row r="4" spans="2:3">
      <c r="B4" s="124" t="s">
        <v>374</v>
      </c>
      <c r="C4" s="124">
        <v>1</v>
      </c>
    </row>
    <row r="5" spans="2:3">
      <c r="B5" s="124" t="s">
        <v>372</v>
      </c>
      <c r="C5" s="124">
        <v>1000</v>
      </c>
    </row>
    <row r="6" spans="2:3">
      <c r="B6" s="124" t="s">
        <v>267</v>
      </c>
      <c r="C6" s="124">
        <v>1</v>
      </c>
    </row>
    <row r="7" spans="2:3" ht="20">
      <c r="B7" s="124" t="s">
        <v>298</v>
      </c>
      <c r="C7" s="124">
        <v>1000</v>
      </c>
    </row>
    <row r="8" spans="2:3" ht="20">
      <c r="B8" s="124" t="s">
        <v>378</v>
      </c>
      <c r="C8" s="124">
        <v>1</v>
      </c>
    </row>
    <row r="9" spans="2:3" ht="20">
      <c r="B9" s="124" t="s">
        <v>299</v>
      </c>
      <c r="C9" s="124">
        <v>1000</v>
      </c>
    </row>
    <row r="10" spans="2:3" ht="20">
      <c r="B10" s="124" t="s">
        <v>379</v>
      </c>
      <c r="C10" s="124">
        <v>1</v>
      </c>
    </row>
    <row r="11" spans="2:3">
      <c r="B11" s="124" t="s">
        <v>1872</v>
      </c>
      <c r="C11" s="124">
        <v>1000</v>
      </c>
    </row>
    <row r="12" spans="2:3">
      <c r="B12" s="124" t="s">
        <v>1873</v>
      </c>
      <c r="C12" s="124">
        <v>1</v>
      </c>
    </row>
    <row r="13" spans="2:3">
      <c r="B13" s="124" t="s">
        <v>1874</v>
      </c>
      <c r="C13" s="124">
        <v>1000</v>
      </c>
    </row>
    <row r="14" spans="2:3">
      <c r="B14" s="124" t="s">
        <v>1875</v>
      </c>
      <c r="C14" s="124">
        <v>1</v>
      </c>
    </row>
    <row r="15" spans="2:3" ht="20">
      <c r="B15" s="124" t="s">
        <v>380</v>
      </c>
      <c r="C15" s="124">
        <v>1000</v>
      </c>
    </row>
    <row r="16" spans="2:3" ht="20">
      <c r="B16" s="127" t="s">
        <v>381</v>
      </c>
      <c r="C16" s="127">
        <v>1</v>
      </c>
    </row>
    <row r="18" spans="2:5">
      <c r="B18" s="169" t="s">
        <v>205</v>
      </c>
      <c r="C18" s="169" t="s">
        <v>208</v>
      </c>
      <c r="D18" s="169" t="s">
        <v>1615</v>
      </c>
      <c r="E18" s="169" t="s">
        <v>1616</v>
      </c>
    </row>
    <row r="19" spans="2:5" ht="20">
      <c r="B19" s="123" t="s">
        <v>336</v>
      </c>
      <c r="C19" s="123" t="s">
        <v>298</v>
      </c>
      <c r="D19" s="123">
        <f>1/458*1000</f>
        <v>2.1834061135371177</v>
      </c>
      <c r="E19" s="123" t="s">
        <v>1626</v>
      </c>
    </row>
    <row r="20" spans="2:5" ht="20">
      <c r="B20" s="124" t="s">
        <v>1608</v>
      </c>
      <c r="C20" s="124" t="s">
        <v>298</v>
      </c>
      <c r="D20" s="124">
        <f>1/502*1000</f>
        <v>1.9920318725099602</v>
      </c>
      <c r="E20" s="124" t="s">
        <v>1626</v>
      </c>
    </row>
    <row r="21" spans="2:5" ht="20">
      <c r="B21" s="124" t="s">
        <v>1609</v>
      </c>
      <c r="C21" s="124" t="s">
        <v>298</v>
      </c>
      <c r="D21" s="124">
        <f>1/355*1000</f>
        <v>2.8169014084507045</v>
      </c>
      <c r="E21" s="124" t="s">
        <v>1626</v>
      </c>
    </row>
    <row r="22" spans="2:5" ht="20">
      <c r="B22" s="127" t="s">
        <v>339</v>
      </c>
      <c r="C22" s="127" t="s">
        <v>298</v>
      </c>
      <c r="D22" s="127">
        <f>1/482*1000</f>
        <v>2.0746887966804981</v>
      </c>
      <c r="E22" s="127" t="s">
        <v>1626</v>
      </c>
    </row>
    <row r="23" spans="2:5" ht="20">
      <c r="B23" s="123" t="s">
        <v>336</v>
      </c>
      <c r="C23" s="123" t="s">
        <v>378</v>
      </c>
      <c r="D23" s="123">
        <f>1/458*1000</f>
        <v>2.1834061135371177</v>
      </c>
      <c r="E23" s="123" t="s">
        <v>1625</v>
      </c>
    </row>
    <row r="24" spans="2:5" ht="20">
      <c r="B24" s="124" t="s">
        <v>1608</v>
      </c>
      <c r="C24" s="124" t="s">
        <v>378</v>
      </c>
      <c r="D24" s="124">
        <f>1/502*1000</f>
        <v>1.9920318725099602</v>
      </c>
      <c r="E24" s="124" t="s">
        <v>1625</v>
      </c>
    </row>
    <row r="25" spans="2:5" ht="20">
      <c r="B25" s="124" t="s">
        <v>1609</v>
      </c>
      <c r="C25" s="124" t="s">
        <v>378</v>
      </c>
      <c r="D25" s="124">
        <f>1/355*1000</f>
        <v>2.8169014084507045</v>
      </c>
      <c r="E25" s="124" t="s">
        <v>1625</v>
      </c>
    </row>
    <row r="26" spans="2:5" ht="20">
      <c r="B26" s="127" t="s">
        <v>339</v>
      </c>
      <c r="C26" s="127" t="s">
        <v>378</v>
      </c>
      <c r="D26" s="127">
        <f>1/482*1000</f>
        <v>2.0746887966804981</v>
      </c>
      <c r="E26" s="127" t="s">
        <v>1625</v>
      </c>
    </row>
    <row r="27" spans="2:5" ht="20">
      <c r="B27" s="123" t="s">
        <v>1617</v>
      </c>
      <c r="C27" s="123" t="s">
        <v>299</v>
      </c>
      <c r="D27" s="123">
        <f>(101.325/100) * (298.15/273.15)</f>
        <v>1.1059875068643603</v>
      </c>
      <c r="E27" s="123" t="s">
        <v>1630</v>
      </c>
    </row>
    <row r="28" spans="2:5" ht="20">
      <c r="B28" s="124" t="s">
        <v>26</v>
      </c>
      <c r="C28" s="124" t="s">
        <v>299</v>
      </c>
      <c r="D28" s="124">
        <f t="shared" ref="D28:D38" si="0">(101.325/100) * (298.15/273.15)</f>
        <v>1.1059875068643603</v>
      </c>
      <c r="E28" s="124" t="s">
        <v>1630</v>
      </c>
    </row>
    <row r="29" spans="2:5" ht="20">
      <c r="B29" s="124" t="s">
        <v>335</v>
      </c>
      <c r="C29" s="124" t="s">
        <v>299</v>
      </c>
      <c r="D29" s="124">
        <f t="shared" si="0"/>
        <v>1.1059875068643603</v>
      </c>
      <c r="E29" s="124" t="s">
        <v>1630</v>
      </c>
    </row>
    <row r="30" spans="2:5" ht="20">
      <c r="B30" s="124" t="s">
        <v>350</v>
      </c>
      <c r="C30" s="124" t="s">
        <v>299</v>
      </c>
      <c r="D30" s="124">
        <f t="shared" si="0"/>
        <v>1.1059875068643603</v>
      </c>
      <c r="E30" s="124" t="s">
        <v>1630</v>
      </c>
    </row>
    <row r="31" spans="2:5" ht="20">
      <c r="B31" s="124" t="s">
        <v>351</v>
      </c>
      <c r="C31" s="124" t="s">
        <v>299</v>
      </c>
      <c r="D31" s="124">
        <f t="shared" si="0"/>
        <v>1.1059875068643603</v>
      </c>
      <c r="E31" s="124" t="s">
        <v>1630</v>
      </c>
    </row>
    <row r="32" spans="2:5" ht="20">
      <c r="B32" s="127" t="s">
        <v>30</v>
      </c>
      <c r="C32" s="127" t="s">
        <v>299</v>
      </c>
      <c r="D32" s="127">
        <f t="shared" si="0"/>
        <v>1.1059875068643603</v>
      </c>
      <c r="E32" s="127" t="s">
        <v>1630</v>
      </c>
    </row>
    <row r="33" spans="2:7" ht="20">
      <c r="B33" s="123" t="s">
        <v>1617</v>
      </c>
      <c r="C33" s="123" t="s">
        <v>379</v>
      </c>
      <c r="D33" s="123">
        <f t="shared" si="0"/>
        <v>1.1059875068643603</v>
      </c>
      <c r="E33" s="123" t="s">
        <v>1631</v>
      </c>
    </row>
    <row r="34" spans="2:7" ht="20">
      <c r="B34" s="124" t="s">
        <v>26</v>
      </c>
      <c r="C34" s="124" t="s">
        <v>379</v>
      </c>
      <c r="D34" s="124">
        <f t="shared" si="0"/>
        <v>1.1059875068643603</v>
      </c>
      <c r="E34" s="124" t="s">
        <v>1631</v>
      </c>
    </row>
    <row r="35" spans="2:7" ht="20">
      <c r="B35" s="124" t="s">
        <v>335</v>
      </c>
      <c r="C35" s="124" t="s">
        <v>379</v>
      </c>
      <c r="D35" s="124">
        <f t="shared" si="0"/>
        <v>1.1059875068643603</v>
      </c>
      <c r="E35" s="124" t="s">
        <v>1631</v>
      </c>
    </row>
    <row r="36" spans="2:7" ht="20">
      <c r="B36" s="124" t="s">
        <v>350</v>
      </c>
      <c r="C36" s="124" t="s">
        <v>379</v>
      </c>
      <c r="D36" s="124">
        <f t="shared" si="0"/>
        <v>1.1059875068643603</v>
      </c>
      <c r="E36" s="124" t="s">
        <v>1631</v>
      </c>
    </row>
    <row r="37" spans="2:7" ht="20">
      <c r="B37" s="124" t="s">
        <v>351</v>
      </c>
      <c r="C37" s="124" t="s">
        <v>379</v>
      </c>
      <c r="D37" s="124">
        <f t="shared" si="0"/>
        <v>1.1059875068643603</v>
      </c>
      <c r="E37" s="124" t="s">
        <v>1631</v>
      </c>
    </row>
    <row r="38" spans="2:7" ht="20">
      <c r="B38" s="127" t="s">
        <v>30</v>
      </c>
      <c r="C38" s="127" t="s">
        <v>379</v>
      </c>
      <c r="D38" s="127">
        <f t="shared" si="0"/>
        <v>1.1059875068643603</v>
      </c>
      <c r="E38" s="127" t="s">
        <v>1631</v>
      </c>
    </row>
    <row r="39" spans="2:7" ht="20">
      <c r="B39" s="168" t="s">
        <v>26</v>
      </c>
      <c r="C39" s="168" t="s">
        <v>298</v>
      </c>
      <c r="D39" s="168">
        <f>298.15*('0.事業所概要'!E25/100)/(273.15+'0.事業所概要'!G25)</f>
        <v>0</v>
      </c>
      <c r="E39" s="123" t="s">
        <v>1878</v>
      </c>
      <c r="G39" t="s">
        <v>1620</v>
      </c>
    </row>
    <row r="40" spans="2:7" ht="20">
      <c r="B40" s="124" t="s">
        <v>1611</v>
      </c>
      <c r="C40" s="124" t="s">
        <v>298</v>
      </c>
      <c r="D40" s="124">
        <f>298.15*('0.事業所概要'!E26/100)/(273.15+'0.事業所概要'!G26)</f>
        <v>0</v>
      </c>
      <c r="E40" s="168" t="s">
        <v>1878</v>
      </c>
      <c r="G40" t="s">
        <v>1620</v>
      </c>
    </row>
    <row r="41" spans="2:7" ht="20">
      <c r="B41" s="124" t="s">
        <v>350</v>
      </c>
      <c r="C41" s="124" t="s">
        <v>298</v>
      </c>
      <c r="D41" s="124">
        <f>298.15*('0.事業所概要'!E27/100)/(273.15+'0.事業所概要'!G27)</f>
        <v>0</v>
      </c>
      <c r="E41" s="168" t="s">
        <v>1878</v>
      </c>
      <c r="G41" t="s">
        <v>1620</v>
      </c>
    </row>
    <row r="42" spans="2:7" ht="20">
      <c r="B42" s="124" t="s">
        <v>351</v>
      </c>
      <c r="C42" s="124" t="s">
        <v>298</v>
      </c>
      <c r="D42" s="124">
        <f>298.15*('0.事業所概要'!E28/100)/(273.15+'0.事業所概要'!G28)</f>
        <v>0</v>
      </c>
      <c r="E42" s="168" t="s">
        <v>1878</v>
      </c>
      <c r="G42" t="s">
        <v>1620</v>
      </c>
    </row>
    <row r="43" spans="2:7" ht="20">
      <c r="B43" s="174" t="s">
        <v>30</v>
      </c>
      <c r="C43" s="174" t="s">
        <v>298</v>
      </c>
      <c r="D43" s="174">
        <f>298.15*('0.事業所概要'!E29/100)/(273.15+'0.事業所概要'!G29)</f>
        <v>0</v>
      </c>
      <c r="E43" s="211" t="s">
        <v>1878</v>
      </c>
      <c r="G43" t="s">
        <v>1620</v>
      </c>
    </row>
    <row r="44" spans="2:7" ht="20">
      <c r="B44" s="123" t="s">
        <v>26</v>
      </c>
      <c r="C44" s="123" t="s">
        <v>378</v>
      </c>
      <c r="D44" s="123">
        <f>298.15*('0.事業所概要'!E25/100)/(273.15+'0.事業所概要'!G25)</f>
        <v>0</v>
      </c>
      <c r="E44" s="123" t="s">
        <v>1878</v>
      </c>
      <c r="G44" t="s">
        <v>1620</v>
      </c>
    </row>
    <row r="45" spans="2:7" ht="20">
      <c r="B45" s="124" t="s">
        <v>1611</v>
      </c>
      <c r="C45" s="124" t="s">
        <v>378</v>
      </c>
      <c r="D45" s="124">
        <f>298.15*('0.事業所概要'!E26/100)/(273.15+'0.事業所概要'!G26)</f>
        <v>0</v>
      </c>
      <c r="E45" s="168" t="s">
        <v>1878</v>
      </c>
      <c r="G45" t="s">
        <v>1620</v>
      </c>
    </row>
    <row r="46" spans="2:7" ht="20">
      <c r="B46" s="124" t="s">
        <v>350</v>
      </c>
      <c r="C46" s="124" t="s">
        <v>378</v>
      </c>
      <c r="D46" s="124">
        <f>298.15*('0.事業所概要'!E27/100)/(273.15+'0.事業所概要'!G27)</f>
        <v>0</v>
      </c>
      <c r="E46" s="168" t="s">
        <v>1878</v>
      </c>
      <c r="G46" t="s">
        <v>1620</v>
      </c>
    </row>
    <row r="47" spans="2:7" ht="20">
      <c r="B47" s="124" t="s">
        <v>351</v>
      </c>
      <c r="C47" s="124" t="s">
        <v>378</v>
      </c>
      <c r="D47" s="124">
        <f>298.15*('0.事業所概要'!E28/100)/(273.15+'0.事業所概要'!G28)</f>
        <v>0</v>
      </c>
      <c r="E47" s="168" t="s">
        <v>1878</v>
      </c>
      <c r="G47" t="s">
        <v>1620</v>
      </c>
    </row>
    <row r="48" spans="2:7" ht="20">
      <c r="B48" s="127" t="s">
        <v>30</v>
      </c>
      <c r="C48" s="127" t="s">
        <v>378</v>
      </c>
      <c r="D48" s="127">
        <f>298.15*('0.事業所概要'!E29/100)/(273.15+'0.事業所概要'!G29)</f>
        <v>0</v>
      </c>
      <c r="E48" s="211" t="s">
        <v>1878</v>
      </c>
      <c r="G48" t="s">
        <v>1620</v>
      </c>
    </row>
    <row r="51" spans="2:5">
      <c r="B51" s="169" t="s">
        <v>205</v>
      </c>
      <c r="C51" s="169" t="s">
        <v>208</v>
      </c>
      <c r="D51" s="169" t="s">
        <v>1615</v>
      </c>
      <c r="E51" s="169" t="s">
        <v>1616</v>
      </c>
    </row>
    <row r="52" spans="2:5" ht="20">
      <c r="B52" s="123" t="s">
        <v>1876</v>
      </c>
      <c r="C52" s="123" t="s">
        <v>298</v>
      </c>
      <c r="D52" s="1335">
        <f>((101.325+2)/100)*(298.15/288.15)</f>
        <v>1.0691080600381746</v>
      </c>
      <c r="E52" s="123" t="s">
        <v>1619</v>
      </c>
    </row>
    <row r="53" spans="2:5" ht="20">
      <c r="B53" s="124" t="s">
        <v>1876</v>
      </c>
      <c r="C53" s="124" t="s">
        <v>378</v>
      </c>
      <c r="D53" s="1336">
        <f>((101.325+2)/100)*(298.15/288.15)</f>
        <v>1.0691080600381746</v>
      </c>
      <c r="E53" s="124" t="s">
        <v>1879</v>
      </c>
    </row>
    <row r="54" spans="2:5" ht="20">
      <c r="B54" s="124" t="s">
        <v>1876</v>
      </c>
      <c r="C54" s="124" t="s">
        <v>1881</v>
      </c>
      <c r="D54" s="124">
        <f>(101.325/100) * (298.15/273.15)</f>
        <v>1.1059875068643603</v>
      </c>
      <c r="E54" s="124" t="s">
        <v>1630</v>
      </c>
    </row>
    <row r="55" spans="2:5" ht="20">
      <c r="B55" s="124" t="s">
        <v>1876</v>
      </c>
      <c r="C55" s="124" t="s">
        <v>379</v>
      </c>
      <c r="D55" s="124">
        <f>(101.325/100) * (298.15/273.15)</f>
        <v>1.1059875068643603</v>
      </c>
      <c r="E55" s="124" t="s">
        <v>1631</v>
      </c>
    </row>
    <row r="56" spans="2:5" ht="20">
      <c r="B56" s="124" t="s">
        <v>1876</v>
      </c>
      <c r="C56" t="s">
        <v>1884</v>
      </c>
      <c r="D56" s="124">
        <v>1</v>
      </c>
      <c r="E56" s="124"/>
    </row>
    <row r="57" spans="2:5" ht="20">
      <c r="B57" s="124" t="s">
        <v>1876</v>
      </c>
      <c r="C57" t="s">
        <v>381</v>
      </c>
      <c r="D57" s="124">
        <v>1</v>
      </c>
      <c r="E57" s="124"/>
    </row>
    <row r="58" spans="2:5" ht="20">
      <c r="B58" s="124" t="s">
        <v>1877</v>
      </c>
      <c r="C58" s="124" t="s">
        <v>298</v>
      </c>
      <c r="D58" s="1336">
        <f>((101.325+0.98)/100)*(298.15/288.15)</f>
        <v>1.0585540777372897</v>
      </c>
      <c r="E58" s="124" t="s">
        <v>1619</v>
      </c>
    </row>
    <row r="59" spans="2:5" ht="20">
      <c r="B59" s="124" t="s">
        <v>1877</v>
      </c>
      <c r="C59" s="124" t="s">
        <v>378</v>
      </c>
      <c r="D59" s="1336">
        <f>((101.325+0.98)/100)*(298.15/288.15)</f>
        <v>1.0585540777372897</v>
      </c>
      <c r="E59" s="124" t="s">
        <v>1879</v>
      </c>
    </row>
    <row r="60" spans="2:5" ht="20">
      <c r="B60" s="124" t="s">
        <v>1877</v>
      </c>
      <c r="C60" s="124" t="s">
        <v>1880</v>
      </c>
      <c r="D60" s="124">
        <f>(101.325/100) * (298.15/273.15)</f>
        <v>1.1059875068643603</v>
      </c>
      <c r="E60" s="124" t="s">
        <v>1630</v>
      </c>
    </row>
    <row r="61" spans="2:5" ht="20">
      <c r="B61" s="124" t="s">
        <v>1877</v>
      </c>
      <c r="C61" s="124" t="s">
        <v>379</v>
      </c>
      <c r="D61" s="124">
        <f>(101.325/100) * (298.15/273.15)</f>
        <v>1.1059875068643603</v>
      </c>
      <c r="E61" s="124" t="s">
        <v>1631</v>
      </c>
    </row>
    <row r="62" spans="2:5" ht="20">
      <c r="B62" s="124" t="s">
        <v>1877</v>
      </c>
      <c r="C62" t="s">
        <v>1884</v>
      </c>
      <c r="D62" s="124">
        <v>1</v>
      </c>
      <c r="E62" s="124" t="s">
        <v>1630</v>
      </c>
    </row>
    <row r="63" spans="2:5" ht="20">
      <c r="B63" s="127" t="s">
        <v>1877</v>
      </c>
      <c r="C63" s="211" t="s">
        <v>381</v>
      </c>
      <c r="D63" s="127">
        <v>1</v>
      </c>
      <c r="E63" s="127" t="s">
        <v>1631</v>
      </c>
    </row>
  </sheetData>
  <sheetProtection algorithmName="SHA-512" hashValue="yP4cUv5tWkXgGxeEzfJ2SKj1vYjy8nFmMXRu2MF2y7EdQbhNSlnzvO41ocQn4c8XEpjt/JiEa3lmrfTevZjQEQ==" saltValue="PYoSm8TdrqKjFBB/Iftmag==" spinCount="100000" sheet="1" objects="1" scenarios="1"/>
  <phoneticPr fontId="5"/>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0" tint="-0.14999847407452621"/>
  </sheetPr>
  <dimension ref="B1:S1356"/>
  <sheetViews>
    <sheetView zoomScaleNormal="100" workbookViewId="0"/>
  </sheetViews>
  <sheetFormatPr defaultRowHeight="18"/>
  <cols>
    <col min="1" max="1" width="4.08203125" customWidth="1"/>
    <col min="2" max="2" width="9.1640625" bestFit="1" customWidth="1"/>
    <col min="3" max="4" width="47.08203125" customWidth="1"/>
    <col min="5" max="5" width="4.08203125" customWidth="1"/>
    <col min="6" max="6" width="31.6640625" customWidth="1"/>
    <col min="7" max="8" width="4.08203125" customWidth="1"/>
    <col min="9" max="9" width="13.9140625" customWidth="1"/>
    <col min="10" max="10" width="34.58203125" customWidth="1"/>
    <col min="11" max="11" width="16.58203125" bestFit="1" customWidth="1"/>
    <col min="12" max="16" width="14.1640625" customWidth="1"/>
    <col min="18" max="18" width="39.4140625" customWidth="1"/>
    <col min="19" max="19" width="13.6640625" bestFit="1" customWidth="1"/>
    <col min="24" max="24" width="63" bestFit="1" customWidth="1"/>
  </cols>
  <sheetData>
    <row r="1" spans="2:19">
      <c r="S1" t="s">
        <v>1833</v>
      </c>
    </row>
    <row r="2" spans="2:19" ht="18.75" customHeight="1">
      <c r="I2" s="2032" t="s">
        <v>1867</v>
      </c>
      <c r="J2" s="2033"/>
      <c r="K2" s="2037" t="s">
        <v>1715</v>
      </c>
      <c r="L2" s="180" t="s">
        <v>1658</v>
      </c>
      <c r="M2" s="180" t="s">
        <v>1658</v>
      </c>
      <c r="N2" s="180" t="s">
        <v>1658</v>
      </c>
      <c r="O2" s="180" t="s">
        <v>1658</v>
      </c>
      <c r="P2" s="180" t="s">
        <v>1658</v>
      </c>
      <c r="R2" s="2030" t="s">
        <v>1715</v>
      </c>
      <c r="S2" s="197" t="s">
        <v>1658</v>
      </c>
    </row>
    <row r="3" spans="2:19">
      <c r="I3" s="2032"/>
      <c r="J3" s="2033"/>
      <c r="K3" s="2037"/>
      <c r="L3" s="180" t="s">
        <v>1825</v>
      </c>
      <c r="M3" s="180" t="s">
        <v>1826</v>
      </c>
      <c r="N3" s="180" t="s">
        <v>1827</v>
      </c>
      <c r="O3" s="180" t="s">
        <v>1828</v>
      </c>
      <c r="P3" s="180" t="s">
        <v>1829</v>
      </c>
      <c r="R3" s="2030"/>
      <c r="S3" s="197" t="str">
        <f>CONCATENATE('0.事業所概要'!$B$3,'0.事業所概要'!$C$3,"年度")</f>
        <v>令和７年度</v>
      </c>
    </row>
    <row r="4" spans="2:19">
      <c r="K4" s="120" t="s">
        <v>1527</v>
      </c>
      <c r="L4" s="120">
        <f>0.000422</f>
        <v>4.2200000000000001E-4</v>
      </c>
      <c r="M4" s="120">
        <f>0.000422</f>
        <v>4.2200000000000001E-4</v>
      </c>
      <c r="N4" s="120">
        <f>0.000422</f>
        <v>4.2200000000000001E-4</v>
      </c>
      <c r="O4" s="120">
        <f>0.000422</f>
        <v>4.2200000000000001E-4</v>
      </c>
      <c r="P4" s="120">
        <f>0.000422</f>
        <v>4.2200000000000001E-4</v>
      </c>
      <c r="R4" s="120" t="s">
        <v>1527</v>
      </c>
      <c r="S4" s="120">
        <f>HLOOKUP($S$3,$L$3:$P$5,2,FALSE)</f>
        <v>4.2200000000000001E-4</v>
      </c>
    </row>
    <row r="5" spans="2:19">
      <c r="K5" s="120" t="s">
        <v>1714</v>
      </c>
      <c r="L5" s="120">
        <v>4.2299999999999998E-4</v>
      </c>
      <c r="M5" s="120">
        <v>4.2299999999999998E-4</v>
      </c>
      <c r="N5" s="120">
        <v>4.2299999999999998E-4</v>
      </c>
      <c r="O5" s="120">
        <v>4.2299999999999998E-4</v>
      </c>
      <c r="P5" s="120">
        <v>4.2299999999999998E-4</v>
      </c>
      <c r="R5" s="120" t="s">
        <v>1986</v>
      </c>
      <c r="S5" s="120">
        <f>HLOOKUP($S$3,$L$3:$P$5,3,FALSE)</f>
        <v>4.2299999999999998E-4</v>
      </c>
    </row>
    <row r="7" spans="2:19">
      <c r="B7" s="2034" t="s">
        <v>1457</v>
      </c>
      <c r="C7" s="2034" t="s">
        <v>1708</v>
      </c>
      <c r="D7" s="2036" t="s">
        <v>1716</v>
      </c>
      <c r="F7" s="2036" t="s">
        <v>1712</v>
      </c>
      <c r="I7" s="2038" t="s">
        <v>1713</v>
      </c>
      <c r="J7" s="2039"/>
      <c r="K7" s="2036" t="s">
        <v>1458</v>
      </c>
      <c r="L7" s="180" t="s">
        <v>1658</v>
      </c>
      <c r="M7" s="180" t="s">
        <v>1658</v>
      </c>
      <c r="N7" s="180" t="s">
        <v>1658</v>
      </c>
      <c r="O7" s="180" t="s">
        <v>1658</v>
      </c>
      <c r="P7" s="180" t="s">
        <v>1658</v>
      </c>
      <c r="R7" s="2031" t="s">
        <v>1834</v>
      </c>
      <c r="S7" s="197" t="s">
        <v>1658</v>
      </c>
    </row>
    <row r="8" spans="2:19">
      <c r="B8" s="2035"/>
      <c r="C8" s="2035"/>
      <c r="D8" s="2036"/>
      <c r="F8" s="2036"/>
      <c r="I8" s="183" t="s">
        <v>1457</v>
      </c>
      <c r="J8" s="183" t="s">
        <v>1708</v>
      </c>
      <c r="K8" s="2036"/>
      <c r="L8" s="180" t="s">
        <v>1825</v>
      </c>
      <c r="M8" s="180" t="s">
        <v>1826</v>
      </c>
      <c r="N8" s="180" t="s">
        <v>1827</v>
      </c>
      <c r="O8" s="180" t="s">
        <v>1828</v>
      </c>
      <c r="P8" s="180" t="s">
        <v>1829</v>
      </c>
      <c r="R8" s="2031"/>
      <c r="S8" s="197" t="str">
        <f>CONCATENATE('0.事業所概要'!$B$3,'0.事業所概要'!$C$3,"年度")</f>
        <v>令和７年度</v>
      </c>
    </row>
    <row r="9" spans="2:19">
      <c r="B9" s="123" t="s">
        <v>760</v>
      </c>
      <c r="C9" s="155" t="s">
        <v>1998</v>
      </c>
      <c r="D9" s="155" t="str">
        <f t="shared" ref="D9:D40" si="0">B9&amp;":"&amp;C9</f>
        <v>A0269:東京電力エナジーパートナー(株)</v>
      </c>
      <c r="F9" s="123"/>
      <c r="I9" s="123" t="s">
        <v>760</v>
      </c>
      <c r="J9" s="123" t="s">
        <v>1668</v>
      </c>
      <c r="K9" s="181" t="s">
        <v>390</v>
      </c>
      <c r="L9" s="181">
        <v>0</v>
      </c>
      <c r="M9" s="181">
        <v>0</v>
      </c>
      <c r="N9" s="181">
        <v>0</v>
      </c>
      <c r="O9" s="181">
        <v>0</v>
      </c>
      <c r="P9" s="181">
        <v>0</v>
      </c>
      <c r="R9" s="155" t="str">
        <f>I9&amp;":"&amp;J9&amp;K9</f>
        <v>A0269:東京電力エナジーパートナー(株)メニューA</v>
      </c>
      <c r="S9" s="181">
        <f>HLOOKUP($S$8,$L$8:$P$1500,ROW()-7,FALSE)</f>
        <v>0</v>
      </c>
    </row>
    <row r="10" spans="2:19">
      <c r="B10" s="124" t="s">
        <v>384</v>
      </c>
      <c r="C10" s="154" t="s">
        <v>385</v>
      </c>
      <c r="D10" s="154" t="str">
        <f t="shared" si="0"/>
        <v>A0002:イーレックス(株)</v>
      </c>
      <c r="F10" s="124" t="s">
        <v>390</v>
      </c>
      <c r="I10" s="124" t="s">
        <v>760</v>
      </c>
      <c r="J10" s="124" t="s">
        <v>1668</v>
      </c>
      <c r="K10" s="182" t="s">
        <v>398</v>
      </c>
      <c r="L10" s="182">
        <v>0</v>
      </c>
      <c r="M10" s="182">
        <v>0</v>
      </c>
      <c r="N10" s="182">
        <v>0</v>
      </c>
      <c r="O10" s="182">
        <v>0</v>
      </c>
      <c r="P10" s="182">
        <v>0</v>
      </c>
      <c r="R10" s="154" t="str">
        <f t="shared" ref="R10:R73" si="1">I10&amp;":"&amp;J10&amp;K10</f>
        <v>A0269:東京電力エナジーパートナー(株)メニューB</v>
      </c>
      <c r="S10" s="182">
        <f t="shared" ref="S10:S73" si="2">HLOOKUP($S$8,$L$8:$P$1500,ROW()-7,FALSE)</f>
        <v>0</v>
      </c>
    </row>
    <row r="11" spans="2:19">
      <c r="B11" s="124" t="s">
        <v>386</v>
      </c>
      <c r="C11" s="154" t="s">
        <v>387</v>
      </c>
      <c r="D11" s="154" t="str">
        <f t="shared" si="0"/>
        <v>A0003:リエスパワー(株)</v>
      </c>
      <c r="F11" s="124" t="s">
        <v>398</v>
      </c>
      <c r="I11" s="124" t="s">
        <v>760</v>
      </c>
      <c r="J11" s="124" t="s">
        <v>1668</v>
      </c>
      <c r="K11" s="182" t="s">
        <v>399</v>
      </c>
      <c r="L11" s="182">
        <v>0</v>
      </c>
      <c r="M11" s="182">
        <v>0</v>
      </c>
      <c r="N11" s="182">
        <v>0</v>
      </c>
      <c r="O11" s="182">
        <v>0</v>
      </c>
      <c r="P11" s="182">
        <v>0</v>
      </c>
      <c r="R11" s="154" t="str">
        <f t="shared" si="1"/>
        <v>A0269:東京電力エナジーパートナー(株)メニューC</v>
      </c>
      <c r="S11" s="182">
        <f t="shared" si="2"/>
        <v>0</v>
      </c>
    </row>
    <row r="12" spans="2:19">
      <c r="B12" s="124" t="s">
        <v>388</v>
      </c>
      <c r="C12" s="154" t="s">
        <v>389</v>
      </c>
      <c r="D12" s="154" t="str">
        <f t="shared" si="0"/>
        <v>A0004:エバーグリーン・リテイリング(株)</v>
      </c>
      <c r="F12" s="124" t="s">
        <v>399</v>
      </c>
      <c r="I12" s="124" t="s">
        <v>760</v>
      </c>
      <c r="J12" s="124" t="s">
        <v>1668</v>
      </c>
      <c r="K12" s="182" t="s">
        <v>400</v>
      </c>
      <c r="L12" s="182">
        <v>0</v>
      </c>
      <c r="M12" s="182">
        <v>0</v>
      </c>
      <c r="N12" s="182">
        <v>0</v>
      </c>
      <c r="O12" s="182">
        <v>0</v>
      </c>
      <c r="P12" s="182">
        <v>0</v>
      </c>
      <c r="R12" s="154" t="str">
        <f t="shared" si="1"/>
        <v>A0269:東京電力エナジーパートナー(株)メニューD</v>
      </c>
      <c r="S12" s="182">
        <f t="shared" si="2"/>
        <v>0</v>
      </c>
    </row>
    <row r="13" spans="2:19">
      <c r="B13" s="124" t="s">
        <v>391</v>
      </c>
      <c r="C13" s="154" t="s">
        <v>1669</v>
      </c>
      <c r="D13" s="154" t="str">
        <f t="shared" si="0"/>
        <v>A0006:エバーグリーン・マーケティング(株)</v>
      </c>
      <c r="F13" s="124" t="s">
        <v>400</v>
      </c>
      <c r="I13" s="124" t="s">
        <v>760</v>
      </c>
      <c r="J13" s="124" t="s">
        <v>1668</v>
      </c>
      <c r="K13" s="182" t="s">
        <v>401</v>
      </c>
      <c r="L13" s="182">
        <v>0</v>
      </c>
      <c r="M13" s="182">
        <v>0</v>
      </c>
      <c r="N13" s="182">
        <v>0</v>
      </c>
      <c r="O13" s="182">
        <v>0</v>
      </c>
      <c r="P13" s="182">
        <v>0</v>
      </c>
      <c r="R13" s="154" t="str">
        <f t="shared" si="1"/>
        <v>A0269:東京電力エナジーパートナー(株)メニューE</v>
      </c>
      <c r="S13" s="182">
        <f t="shared" si="2"/>
        <v>0</v>
      </c>
    </row>
    <row r="14" spans="2:19">
      <c r="B14" s="124" t="s">
        <v>392</v>
      </c>
      <c r="C14" s="154" t="s">
        <v>393</v>
      </c>
      <c r="D14" s="154" t="str">
        <f t="shared" si="0"/>
        <v>A0007:(株)SEウイングズ</v>
      </c>
      <c r="F14" s="124" t="s">
        <v>401</v>
      </c>
      <c r="I14" s="124" t="s">
        <v>760</v>
      </c>
      <c r="J14" s="124" t="s">
        <v>1668</v>
      </c>
      <c r="K14" s="182" t="s">
        <v>414</v>
      </c>
      <c r="L14" s="182">
        <v>0</v>
      </c>
      <c r="M14" s="182">
        <v>0</v>
      </c>
      <c r="N14" s="182">
        <v>0</v>
      </c>
      <c r="O14" s="182">
        <v>0</v>
      </c>
      <c r="P14" s="182">
        <v>0</v>
      </c>
      <c r="R14" s="154" t="str">
        <f t="shared" si="1"/>
        <v>A0269:東京電力エナジーパートナー(株)メニューF</v>
      </c>
      <c r="S14" s="182">
        <f t="shared" si="2"/>
        <v>0</v>
      </c>
    </row>
    <row r="15" spans="2:19">
      <c r="B15" s="124" t="s">
        <v>394</v>
      </c>
      <c r="C15" s="154" t="s">
        <v>395</v>
      </c>
      <c r="D15" s="154" t="str">
        <f t="shared" si="0"/>
        <v>A0008:(株)イーセル</v>
      </c>
      <c r="F15" s="124" t="s">
        <v>414</v>
      </c>
      <c r="I15" s="124" t="s">
        <v>760</v>
      </c>
      <c r="J15" s="124" t="s">
        <v>1668</v>
      </c>
      <c r="K15" s="182" t="s">
        <v>415</v>
      </c>
      <c r="L15" s="182">
        <v>0</v>
      </c>
      <c r="M15" s="182">
        <v>0</v>
      </c>
      <c r="N15" s="182">
        <v>0</v>
      </c>
      <c r="O15" s="182">
        <v>0</v>
      </c>
      <c r="P15" s="182">
        <v>0</v>
      </c>
      <c r="R15" s="154" t="str">
        <f t="shared" si="1"/>
        <v>A0269:東京電力エナジーパートナー(株)メニューG</v>
      </c>
      <c r="S15" s="182">
        <f t="shared" si="2"/>
        <v>0</v>
      </c>
    </row>
    <row r="16" spans="2:19">
      <c r="B16" s="124" t="s">
        <v>396</v>
      </c>
      <c r="C16" s="154" t="s">
        <v>397</v>
      </c>
      <c r="D16" s="154" t="str">
        <f t="shared" si="0"/>
        <v>A0009:(株)エネット</v>
      </c>
      <c r="F16" s="124" t="s">
        <v>415</v>
      </c>
      <c r="I16" s="124" t="s">
        <v>760</v>
      </c>
      <c r="J16" s="124" t="s">
        <v>1668</v>
      </c>
      <c r="K16" s="182" t="s">
        <v>416</v>
      </c>
      <c r="L16" s="182">
        <v>0</v>
      </c>
      <c r="M16" s="182">
        <v>0</v>
      </c>
      <c r="N16" s="182">
        <v>0</v>
      </c>
      <c r="O16" s="182">
        <v>0</v>
      </c>
      <c r="P16" s="182">
        <v>0</v>
      </c>
      <c r="R16" s="154" t="str">
        <f t="shared" si="1"/>
        <v>A0269:東京電力エナジーパートナー(株)メニューH</v>
      </c>
      <c r="S16" s="182">
        <f t="shared" si="2"/>
        <v>0</v>
      </c>
    </row>
    <row r="17" spans="2:19">
      <c r="B17" s="124" t="s">
        <v>402</v>
      </c>
      <c r="C17" s="154" t="s">
        <v>403</v>
      </c>
      <c r="D17" s="154" t="str">
        <f t="shared" si="0"/>
        <v>A0011:須賀川瓦斯(株)</v>
      </c>
      <c r="F17" s="124" t="s">
        <v>416</v>
      </c>
      <c r="I17" s="124" t="s">
        <v>760</v>
      </c>
      <c r="J17" s="124" t="s">
        <v>1668</v>
      </c>
      <c r="K17" s="182" t="s">
        <v>417</v>
      </c>
      <c r="L17" s="182">
        <v>0</v>
      </c>
      <c r="M17" s="182">
        <v>0</v>
      </c>
      <c r="N17" s="182">
        <v>0</v>
      </c>
      <c r="O17" s="182">
        <v>0</v>
      </c>
      <c r="P17" s="182">
        <v>0</v>
      </c>
      <c r="R17" s="154" t="str">
        <f t="shared" si="1"/>
        <v>A0269:東京電力エナジーパートナー(株)メニューI</v>
      </c>
      <c r="S17" s="182">
        <f t="shared" si="2"/>
        <v>0</v>
      </c>
    </row>
    <row r="18" spans="2:19">
      <c r="B18" s="124" t="s">
        <v>404</v>
      </c>
      <c r="C18" s="154" t="s">
        <v>405</v>
      </c>
      <c r="D18" s="154" t="str">
        <f t="shared" si="0"/>
        <v>A0012:出光興産(株)</v>
      </c>
      <c r="F18" s="124" t="s">
        <v>417</v>
      </c>
      <c r="I18" s="124" t="s">
        <v>760</v>
      </c>
      <c r="J18" s="124" t="s">
        <v>1668</v>
      </c>
      <c r="K18" s="182" t="s">
        <v>418</v>
      </c>
      <c r="L18" s="182">
        <v>0</v>
      </c>
      <c r="M18" s="182">
        <v>0</v>
      </c>
      <c r="N18" s="182">
        <v>0</v>
      </c>
      <c r="O18" s="182">
        <v>0</v>
      </c>
      <c r="P18" s="182">
        <v>0</v>
      </c>
      <c r="R18" s="154" t="str">
        <f t="shared" si="1"/>
        <v>A0269:東京電力エナジーパートナー(株)メニューJ</v>
      </c>
      <c r="S18" s="182">
        <f t="shared" si="2"/>
        <v>0</v>
      </c>
    </row>
    <row r="19" spans="2:19">
      <c r="B19" s="124" t="s">
        <v>406</v>
      </c>
      <c r="C19" s="154" t="s">
        <v>407</v>
      </c>
      <c r="D19" s="154" t="str">
        <f t="shared" si="0"/>
        <v>A0013:(株)オプテージ</v>
      </c>
      <c r="F19" s="124" t="s">
        <v>418</v>
      </c>
      <c r="I19" s="124" t="s">
        <v>760</v>
      </c>
      <c r="J19" s="124" t="s">
        <v>1668</v>
      </c>
      <c r="K19" s="182" t="s">
        <v>432</v>
      </c>
      <c r="L19" s="182">
        <v>0</v>
      </c>
      <c r="M19" s="182">
        <v>0</v>
      </c>
      <c r="N19" s="182">
        <v>0</v>
      </c>
      <c r="O19" s="182">
        <v>0</v>
      </c>
      <c r="P19" s="182">
        <v>0</v>
      </c>
      <c r="R19" s="154" t="str">
        <f t="shared" si="1"/>
        <v>A0269:東京電力エナジーパートナー(株)メニューK</v>
      </c>
      <c r="S19" s="182">
        <f t="shared" si="2"/>
        <v>0</v>
      </c>
    </row>
    <row r="20" spans="2:19">
      <c r="B20" s="124" t="s">
        <v>408</v>
      </c>
      <c r="C20" s="154" t="s">
        <v>409</v>
      </c>
      <c r="D20" s="154" t="str">
        <f t="shared" si="0"/>
        <v>A0014:エネサーブ(株)</v>
      </c>
      <c r="F20" s="124" t="s">
        <v>432</v>
      </c>
      <c r="I20" s="124" t="s">
        <v>760</v>
      </c>
      <c r="J20" s="124" t="s">
        <v>1668</v>
      </c>
      <c r="K20" s="182" t="s">
        <v>433</v>
      </c>
      <c r="L20" s="182">
        <v>0</v>
      </c>
      <c r="M20" s="182">
        <v>0</v>
      </c>
      <c r="N20" s="182">
        <v>0</v>
      </c>
      <c r="O20" s="182">
        <v>0</v>
      </c>
      <c r="P20" s="182">
        <v>0</v>
      </c>
      <c r="R20" s="154" t="str">
        <f t="shared" si="1"/>
        <v>A0269:東京電力エナジーパートナー(株)メニューL</v>
      </c>
      <c r="S20" s="182">
        <f t="shared" si="2"/>
        <v>0</v>
      </c>
    </row>
    <row r="21" spans="2:19">
      <c r="B21" s="124" t="s">
        <v>410</v>
      </c>
      <c r="C21" s="154" t="s">
        <v>411</v>
      </c>
      <c r="D21" s="154" t="str">
        <f t="shared" si="0"/>
        <v>A0015:(株)エネワンでんき</v>
      </c>
      <c r="F21" s="124" t="s">
        <v>433</v>
      </c>
      <c r="I21" s="124" t="s">
        <v>760</v>
      </c>
      <c r="J21" s="124" t="s">
        <v>1668</v>
      </c>
      <c r="K21" s="182" t="s">
        <v>434</v>
      </c>
      <c r="L21" s="182">
        <v>4.3100000000000001E-4</v>
      </c>
      <c r="M21" s="182">
        <v>4.3100000000000001E-4</v>
      </c>
      <c r="N21" s="182">
        <v>4.3100000000000001E-4</v>
      </c>
      <c r="O21" s="182">
        <v>4.3100000000000001E-4</v>
      </c>
      <c r="P21" s="182">
        <v>4.3100000000000001E-4</v>
      </c>
      <c r="R21" s="154" t="str">
        <f t="shared" si="1"/>
        <v>A0269:東京電力エナジーパートナー(株)メニューM</v>
      </c>
      <c r="S21" s="182">
        <f t="shared" si="2"/>
        <v>4.3100000000000001E-4</v>
      </c>
    </row>
    <row r="22" spans="2:19">
      <c r="B22" s="124" t="s">
        <v>412</v>
      </c>
      <c r="C22" s="154" t="s">
        <v>413</v>
      </c>
      <c r="D22" s="154" t="str">
        <f t="shared" si="0"/>
        <v>A0016:ミツウロコグリーンエネルギー(株)</v>
      </c>
      <c r="F22" s="124" t="s">
        <v>434</v>
      </c>
      <c r="I22" s="124" t="s">
        <v>760</v>
      </c>
      <c r="J22" s="124" t="s">
        <v>1668</v>
      </c>
      <c r="K22" s="182" t="s">
        <v>2010</v>
      </c>
      <c r="L22" s="182">
        <v>4.08E-4</v>
      </c>
      <c r="M22" s="182">
        <v>0</v>
      </c>
      <c r="N22" s="182">
        <v>0</v>
      </c>
      <c r="O22" s="182">
        <v>0</v>
      </c>
      <c r="P22" s="182">
        <v>0</v>
      </c>
      <c r="R22" s="154" t="str">
        <f t="shared" si="1"/>
        <v>A0269:東京電力エナジーパートナー(株)(参考値)事業者全体</v>
      </c>
      <c r="S22" s="182">
        <f t="shared" si="2"/>
        <v>4.08E-4</v>
      </c>
    </row>
    <row r="23" spans="2:19">
      <c r="B23" s="124" t="s">
        <v>419</v>
      </c>
      <c r="C23" s="154" t="s">
        <v>420</v>
      </c>
      <c r="D23" s="154" t="str">
        <f t="shared" si="0"/>
        <v xml:space="preserve">A0017:(株)リエネ </v>
      </c>
      <c r="F23" s="124" t="s">
        <v>435</v>
      </c>
      <c r="I23" s="124" t="s">
        <v>491</v>
      </c>
      <c r="J23" s="124" t="s">
        <v>492</v>
      </c>
      <c r="K23" s="182" t="s">
        <v>390</v>
      </c>
      <c r="L23" s="182">
        <v>0</v>
      </c>
      <c r="M23" s="182">
        <v>0</v>
      </c>
      <c r="N23" s="182">
        <v>0</v>
      </c>
      <c r="O23" s="182">
        <v>0</v>
      </c>
      <c r="P23" s="182">
        <v>0</v>
      </c>
      <c r="R23" s="154" t="str">
        <f t="shared" si="1"/>
        <v>A0064:東京ガス(株)メニューA</v>
      </c>
      <c r="S23" s="182">
        <f t="shared" si="2"/>
        <v>0</v>
      </c>
    </row>
    <row r="24" spans="2:19">
      <c r="B24" s="124" t="s">
        <v>421</v>
      </c>
      <c r="C24" s="154" t="s">
        <v>1670</v>
      </c>
      <c r="D24" s="154" t="str">
        <f t="shared" si="0"/>
        <v>A0018:ネクストパワーやまと(株)</v>
      </c>
      <c r="F24" s="124" t="s">
        <v>436</v>
      </c>
      <c r="I24" s="124" t="s">
        <v>491</v>
      </c>
      <c r="J24" s="124" t="s">
        <v>492</v>
      </c>
      <c r="K24" s="182" t="s">
        <v>398</v>
      </c>
      <c r="L24" s="182">
        <v>0</v>
      </c>
      <c r="M24" s="182">
        <v>0</v>
      </c>
      <c r="N24" s="182">
        <v>0</v>
      </c>
      <c r="O24" s="182">
        <v>0</v>
      </c>
      <c r="P24" s="182">
        <v>0</v>
      </c>
      <c r="R24" s="154" t="str">
        <f t="shared" si="1"/>
        <v>A0064:東京ガス(株)メニューB</v>
      </c>
      <c r="S24" s="182">
        <f t="shared" si="2"/>
        <v>0</v>
      </c>
    </row>
    <row r="25" spans="2:19">
      <c r="B25" s="124" t="s">
        <v>422</v>
      </c>
      <c r="C25" s="154" t="s">
        <v>423</v>
      </c>
      <c r="D25" s="154" t="str">
        <f t="shared" si="0"/>
        <v>A0019:日本テクノ(株)</v>
      </c>
      <c r="F25" s="124" t="s">
        <v>437</v>
      </c>
      <c r="I25" s="124" t="s">
        <v>491</v>
      </c>
      <c r="J25" s="124" t="s">
        <v>492</v>
      </c>
      <c r="K25" s="182" t="s">
        <v>399</v>
      </c>
      <c r="L25" s="182">
        <v>0</v>
      </c>
      <c r="M25" s="182">
        <v>0</v>
      </c>
      <c r="N25" s="182">
        <v>0</v>
      </c>
      <c r="O25" s="182">
        <v>0</v>
      </c>
      <c r="P25" s="182">
        <v>0</v>
      </c>
      <c r="R25" s="154" t="str">
        <f t="shared" si="1"/>
        <v>A0064:東京ガス(株)メニューC</v>
      </c>
      <c r="S25" s="182">
        <f t="shared" si="2"/>
        <v>0</v>
      </c>
    </row>
    <row r="26" spans="2:19">
      <c r="B26" s="124" t="s">
        <v>424</v>
      </c>
      <c r="C26" s="154" t="s">
        <v>425</v>
      </c>
      <c r="D26" s="154" t="str">
        <f t="shared" si="0"/>
        <v>A0020:中央電力エナジー(株)</v>
      </c>
      <c r="F26" s="124" t="s">
        <v>438</v>
      </c>
      <c r="I26" s="124" t="s">
        <v>491</v>
      </c>
      <c r="J26" s="124" t="s">
        <v>492</v>
      </c>
      <c r="K26" s="182" t="s">
        <v>400</v>
      </c>
      <c r="L26" s="182">
        <v>0</v>
      </c>
      <c r="M26" s="182">
        <v>0</v>
      </c>
      <c r="N26" s="182">
        <v>0</v>
      </c>
      <c r="O26" s="182">
        <v>0</v>
      </c>
      <c r="P26" s="182">
        <v>0</v>
      </c>
      <c r="R26" s="154" t="str">
        <f t="shared" si="1"/>
        <v>A0064:東京ガス(株)メニューD</v>
      </c>
      <c r="S26" s="182">
        <f t="shared" si="2"/>
        <v>0</v>
      </c>
    </row>
    <row r="27" spans="2:19">
      <c r="B27" s="124" t="s">
        <v>426</v>
      </c>
      <c r="C27" s="154" t="s">
        <v>427</v>
      </c>
      <c r="D27" s="154" t="str">
        <f t="shared" si="0"/>
        <v>A0021:(株)Looop</v>
      </c>
      <c r="F27" s="124" t="s">
        <v>1709</v>
      </c>
      <c r="I27" s="124" t="s">
        <v>491</v>
      </c>
      <c r="J27" s="124" t="s">
        <v>492</v>
      </c>
      <c r="K27" s="182" t="s">
        <v>401</v>
      </c>
      <c r="L27" s="182">
        <v>0</v>
      </c>
      <c r="M27" s="182">
        <v>3.5500000000000001E-4</v>
      </c>
      <c r="N27" s="182">
        <v>3.5500000000000001E-4</v>
      </c>
      <c r="O27" s="182">
        <v>3.5500000000000001E-4</v>
      </c>
      <c r="P27" s="182">
        <v>3.5500000000000001E-4</v>
      </c>
      <c r="R27" s="154" t="str">
        <f t="shared" si="1"/>
        <v>A0064:東京ガス(株)メニューE</v>
      </c>
      <c r="S27" s="182">
        <f t="shared" si="2"/>
        <v>0</v>
      </c>
    </row>
    <row r="28" spans="2:19">
      <c r="B28" s="124" t="s">
        <v>428</v>
      </c>
      <c r="C28" s="154" t="s">
        <v>429</v>
      </c>
      <c r="D28" s="154" t="str">
        <f t="shared" si="0"/>
        <v>A0024:静岡ガス＆パワー(株)</v>
      </c>
      <c r="F28" s="124" t="s">
        <v>1710</v>
      </c>
      <c r="I28" s="124" t="s">
        <v>491</v>
      </c>
      <c r="J28" s="124" t="s">
        <v>492</v>
      </c>
      <c r="K28" s="182" t="s">
        <v>414</v>
      </c>
      <c r="L28" s="182">
        <v>3.5500000000000001E-4</v>
      </c>
      <c r="M28" s="182">
        <v>3.4099999999999999E-4</v>
      </c>
      <c r="N28" s="182">
        <v>3.4099999999999999E-4</v>
      </c>
      <c r="O28" s="182">
        <v>3.4099999999999999E-4</v>
      </c>
      <c r="P28" s="182">
        <v>3.4099999999999999E-4</v>
      </c>
      <c r="R28" s="154" t="str">
        <f t="shared" si="1"/>
        <v>A0064:東京ガス(株)メニューF</v>
      </c>
      <c r="S28" s="182">
        <f t="shared" si="2"/>
        <v>3.5500000000000001E-4</v>
      </c>
    </row>
    <row r="29" spans="2:19">
      <c r="B29" s="124" t="s">
        <v>430</v>
      </c>
      <c r="C29" s="154" t="s">
        <v>431</v>
      </c>
      <c r="D29" s="154" t="str">
        <f t="shared" si="0"/>
        <v>A0025:荏原環境プラント(株)</v>
      </c>
      <c r="F29" s="124" t="s">
        <v>1711</v>
      </c>
      <c r="I29" s="124" t="s">
        <v>491</v>
      </c>
      <c r="J29" s="124" t="s">
        <v>492</v>
      </c>
      <c r="K29" s="182" t="s">
        <v>2010</v>
      </c>
      <c r="L29" s="182">
        <v>3.3700000000000001E-4</v>
      </c>
      <c r="M29" s="182">
        <v>3.4099999999999999E-4</v>
      </c>
      <c r="N29" s="182">
        <v>3.4099999999999999E-4</v>
      </c>
      <c r="O29" s="182">
        <v>3.4099999999999999E-4</v>
      </c>
      <c r="P29" s="182">
        <v>3.4099999999999999E-4</v>
      </c>
      <c r="R29" s="154" t="str">
        <f t="shared" si="1"/>
        <v>A0064:東京ガス(株)(参考値)事業者全体</v>
      </c>
      <c r="S29" s="182">
        <f t="shared" si="2"/>
        <v>3.3700000000000001E-4</v>
      </c>
    </row>
    <row r="30" spans="2:19">
      <c r="B30" s="124" t="s">
        <v>439</v>
      </c>
      <c r="C30" s="154" t="s">
        <v>1671</v>
      </c>
      <c r="D30" s="154" t="str">
        <f t="shared" si="0"/>
        <v>A0026:東京エコサービス(株)</v>
      </c>
      <c r="F30" s="124" t="s">
        <v>1999</v>
      </c>
      <c r="I30" s="124" t="s">
        <v>508</v>
      </c>
      <c r="J30" s="124" t="s">
        <v>509</v>
      </c>
      <c r="K30" s="182"/>
      <c r="L30" s="182">
        <v>3.4099999999999999E-4</v>
      </c>
      <c r="M30" s="182">
        <v>3.4099999999999999E-4</v>
      </c>
      <c r="N30" s="182">
        <v>3.4099999999999999E-4</v>
      </c>
      <c r="O30" s="182">
        <v>3.4099999999999999E-4</v>
      </c>
      <c r="P30" s="182">
        <v>3.4099999999999999E-4</v>
      </c>
      <c r="R30" s="154" t="str">
        <f t="shared" si="1"/>
        <v>A0073:入間ガス(株)</v>
      </c>
      <c r="S30" s="182">
        <f t="shared" si="2"/>
        <v>3.4099999999999999E-4</v>
      </c>
    </row>
    <row r="31" spans="2:19">
      <c r="B31" s="124" t="s">
        <v>440</v>
      </c>
      <c r="C31" s="154" t="s">
        <v>441</v>
      </c>
      <c r="D31" s="154" t="str">
        <f t="shared" si="0"/>
        <v>A0027:ダイヤモンドパワー(株)</v>
      </c>
      <c r="F31" s="124" t="s">
        <v>2000</v>
      </c>
      <c r="I31" s="124" t="s">
        <v>619</v>
      </c>
      <c r="J31" s="124" t="s">
        <v>620</v>
      </c>
      <c r="K31" s="182"/>
      <c r="L31" s="182">
        <v>3.4099999999999999E-4</v>
      </c>
      <c r="M31" s="182">
        <v>3.6600000000000001E-4</v>
      </c>
      <c r="N31" s="182">
        <v>3.6600000000000001E-4</v>
      </c>
      <c r="O31" s="182">
        <v>3.6600000000000001E-4</v>
      </c>
      <c r="P31" s="182">
        <v>3.6600000000000001E-4</v>
      </c>
      <c r="R31" s="154" t="str">
        <f t="shared" si="1"/>
        <v>A0160:角栄ガス(株)</v>
      </c>
      <c r="S31" s="182">
        <f t="shared" si="2"/>
        <v>3.4099999999999999E-4</v>
      </c>
    </row>
    <row r="32" spans="2:19">
      <c r="B32" s="124" t="s">
        <v>442</v>
      </c>
      <c r="C32" s="154" t="s">
        <v>443</v>
      </c>
      <c r="D32" s="154" t="str">
        <f t="shared" si="0"/>
        <v>A0028:出光グリーンパワー(株)</v>
      </c>
      <c r="F32" s="124" t="s">
        <v>2001</v>
      </c>
      <c r="I32" s="124" t="s">
        <v>686</v>
      </c>
      <c r="J32" s="124" t="s">
        <v>687</v>
      </c>
      <c r="K32" s="182"/>
      <c r="L32" s="182">
        <v>3.4099999999999999E-4</v>
      </c>
      <c r="M32" s="182">
        <v>3.4099999999999999E-4</v>
      </c>
      <c r="N32" s="182">
        <v>3.4099999999999999E-4</v>
      </c>
      <c r="O32" s="182">
        <v>3.4099999999999999E-4</v>
      </c>
      <c r="P32" s="182">
        <v>3.4099999999999999E-4</v>
      </c>
      <c r="R32" s="154" t="str">
        <f t="shared" si="1"/>
        <v>A0209:埼玉ガス(株)</v>
      </c>
      <c r="S32" s="182">
        <f t="shared" si="2"/>
        <v>3.4099999999999999E-4</v>
      </c>
    </row>
    <row r="33" spans="2:19">
      <c r="B33" s="124" t="s">
        <v>444</v>
      </c>
      <c r="C33" s="154" t="s">
        <v>445</v>
      </c>
      <c r="D33" s="154" t="str">
        <f t="shared" si="0"/>
        <v>A0031:(株)新出光</v>
      </c>
      <c r="F33" s="124" t="s">
        <v>2002</v>
      </c>
      <c r="I33" s="124" t="s">
        <v>1088</v>
      </c>
      <c r="J33" s="124" t="s">
        <v>1089</v>
      </c>
      <c r="K33" s="182"/>
      <c r="L33" s="182">
        <v>3.6600000000000001E-4</v>
      </c>
      <c r="M33" s="182">
        <v>0</v>
      </c>
      <c r="N33" s="182">
        <v>0</v>
      </c>
      <c r="O33" s="182">
        <v>0</v>
      </c>
      <c r="P33" s="182">
        <v>0</v>
      </c>
      <c r="R33" s="154" t="str">
        <f t="shared" si="1"/>
        <v>A0558:坂戸ガス(株)</v>
      </c>
      <c r="S33" s="182">
        <f t="shared" si="2"/>
        <v>3.6600000000000001E-4</v>
      </c>
    </row>
    <row r="34" spans="2:19">
      <c r="B34" s="124" t="s">
        <v>446</v>
      </c>
      <c r="C34" s="154" t="s">
        <v>447</v>
      </c>
      <c r="D34" s="154" t="str">
        <f t="shared" si="0"/>
        <v>A0032:セントラル石油瓦斯(株)</v>
      </c>
      <c r="F34" s="124" t="s">
        <v>2003</v>
      </c>
      <c r="I34" s="124" t="s">
        <v>845</v>
      </c>
      <c r="J34" s="124" t="s">
        <v>846</v>
      </c>
      <c r="K34" s="182"/>
      <c r="L34" s="182">
        <v>3.4099999999999999E-4</v>
      </c>
      <c r="M34" s="182">
        <v>3.4099999999999999E-4</v>
      </c>
      <c r="N34" s="182">
        <v>3.4099999999999999E-4</v>
      </c>
      <c r="O34" s="182">
        <v>3.4099999999999999E-4</v>
      </c>
      <c r="P34" s="182">
        <v>3.4099999999999999E-4</v>
      </c>
      <c r="R34" s="154" t="str">
        <f t="shared" si="1"/>
        <v>A0344:西武ガス(株)</v>
      </c>
      <c r="S34" s="182">
        <f t="shared" si="2"/>
        <v>3.4099999999999999E-4</v>
      </c>
    </row>
    <row r="35" spans="2:19">
      <c r="B35" s="124" t="s">
        <v>448</v>
      </c>
      <c r="C35" s="154" t="s">
        <v>449</v>
      </c>
      <c r="D35" s="154" t="str">
        <f t="shared" si="0"/>
        <v>A0034:一般財団法人泉佐野電力　　</v>
      </c>
      <c r="F35" s="124" t="s">
        <v>2004</v>
      </c>
      <c r="I35" s="124" t="s">
        <v>577</v>
      </c>
      <c r="J35" s="124" t="s">
        <v>578</v>
      </c>
      <c r="K35" s="182" t="s">
        <v>390</v>
      </c>
      <c r="L35" s="182">
        <v>0</v>
      </c>
      <c r="M35" s="182">
        <v>0</v>
      </c>
      <c r="N35" s="182">
        <v>0</v>
      </c>
      <c r="O35" s="182">
        <v>0</v>
      </c>
      <c r="P35" s="182">
        <v>0</v>
      </c>
      <c r="R35" s="154" t="str">
        <f t="shared" si="1"/>
        <v>A0135:大東ガス(株)メニューA</v>
      </c>
      <c r="S35" s="182">
        <f t="shared" si="2"/>
        <v>0</v>
      </c>
    </row>
    <row r="36" spans="2:19">
      <c r="B36" s="124" t="s">
        <v>450</v>
      </c>
      <c r="C36" s="154" t="s">
        <v>451</v>
      </c>
      <c r="D36" s="154" t="str">
        <f t="shared" si="0"/>
        <v>A0035:コスモエネルギーソリューションズ(株)</v>
      </c>
      <c r="F36" s="127" t="s">
        <v>2010</v>
      </c>
      <c r="I36" s="124" t="s">
        <v>577</v>
      </c>
      <c r="J36" s="124" t="s">
        <v>578</v>
      </c>
      <c r="K36" s="182" t="s">
        <v>398</v>
      </c>
      <c r="L36" s="182">
        <v>3.4099999999999999E-4</v>
      </c>
      <c r="M36" s="182">
        <v>3.8200000000000002E-4</v>
      </c>
      <c r="N36" s="182">
        <v>3.8200000000000002E-4</v>
      </c>
      <c r="O36" s="182">
        <v>3.8200000000000002E-4</v>
      </c>
      <c r="P36" s="182">
        <v>3.8200000000000002E-4</v>
      </c>
      <c r="R36" s="154" t="str">
        <f t="shared" si="1"/>
        <v>A0135:大東ガス(株)メニューB</v>
      </c>
      <c r="S36" s="182">
        <f t="shared" si="2"/>
        <v>3.4099999999999999E-4</v>
      </c>
    </row>
    <row r="37" spans="2:19">
      <c r="B37" s="124" t="s">
        <v>452</v>
      </c>
      <c r="C37" s="154" t="s">
        <v>453</v>
      </c>
      <c r="D37" s="154" t="str">
        <f t="shared" si="0"/>
        <v>A0036:(株)グリーンサークル</v>
      </c>
      <c r="I37" s="124" t="s">
        <v>577</v>
      </c>
      <c r="J37" s="124" t="s">
        <v>578</v>
      </c>
      <c r="K37" s="182" t="s">
        <v>2010</v>
      </c>
      <c r="L37" s="182">
        <v>3.39E-4</v>
      </c>
      <c r="M37" s="182">
        <v>3.4099999999999999E-4</v>
      </c>
      <c r="N37" s="182">
        <v>3.4099999999999999E-4</v>
      </c>
      <c r="O37" s="182">
        <v>3.4099999999999999E-4</v>
      </c>
      <c r="P37" s="182">
        <v>3.4099999999999999E-4</v>
      </c>
      <c r="R37" s="154" t="str">
        <f t="shared" si="1"/>
        <v>A0135:大東ガス(株)(参考値)事業者全体</v>
      </c>
      <c r="S37" s="182">
        <f t="shared" si="2"/>
        <v>3.39E-4</v>
      </c>
    </row>
    <row r="38" spans="2:19">
      <c r="B38" s="124" t="s">
        <v>454</v>
      </c>
      <c r="C38" s="154" t="s">
        <v>1672</v>
      </c>
      <c r="D38" s="154" t="str">
        <f t="shared" si="0"/>
        <v>A0039:北海道瓦斯(株)</v>
      </c>
      <c r="I38" s="124" t="s">
        <v>952</v>
      </c>
      <c r="J38" s="124" t="s">
        <v>953</v>
      </c>
      <c r="K38" s="182" t="s">
        <v>390</v>
      </c>
      <c r="L38" s="182">
        <v>0</v>
      </c>
      <c r="M38" s="182">
        <v>0</v>
      </c>
      <c r="N38" s="182">
        <v>0</v>
      </c>
      <c r="O38" s="182">
        <v>0</v>
      </c>
      <c r="P38" s="182">
        <v>0</v>
      </c>
      <c r="R38" s="154" t="str">
        <f t="shared" si="1"/>
        <v>A0440:日本瓦斯(株)(旧：東日本ガス(株)、東彩ガス(株)、北日本ガス(株))メニューA</v>
      </c>
      <c r="S38" s="182">
        <f t="shared" si="2"/>
        <v>0</v>
      </c>
    </row>
    <row r="39" spans="2:19">
      <c r="B39" s="124" t="s">
        <v>455</v>
      </c>
      <c r="C39" s="154" t="s">
        <v>1673</v>
      </c>
      <c r="D39" s="154" t="str">
        <f t="shared" si="0"/>
        <v>A0040:アルカナエナジー(株)</v>
      </c>
      <c r="I39" s="124" t="s">
        <v>952</v>
      </c>
      <c r="J39" s="124" t="s">
        <v>953</v>
      </c>
      <c r="K39" s="182" t="s">
        <v>398</v>
      </c>
      <c r="L39" s="182">
        <v>3.8200000000000002E-4</v>
      </c>
      <c r="M39" s="182">
        <v>3.4099999999999999E-4</v>
      </c>
      <c r="N39" s="182">
        <v>3.4099999999999999E-4</v>
      </c>
      <c r="O39" s="182">
        <v>3.4099999999999999E-4</v>
      </c>
      <c r="P39" s="182">
        <v>3.4099999999999999E-4</v>
      </c>
      <c r="R39" s="154" t="str">
        <f t="shared" si="1"/>
        <v>A0440:日本瓦斯(株)(旧：東日本ガス(株)、東彩ガス(株)、北日本ガス(株))メニューB</v>
      </c>
      <c r="S39" s="182">
        <f t="shared" si="2"/>
        <v>3.8200000000000002E-4</v>
      </c>
    </row>
    <row r="40" spans="2:19">
      <c r="B40" s="124" t="s">
        <v>456</v>
      </c>
      <c r="C40" s="154" t="s">
        <v>1674</v>
      </c>
      <c r="D40" s="154" t="str">
        <f t="shared" si="0"/>
        <v>A0042:新エネルギー開発(株)</v>
      </c>
      <c r="I40" s="124" t="s">
        <v>952</v>
      </c>
      <c r="J40" s="124" t="s">
        <v>953</v>
      </c>
      <c r="K40" s="182" t="s">
        <v>2010</v>
      </c>
      <c r="L40" s="182">
        <v>3.8000000000000002E-4</v>
      </c>
      <c r="M40" s="182">
        <v>3.4099999999999999E-4</v>
      </c>
      <c r="N40" s="182">
        <v>3.4099999999999999E-4</v>
      </c>
      <c r="O40" s="182">
        <v>3.4099999999999999E-4</v>
      </c>
      <c r="P40" s="182">
        <v>3.4099999999999999E-4</v>
      </c>
      <c r="R40" s="154" t="str">
        <f t="shared" si="1"/>
        <v>A0440:日本瓦斯(株)(旧：東日本ガス(株)、東彩ガス(株)、北日本ガス(株))(参考値)事業者全体</v>
      </c>
      <c r="S40" s="182">
        <f t="shared" si="2"/>
        <v>3.8000000000000002E-4</v>
      </c>
    </row>
    <row r="41" spans="2:19">
      <c r="B41" s="124" t="s">
        <v>457</v>
      </c>
      <c r="C41" s="154" t="s">
        <v>458</v>
      </c>
      <c r="D41" s="154" t="str">
        <f t="shared" ref="D41:D58" si="3">B41&amp;":"&amp;C41</f>
        <v>A0043:伊藤忠エネクス(株)</v>
      </c>
      <c r="I41" s="124" t="s">
        <v>674</v>
      </c>
      <c r="J41" s="124" t="s">
        <v>675</v>
      </c>
      <c r="K41" s="182"/>
      <c r="L41" s="182">
        <v>3.4099999999999999E-4</v>
      </c>
      <c r="M41" s="182">
        <v>4.2900000000000002E-4</v>
      </c>
      <c r="N41" s="182">
        <v>4.2900000000000002E-4</v>
      </c>
      <c r="O41" s="182">
        <v>4.2900000000000002E-4</v>
      </c>
      <c r="P41" s="182">
        <v>4.2900000000000002E-4</v>
      </c>
      <c r="R41" s="154" t="str">
        <f t="shared" si="1"/>
        <v>A0196:日高都市ガス(株)</v>
      </c>
      <c r="S41" s="182">
        <f t="shared" si="2"/>
        <v>3.4099999999999999E-4</v>
      </c>
    </row>
    <row r="42" spans="2:19">
      <c r="B42" s="124" t="s">
        <v>459</v>
      </c>
      <c r="C42" s="154" t="s">
        <v>460</v>
      </c>
      <c r="D42" s="154" t="str">
        <f t="shared" si="3"/>
        <v>A0045:(株)V-Power</v>
      </c>
      <c r="I42" s="124" t="s">
        <v>589</v>
      </c>
      <c r="J42" s="124" t="s">
        <v>590</v>
      </c>
      <c r="K42" s="182" t="s">
        <v>390</v>
      </c>
      <c r="L42" s="182">
        <v>0</v>
      </c>
      <c r="M42" s="182">
        <v>0</v>
      </c>
      <c r="N42" s="182">
        <v>0</v>
      </c>
      <c r="O42" s="182">
        <v>0</v>
      </c>
      <c r="P42" s="182">
        <v>0</v>
      </c>
      <c r="R42" s="154" t="str">
        <f t="shared" si="1"/>
        <v>A0142:武州瓦斯(株)メニューA</v>
      </c>
      <c r="S42" s="182">
        <f t="shared" si="2"/>
        <v>0</v>
      </c>
    </row>
    <row r="43" spans="2:19">
      <c r="B43" s="124" t="s">
        <v>461</v>
      </c>
      <c r="C43" s="154" t="s">
        <v>462</v>
      </c>
      <c r="D43" s="154" t="str">
        <f t="shared" si="3"/>
        <v>A0046:大和エネルギー(株)</v>
      </c>
      <c r="I43" s="124" t="s">
        <v>589</v>
      </c>
      <c r="J43" s="124" t="s">
        <v>590</v>
      </c>
      <c r="K43" s="182" t="s">
        <v>398</v>
      </c>
      <c r="L43" s="182">
        <v>3.4099999999999999E-4</v>
      </c>
      <c r="M43" s="182">
        <v>0</v>
      </c>
      <c r="N43" s="182">
        <v>0</v>
      </c>
      <c r="O43" s="182">
        <v>0</v>
      </c>
      <c r="P43" s="182">
        <v>0</v>
      </c>
      <c r="R43" s="154" t="str">
        <f t="shared" si="1"/>
        <v>A0142:武州瓦斯(株)メニューB</v>
      </c>
      <c r="S43" s="182">
        <f t="shared" si="2"/>
        <v>3.4099999999999999E-4</v>
      </c>
    </row>
    <row r="44" spans="2:19">
      <c r="B44" s="124" t="s">
        <v>463</v>
      </c>
      <c r="C44" s="154" t="s">
        <v>464</v>
      </c>
      <c r="D44" s="154" t="str">
        <f t="shared" si="3"/>
        <v>A0048:大阪瓦斯(株)</v>
      </c>
      <c r="I44" s="124" t="s">
        <v>589</v>
      </c>
      <c r="J44" s="124" t="s">
        <v>590</v>
      </c>
      <c r="K44" s="182" t="s">
        <v>2010</v>
      </c>
      <c r="L44" s="182">
        <v>3.39E-4</v>
      </c>
      <c r="M44" s="182">
        <v>4.1300000000000001E-4</v>
      </c>
      <c r="N44" s="182">
        <v>4.1300000000000001E-4</v>
      </c>
      <c r="O44" s="182">
        <v>4.1300000000000001E-4</v>
      </c>
      <c r="P44" s="182">
        <v>4.1300000000000001E-4</v>
      </c>
      <c r="R44" s="154" t="str">
        <f t="shared" si="1"/>
        <v>A0142:武州瓦斯(株)(参考値)事業者全体</v>
      </c>
      <c r="S44" s="182">
        <f t="shared" si="2"/>
        <v>3.39E-4</v>
      </c>
    </row>
    <row r="45" spans="2:19">
      <c r="B45" s="124" t="s">
        <v>465</v>
      </c>
      <c r="C45" s="154" t="s">
        <v>466</v>
      </c>
      <c r="D45" s="154" t="str">
        <f t="shared" si="3"/>
        <v>A0049:エフビットコミュニケーションズ(株)　</v>
      </c>
      <c r="I45" s="124" t="s">
        <v>889</v>
      </c>
      <c r="J45" s="124" t="s">
        <v>890</v>
      </c>
      <c r="K45" s="182"/>
      <c r="L45" s="182">
        <v>3.4099999999999999E-4</v>
      </c>
      <c r="M45" s="182">
        <v>0</v>
      </c>
      <c r="N45" s="182">
        <v>0</v>
      </c>
      <c r="O45" s="182">
        <v>0</v>
      </c>
      <c r="P45" s="182">
        <v>0</v>
      </c>
      <c r="R45" s="154" t="str">
        <f t="shared" si="1"/>
        <v>A0378:本庄ガス(株)</v>
      </c>
      <c r="S45" s="182">
        <f t="shared" si="2"/>
        <v>3.4099999999999999E-4</v>
      </c>
    </row>
    <row r="46" spans="2:19">
      <c r="B46" s="124" t="s">
        <v>467</v>
      </c>
      <c r="C46" s="154" t="s">
        <v>1675</v>
      </c>
      <c r="D46" s="154" t="str">
        <f t="shared" si="3"/>
        <v>A0050:ENEOS Power(株)（旧:ENEOS(株)）</v>
      </c>
      <c r="I46" s="124" t="s">
        <v>384</v>
      </c>
      <c r="J46" s="124" t="s">
        <v>385</v>
      </c>
      <c r="K46" s="182"/>
      <c r="L46" s="182">
        <v>4.2900000000000002E-4</v>
      </c>
      <c r="M46" s="182">
        <v>3.9500000000000001E-4</v>
      </c>
      <c r="N46" s="182">
        <v>3.9500000000000001E-4</v>
      </c>
      <c r="O46" s="182">
        <v>3.9500000000000001E-4</v>
      </c>
      <c r="P46" s="182">
        <v>3.9500000000000001E-4</v>
      </c>
      <c r="R46" s="154" t="str">
        <f t="shared" si="1"/>
        <v>A0002:イーレックス(株)</v>
      </c>
      <c r="S46" s="182">
        <f t="shared" si="2"/>
        <v>4.2900000000000002E-4</v>
      </c>
    </row>
    <row r="47" spans="2:19">
      <c r="B47" s="124" t="s">
        <v>468</v>
      </c>
      <c r="C47" s="154" t="s">
        <v>469</v>
      </c>
      <c r="D47" s="154" t="str">
        <f t="shared" si="3"/>
        <v>A0051:真庭バイオエネルギー(株)</v>
      </c>
      <c r="I47" s="124" t="s">
        <v>386</v>
      </c>
      <c r="J47" s="124" t="s">
        <v>387</v>
      </c>
      <c r="K47" s="182"/>
      <c r="L47" s="182">
        <v>0</v>
      </c>
      <c r="M47" s="182">
        <v>4.3300000000000001E-4</v>
      </c>
      <c r="N47" s="182">
        <v>4.3300000000000001E-4</v>
      </c>
      <c r="O47" s="182">
        <v>4.3300000000000001E-4</v>
      </c>
      <c r="P47" s="182">
        <v>4.3300000000000001E-4</v>
      </c>
      <c r="R47" s="154" t="str">
        <f t="shared" si="1"/>
        <v>A0003:リエスパワー(株)</v>
      </c>
      <c r="S47" s="182">
        <f t="shared" si="2"/>
        <v>0</v>
      </c>
    </row>
    <row r="48" spans="2:19">
      <c r="B48" s="124" t="s">
        <v>470</v>
      </c>
      <c r="C48" s="154" t="s">
        <v>471</v>
      </c>
      <c r="D48" s="154" t="str">
        <f t="shared" si="3"/>
        <v>A0052:三井物産(株)</v>
      </c>
      <c r="I48" s="124" t="s">
        <v>388</v>
      </c>
      <c r="J48" s="124" t="s">
        <v>389</v>
      </c>
      <c r="K48" s="182" t="s">
        <v>390</v>
      </c>
      <c r="L48" s="182">
        <v>0</v>
      </c>
      <c r="M48" s="182">
        <v>0</v>
      </c>
      <c r="N48" s="182">
        <v>0</v>
      </c>
      <c r="O48" s="182">
        <v>0</v>
      </c>
      <c r="P48" s="182">
        <v>0</v>
      </c>
      <c r="R48" s="154" t="str">
        <f t="shared" si="1"/>
        <v>A0004:エバーグリーン・リテイリング(株)メニューA</v>
      </c>
      <c r="S48" s="182">
        <f t="shared" si="2"/>
        <v>0</v>
      </c>
    </row>
    <row r="49" spans="2:19">
      <c r="B49" s="124" t="s">
        <v>472</v>
      </c>
      <c r="C49" s="154" t="s">
        <v>473</v>
      </c>
      <c r="D49" s="154" t="str">
        <f t="shared" si="3"/>
        <v>A0053:オリックス(株)</v>
      </c>
      <c r="I49" s="124" t="s">
        <v>388</v>
      </c>
      <c r="J49" s="124" t="s">
        <v>389</v>
      </c>
      <c r="K49" s="182" t="s">
        <v>398</v>
      </c>
      <c r="L49" s="182">
        <v>4.1300000000000001E-4</v>
      </c>
      <c r="M49" s="182">
        <v>0</v>
      </c>
      <c r="N49" s="182">
        <v>0</v>
      </c>
      <c r="O49" s="182">
        <v>0</v>
      </c>
      <c r="P49" s="182">
        <v>0</v>
      </c>
      <c r="R49" s="154" t="str">
        <f t="shared" si="1"/>
        <v>A0004:エバーグリーン・リテイリング(株)メニューB</v>
      </c>
      <c r="S49" s="182">
        <f t="shared" si="2"/>
        <v>4.1300000000000001E-4</v>
      </c>
    </row>
    <row r="50" spans="2:19">
      <c r="B50" s="124" t="s">
        <v>474</v>
      </c>
      <c r="C50" s="154" t="s">
        <v>475</v>
      </c>
      <c r="D50" s="154" t="str">
        <f t="shared" si="3"/>
        <v>A0054:(株)エネサンス関東</v>
      </c>
      <c r="I50" s="124" t="s">
        <v>388</v>
      </c>
      <c r="J50" s="124" t="s">
        <v>389</v>
      </c>
      <c r="K50" s="182" t="s">
        <v>2009</v>
      </c>
      <c r="L50" s="182">
        <v>4.0099999999999999E-4</v>
      </c>
      <c r="M50" s="182">
        <v>0</v>
      </c>
      <c r="N50" s="182">
        <v>0</v>
      </c>
      <c r="O50" s="182">
        <v>0</v>
      </c>
      <c r="P50" s="182">
        <v>0</v>
      </c>
      <c r="R50" s="154" t="str">
        <f t="shared" si="1"/>
        <v>A0004:エバーグリーン・リテイリング(株)(参考値)事業者全体</v>
      </c>
      <c r="S50" s="182">
        <f t="shared" si="2"/>
        <v>4.0099999999999999E-4</v>
      </c>
    </row>
    <row r="51" spans="2:19">
      <c r="B51" s="124" t="s">
        <v>476</v>
      </c>
      <c r="C51" s="154" t="s">
        <v>477</v>
      </c>
      <c r="D51" s="154" t="str">
        <f t="shared" si="3"/>
        <v>A0055:(株)UPDATER</v>
      </c>
      <c r="I51" s="124" t="s">
        <v>391</v>
      </c>
      <c r="J51" s="124" t="s">
        <v>1669</v>
      </c>
      <c r="K51" s="182" t="s">
        <v>390</v>
      </c>
      <c r="L51" s="182">
        <v>0</v>
      </c>
      <c r="M51" s="182">
        <v>2.9999999999999997E-4</v>
      </c>
      <c r="N51" s="182">
        <v>2.9999999999999997E-4</v>
      </c>
      <c r="O51" s="182">
        <v>2.9999999999999997E-4</v>
      </c>
      <c r="P51" s="182">
        <v>2.9999999999999997E-4</v>
      </c>
      <c r="R51" s="154" t="str">
        <f t="shared" si="1"/>
        <v>A0006:エバーグリーン・マーケティング(株)メニューA</v>
      </c>
      <c r="S51" s="182">
        <f t="shared" si="2"/>
        <v>0</v>
      </c>
    </row>
    <row r="52" spans="2:19">
      <c r="B52" s="124" t="s">
        <v>478</v>
      </c>
      <c r="C52" s="154" t="s">
        <v>1676</v>
      </c>
      <c r="D52" s="154" t="str">
        <f t="shared" si="3"/>
        <v>A0056:シン・エナジー(株)</v>
      </c>
      <c r="I52" s="124" t="s">
        <v>391</v>
      </c>
      <c r="J52" s="124" t="s">
        <v>1669</v>
      </c>
      <c r="K52" s="182" t="s">
        <v>398</v>
      </c>
      <c r="L52" s="182">
        <v>3.9500000000000001E-4</v>
      </c>
      <c r="M52" s="182">
        <v>3.4899999999999997E-4</v>
      </c>
      <c r="N52" s="182">
        <v>3.4899999999999997E-4</v>
      </c>
      <c r="O52" s="182">
        <v>3.4899999999999997E-4</v>
      </c>
      <c r="P52" s="182">
        <v>3.4899999999999997E-4</v>
      </c>
      <c r="R52" s="154" t="str">
        <f t="shared" si="1"/>
        <v>A0006:エバーグリーン・マーケティング(株)メニューB</v>
      </c>
      <c r="S52" s="182">
        <f t="shared" si="2"/>
        <v>3.9500000000000001E-4</v>
      </c>
    </row>
    <row r="53" spans="2:19">
      <c r="B53" s="124" t="s">
        <v>479</v>
      </c>
      <c r="C53" s="154" t="s">
        <v>480</v>
      </c>
      <c r="D53" s="154" t="str">
        <f t="shared" si="3"/>
        <v>A0057:(株)サニックス</v>
      </c>
      <c r="I53" s="124" t="s">
        <v>391</v>
      </c>
      <c r="J53" s="124" t="s">
        <v>1669</v>
      </c>
      <c r="K53" s="182" t="s">
        <v>2010</v>
      </c>
      <c r="L53" s="182">
        <v>3.4499999999999998E-4</v>
      </c>
      <c r="M53" s="182">
        <v>4.0000000000000002E-4</v>
      </c>
      <c r="N53" s="182">
        <v>4.0000000000000002E-4</v>
      </c>
      <c r="O53" s="182">
        <v>4.0000000000000002E-4</v>
      </c>
      <c r="P53" s="182">
        <v>4.0000000000000002E-4</v>
      </c>
      <c r="R53" s="154" t="str">
        <f t="shared" si="1"/>
        <v>A0006:エバーグリーン・マーケティング(株)(参考値)事業者全体</v>
      </c>
      <c r="S53" s="182">
        <f t="shared" si="2"/>
        <v>3.4499999999999998E-4</v>
      </c>
    </row>
    <row r="54" spans="2:19">
      <c r="B54" s="124" t="s">
        <v>481</v>
      </c>
      <c r="C54" s="154" t="s">
        <v>482</v>
      </c>
      <c r="D54" s="154" t="str">
        <f t="shared" si="3"/>
        <v>A0058:(株)コンシェルジュ</v>
      </c>
      <c r="I54" s="124" t="s">
        <v>392</v>
      </c>
      <c r="J54" s="124" t="s">
        <v>393</v>
      </c>
      <c r="K54" s="182"/>
      <c r="L54" s="182">
        <v>4.3300000000000001E-4</v>
      </c>
      <c r="M54" s="182">
        <v>4.3199999999999998E-4</v>
      </c>
      <c r="N54" s="182">
        <v>4.3199999999999998E-4</v>
      </c>
      <c r="O54" s="182">
        <v>4.3199999999999998E-4</v>
      </c>
      <c r="P54" s="182">
        <v>4.3199999999999998E-4</v>
      </c>
      <c r="R54" s="154" t="str">
        <f t="shared" si="1"/>
        <v>A0007:(株)SEウイングズ</v>
      </c>
      <c r="S54" s="182">
        <f t="shared" si="2"/>
        <v>4.3300000000000001E-4</v>
      </c>
    </row>
    <row r="55" spans="2:19">
      <c r="B55" s="124" t="s">
        <v>483</v>
      </c>
      <c r="C55" s="154" t="s">
        <v>484</v>
      </c>
      <c r="D55" s="154" t="str">
        <f t="shared" si="3"/>
        <v>A0060:(株)アイ・グリッド・ソリューションズ</v>
      </c>
      <c r="I55" s="124" t="s">
        <v>394</v>
      </c>
      <c r="J55" s="124" t="s">
        <v>395</v>
      </c>
      <c r="K55" s="182" t="s">
        <v>390</v>
      </c>
      <c r="L55" s="182">
        <v>0</v>
      </c>
      <c r="M55" s="182">
        <v>0</v>
      </c>
      <c r="N55" s="182">
        <v>0</v>
      </c>
      <c r="O55" s="182">
        <v>0</v>
      </c>
      <c r="P55" s="182">
        <v>0</v>
      </c>
      <c r="R55" s="154" t="str">
        <f t="shared" si="1"/>
        <v>A0008:(株)イーセルメニューA</v>
      </c>
      <c r="S55" s="182">
        <f t="shared" si="2"/>
        <v>0</v>
      </c>
    </row>
    <row r="56" spans="2:19">
      <c r="B56" s="124" t="s">
        <v>485</v>
      </c>
      <c r="C56" s="154" t="s">
        <v>486</v>
      </c>
      <c r="D56" s="154" t="str">
        <f t="shared" si="3"/>
        <v>A0061:サミットエナジー(株)</v>
      </c>
      <c r="I56" s="124" t="s">
        <v>394</v>
      </c>
      <c r="J56" s="124" t="s">
        <v>395</v>
      </c>
      <c r="K56" s="182" t="s">
        <v>2010</v>
      </c>
      <c r="L56" s="182">
        <v>4.6000000000000001E-4</v>
      </c>
      <c r="M56" s="182">
        <v>0</v>
      </c>
      <c r="N56" s="182">
        <v>0</v>
      </c>
      <c r="O56" s="182">
        <v>0</v>
      </c>
      <c r="P56" s="182">
        <v>0</v>
      </c>
      <c r="R56" s="154" t="str">
        <f t="shared" si="1"/>
        <v>A0008:(株)イーセル(参考値)事業者全体</v>
      </c>
      <c r="S56" s="182">
        <f t="shared" si="2"/>
        <v>4.6000000000000001E-4</v>
      </c>
    </row>
    <row r="57" spans="2:19">
      <c r="B57" s="124" t="s">
        <v>487</v>
      </c>
      <c r="C57" s="154" t="s">
        <v>488</v>
      </c>
      <c r="D57" s="154" t="str">
        <f t="shared" si="3"/>
        <v>A0062:リコージャパン(株)</v>
      </c>
      <c r="I57" s="124" t="s">
        <v>396</v>
      </c>
      <c r="J57" s="124" t="s">
        <v>397</v>
      </c>
      <c r="K57" s="182" t="s">
        <v>390</v>
      </c>
      <c r="L57" s="182">
        <v>0</v>
      </c>
      <c r="M57" s="182">
        <v>0</v>
      </c>
      <c r="N57" s="182">
        <v>0</v>
      </c>
      <c r="O57" s="182">
        <v>0</v>
      </c>
      <c r="P57" s="182">
        <v>0</v>
      </c>
      <c r="R57" s="154" t="str">
        <f t="shared" si="1"/>
        <v>A0009:(株)エネットメニューA</v>
      </c>
      <c r="S57" s="182">
        <f t="shared" si="2"/>
        <v>0</v>
      </c>
    </row>
    <row r="58" spans="2:19">
      <c r="B58" s="124" t="s">
        <v>489</v>
      </c>
      <c r="C58" s="154" t="s">
        <v>490</v>
      </c>
      <c r="D58" s="154" t="str">
        <f t="shared" si="3"/>
        <v>A0063:(株)エネルギア・ソリューション・アンド・サービス</v>
      </c>
      <c r="I58" s="124" t="s">
        <v>396</v>
      </c>
      <c r="J58" s="124" t="s">
        <v>397</v>
      </c>
      <c r="K58" s="182" t="s">
        <v>398</v>
      </c>
      <c r="L58" s="182">
        <v>0</v>
      </c>
      <c r="M58" s="182">
        <v>5.4500000000000002E-4</v>
      </c>
      <c r="N58" s="182">
        <v>5.4500000000000002E-4</v>
      </c>
      <c r="O58" s="182">
        <v>5.4500000000000002E-4</v>
      </c>
      <c r="P58" s="182">
        <v>5.4500000000000002E-4</v>
      </c>
      <c r="R58" s="154" t="str">
        <f t="shared" si="1"/>
        <v>A0009:(株)エネットメニューB</v>
      </c>
      <c r="S58" s="182">
        <f t="shared" si="2"/>
        <v>0</v>
      </c>
    </row>
    <row r="59" spans="2:19">
      <c r="B59" s="124" t="s">
        <v>491</v>
      </c>
      <c r="C59" s="154" t="s">
        <v>492</v>
      </c>
      <c r="D59" s="154" t="str">
        <f t="shared" ref="D59:D103" si="4">B59&amp;":"&amp;C59</f>
        <v>A0064:東京ガス(株)</v>
      </c>
      <c r="I59" s="124" t="s">
        <v>396</v>
      </c>
      <c r="J59" s="124" t="s">
        <v>397</v>
      </c>
      <c r="K59" s="182" t="s">
        <v>399</v>
      </c>
      <c r="L59" s="182">
        <v>2.9999999999999997E-4</v>
      </c>
      <c r="M59" s="182">
        <v>0</v>
      </c>
      <c r="N59" s="182">
        <v>0</v>
      </c>
      <c r="O59" s="182">
        <v>0</v>
      </c>
      <c r="P59" s="182">
        <v>0</v>
      </c>
      <c r="R59" s="154" t="str">
        <f t="shared" si="1"/>
        <v>A0009:(株)エネットメニューC</v>
      </c>
      <c r="S59" s="182">
        <f t="shared" si="2"/>
        <v>2.9999999999999997E-4</v>
      </c>
    </row>
    <row r="60" spans="2:19">
      <c r="B60" s="124" t="s">
        <v>493</v>
      </c>
      <c r="C60" s="154" t="s">
        <v>494</v>
      </c>
      <c r="D60" s="154" t="str">
        <f t="shared" si="4"/>
        <v>A0065:テス・エンジニアリング(株)</v>
      </c>
      <c r="I60" s="124" t="s">
        <v>396</v>
      </c>
      <c r="J60" s="124" t="s">
        <v>397</v>
      </c>
      <c r="K60" s="182" t="s">
        <v>400</v>
      </c>
      <c r="L60" s="182">
        <v>3.4899999999999997E-4</v>
      </c>
      <c r="M60" s="182">
        <v>0</v>
      </c>
      <c r="N60" s="182">
        <v>0</v>
      </c>
      <c r="O60" s="182">
        <v>0</v>
      </c>
      <c r="P60" s="182">
        <v>0</v>
      </c>
      <c r="R60" s="154" t="str">
        <f t="shared" si="1"/>
        <v>A0009:(株)エネットメニューD</v>
      </c>
      <c r="S60" s="182">
        <f t="shared" si="2"/>
        <v>3.4899999999999997E-4</v>
      </c>
    </row>
    <row r="61" spans="2:19">
      <c r="B61" s="124" t="s">
        <v>495</v>
      </c>
      <c r="C61" s="154" t="s">
        <v>496</v>
      </c>
      <c r="D61" s="154" t="str">
        <f t="shared" si="4"/>
        <v>A0066:青梅ガス(株)</v>
      </c>
      <c r="I61" s="124" t="s">
        <v>396</v>
      </c>
      <c r="J61" s="124" t="s">
        <v>397</v>
      </c>
      <c r="K61" s="182" t="s">
        <v>401</v>
      </c>
      <c r="L61" s="182">
        <v>4.0000000000000002E-4</v>
      </c>
      <c r="M61" s="182">
        <v>2.0000000000000001E-4</v>
      </c>
      <c r="N61" s="182">
        <v>2.0000000000000001E-4</v>
      </c>
      <c r="O61" s="182">
        <v>2.0000000000000001E-4</v>
      </c>
      <c r="P61" s="182">
        <v>2.0000000000000001E-4</v>
      </c>
      <c r="R61" s="154" t="str">
        <f t="shared" si="1"/>
        <v>A0009:(株)エネットメニューE</v>
      </c>
      <c r="S61" s="182">
        <f t="shared" si="2"/>
        <v>4.0000000000000002E-4</v>
      </c>
    </row>
    <row r="62" spans="2:19">
      <c r="B62" s="124" t="s">
        <v>497</v>
      </c>
      <c r="C62" s="154" t="s">
        <v>498</v>
      </c>
      <c r="D62" s="154" t="str">
        <f t="shared" si="4"/>
        <v>A0067:(株)イーネットワークシステムズ</v>
      </c>
      <c r="I62" s="124" t="s">
        <v>396</v>
      </c>
      <c r="J62" s="124" t="s">
        <v>397</v>
      </c>
      <c r="K62" s="182" t="s">
        <v>414</v>
      </c>
      <c r="L62" s="182">
        <v>4.3199999999999998E-4</v>
      </c>
      <c r="M62" s="182">
        <v>7.2900000000000005E-4</v>
      </c>
      <c r="N62" s="182">
        <v>7.2900000000000005E-4</v>
      </c>
      <c r="O62" s="182">
        <v>7.2900000000000005E-4</v>
      </c>
      <c r="P62" s="182">
        <v>7.2900000000000005E-4</v>
      </c>
      <c r="R62" s="154" t="str">
        <f t="shared" si="1"/>
        <v>A0009:(株)エネットメニューF</v>
      </c>
      <c r="S62" s="182">
        <f t="shared" si="2"/>
        <v>4.3199999999999998E-4</v>
      </c>
    </row>
    <row r="63" spans="2:19">
      <c r="B63" s="124" t="s">
        <v>499</v>
      </c>
      <c r="C63" s="154" t="s">
        <v>500</v>
      </c>
      <c r="D63" s="154" t="str">
        <f t="shared" si="4"/>
        <v>A0068:(株)エネアーク関東</v>
      </c>
      <c r="I63" s="124" t="s">
        <v>396</v>
      </c>
      <c r="J63" s="124" t="s">
        <v>397</v>
      </c>
      <c r="K63" s="182" t="s">
        <v>2010</v>
      </c>
      <c r="L63" s="182">
        <v>3.7399999999999998E-4</v>
      </c>
      <c r="M63" s="182">
        <v>0</v>
      </c>
      <c r="N63" s="182">
        <v>0</v>
      </c>
      <c r="O63" s="182">
        <v>0</v>
      </c>
      <c r="P63" s="182">
        <v>0</v>
      </c>
      <c r="R63" s="154" t="str">
        <f t="shared" si="1"/>
        <v>A0009:(株)エネット(参考値)事業者全体</v>
      </c>
      <c r="S63" s="182">
        <f t="shared" si="2"/>
        <v>3.7399999999999998E-4</v>
      </c>
    </row>
    <row r="64" spans="2:19">
      <c r="B64" s="124" t="s">
        <v>501</v>
      </c>
      <c r="C64" s="154" t="s">
        <v>502</v>
      </c>
      <c r="D64" s="154" t="str">
        <f t="shared" si="4"/>
        <v>A0069:(株)東急パワーサプライ</v>
      </c>
      <c r="I64" s="124" t="s">
        <v>402</v>
      </c>
      <c r="J64" s="124" t="s">
        <v>403</v>
      </c>
      <c r="K64" s="182" t="s">
        <v>390</v>
      </c>
      <c r="L64" s="182">
        <v>0</v>
      </c>
      <c r="M64" s="182">
        <v>5.4100000000000003E-4</v>
      </c>
      <c r="N64" s="182">
        <v>5.4100000000000003E-4</v>
      </c>
      <c r="O64" s="182">
        <v>5.4100000000000003E-4</v>
      </c>
      <c r="P64" s="182">
        <v>5.4100000000000003E-4</v>
      </c>
      <c r="R64" s="154" t="str">
        <f t="shared" si="1"/>
        <v>A0011:須賀川瓦斯(株)メニューA</v>
      </c>
      <c r="S64" s="182">
        <f t="shared" si="2"/>
        <v>0</v>
      </c>
    </row>
    <row r="65" spans="2:19">
      <c r="B65" s="124" t="s">
        <v>503</v>
      </c>
      <c r="C65" s="154" t="s">
        <v>504</v>
      </c>
      <c r="D65" s="154" t="str">
        <f t="shared" si="4"/>
        <v>A0070:王子・伊藤忠エネクス電力販売(株)</v>
      </c>
      <c r="I65" s="124" t="s">
        <v>402</v>
      </c>
      <c r="J65" s="124" t="s">
        <v>403</v>
      </c>
      <c r="K65" s="182" t="s">
        <v>398</v>
      </c>
      <c r="L65" s="182">
        <v>0</v>
      </c>
      <c r="M65" s="182">
        <v>0</v>
      </c>
      <c r="N65" s="182">
        <v>0</v>
      </c>
      <c r="O65" s="182">
        <v>0</v>
      </c>
      <c r="P65" s="182">
        <v>0</v>
      </c>
      <c r="R65" s="154" t="str">
        <f t="shared" si="1"/>
        <v>A0011:須賀川瓦斯(株)メニューB</v>
      </c>
      <c r="S65" s="182">
        <f t="shared" si="2"/>
        <v>0</v>
      </c>
    </row>
    <row r="66" spans="2:19">
      <c r="B66" s="124" t="s">
        <v>505</v>
      </c>
      <c r="C66" s="154" t="s">
        <v>1677</v>
      </c>
      <c r="D66" s="154" t="str">
        <f t="shared" si="4"/>
        <v>A0071:伊藤忠商事(株)</v>
      </c>
      <c r="I66" s="124" t="s">
        <v>402</v>
      </c>
      <c r="J66" s="124" t="s">
        <v>403</v>
      </c>
      <c r="K66" s="182" t="s">
        <v>399</v>
      </c>
      <c r="L66" s="182">
        <v>0</v>
      </c>
      <c r="M66" s="182">
        <v>9.8700000000000003E-4</v>
      </c>
      <c r="N66" s="182">
        <v>9.8700000000000003E-4</v>
      </c>
      <c r="O66" s="182">
        <v>9.8700000000000003E-4</v>
      </c>
      <c r="P66" s="182">
        <v>9.8700000000000003E-4</v>
      </c>
      <c r="R66" s="154" t="str">
        <f t="shared" si="1"/>
        <v>A0011:須賀川瓦斯(株)メニューC</v>
      </c>
      <c r="S66" s="182">
        <f t="shared" si="2"/>
        <v>0</v>
      </c>
    </row>
    <row r="67" spans="2:19">
      <c r="B67" s="124" t="s">
        <v>506</v>
      </c>
      <c r="C67" s="154" t="s">
        <v>507</v>
      </c>
      <c r="D67" s="154" t="str">
        <f t="shared" si="4"/>
        <v>A0072:(株)エコスタイル</v>
      </c>
      <c r="I67" s="124" t="s">
        <v>402</v>
      </c>
      <c r="J67" s="124" t="s">
        <v>403</v>
      </c>
      <c r="K67" s="182" t="s">
        <v>400</v>
      </c>
      <c r="L67" s="182">
        <v>5.4500000000000002E-4</v>
      </c>
      <c r="M67" s="182">
        <v>4.0300000000000004E-4</v>
      </c>
      <c r="N67" s="182">
        <v>4.0300000000000004E-4</v>
      </c>
      <c r="O67" s="182">
        <v>4.0300000000000004E-4</v>
      </c>
      <c r="P67" s="182">
        <v>4.0300000000000004E-4</v>
      </c>
      <c r="R67" s="154" t="str">
        <f t="shared" si="1"/>
        <v>A0011:須賀川瓦斯(株)メニューD</v>
      </c>
      <c r="S67" s="182">
        <f t="shared" si="2"/>
        <v>5.4500000000000002E-4</v>
      </c>
    </row>
    <row r="68" spans="2:19">
      <c r="B68" s="124" t="s">
        <v>508</v>
      </c>
      <c r="C68" s="154" t="s">
        <v>509</v>
      </c>
      <c r="D68" s="154" t="str">
        <f t="shared" si="4"/>
        <v>A0073:入間ガス(株)</v>
      </c>
      <c r="I68" s="124" t="s">
        <v>402</v>
      </c>
      <c r="J68" s="124" t="s">
        <v>403</v>
      </c>
      <c r="K68" s="182" t="s">
        <v>2010</v>
      </c>
      <c r="L68" s="182">
        <v>5.4299999999999997E-4</v>
      </c>
      <c r="M68" s="182">
        <v>4.4999999999999999E-4</v>
      </c>
      <c r="N68" s="182">
        <v>4.4999999999999999E-4</v>
      </c>
      <c r="O68" s="182">
        <v>4.4999999999999999E-4</v>
      </c>
      <c r="P68" s="182">
        <v>4.4999999999999999E-4</v>
      </c>
      <c r="R68" s="154" t="str">
        <f t="shared" si="1"/>
        <v>A0011:須賀川瓦斯(株)(参考値)事業者全体</v>
      </c>
      <c r="S68" s="182">
        <f t="shared" si="2"/>
        <v>5.4299999999999997E-4</v>
      </c>
    </row>
    <row r="69" spans="2:19">
      <c r="B69" s="124" t="s">
        <v>510</v>
      </c>
      <c r="C69" s="154" t="s">
        <v>511</v>
      </c>
      <c r="D69" s="154" t="str">
        <f t="shared" si="4"/>
        <v>A0074:テプコカスタマーサービス(株)</v>
      </c>
      <c r="I69" s="124" t="s">
        <v>404</v>
      </c>
      <c r="J69" s="124" t="s">
        <v>405</v>
      </c>
      <c r="K69" s="182" t="s">
        <v>390</v>
      </c>
      <c r="L69" s="182">
        <v>0</v>
      </c>
      <c r="M69" s="182">
        <v>0</v>
      </c>
      <c r="N69" s="182">
        <v>0</v>
      </c>
      <c r="O69" s="182">
        <v>0</v>
      </c>
      <c r="P69" s="182">
        <v>0</v>
      </c>
      <c r="R69" s="154" t="str">
        <f t="shared" si="1"/>
        <v>A0012:出光興産(株)メニューA</v>
      </c>
      <c r="S69" s="182">
        <f t="shared" si="2"/>
        <v>0</v>
      </c>
    </row>
    <row r="70" spans="2:19">
      <c r="B70" s="124" t="s">
        <v>512</v>
      </c>
      <c r="C70" s="154" t="s">
        <v>513</v>
      </c>
      <c r="D70" s="154" t="str">
        <f t="shared" si="4"/>
        <v>A0075:(株)とんでんホールディングス</v>
      </c>
      <c r="I70" s="124" t="s">
        <v>404</v>
      </c>
      <c r="J70" s="124" t="s">
        <v>405</v>
      </c>
      <c r="K70" s="182" t="s">
        <v>398</v>
      </c>
      <c r="L70" s="182">
        <v>0</v>
      </c>
      <c r="M70" s="182">
        <v>2.0000000000000001E-4</v>
      </c>
      <c r="N70" s="182">
        <v>2.0000000000000001E-4</v>
      </c>
      <c r="O70" s="182">
        <v>2.0000000000000001E-4</v>
      </c>
      <c r="P70" s="182">
        <v>2.0000000000000001E-4</v>
      </c>
      <c r="R70" s="154" t="str">
        <f t="shared" si="1"/>
        <v>A0012:出光興産(株)メニューB</v>
      </c>
      <c r="S70" s="182">
        <f t="shared" si="2"/>
        <v>0</v>
      </c>
    </row>
    <row r="71" spans="2:19">
      <c r="B71" s="124" t="s">
        <v>514</v>
      </c>
      <c r="C71" s="154" t="s">
        <v>515</v>
      </c>
      <c r="D71" s="154" t="str">
        <f t="shared" si="4"/>
        <v>A0076:日鉄エンジニアリング(株)</v>
      </c>
      <c r="I71" s="124" t="s">
        <v>404</v>
      </c>
      <c r="J71" s="124" t="s">
        <v>405</v>
      </c>
      <c r="K71" s="182" t="s">
        <v>399</v>
      </c>
      <c r="L71" s="182">
        <v>2.0000000000000001E-4</v>
      </c>
      <c r="M71" s="182">
        <v>0</v>
      </c>
      <c r="N71" s="182">
        <v>0</v>
      </c>
      <c r="O71" s="182">
        <v>0</v>
      </c>
      <c r="P71" s="182">
        <v>0</v>
      </c>
      <c r="R71" s="154" t="str">
        <f t="shared" si="1"/>
        <v>A0012:出光興産(株)メニューC</v>
      </c>
      <c r="S71" s="182">
        <f t="shared" si="2"/>
        <v>2.0000000000000001E-4</v>
      </c>
    </row>
    <row r="72" spans="2:19">
      <c r="B72" s="124" t="s">
        <v>516</v>
      </c>
      <c r="C72" s="154" t="s">
        <v>517</v>
      </c>
      <c r="D72" s="154" t="str">
        <f t="shared" si="4"/>
        <v>A0077:auエネルギー＆ライフ(株)</v>
      </c>
      <c r="I72" s="124" t="s">
        <v>404</v>
      </c>
      <c r="J72" s="124" t="s">
        <v>405</v>
      </c>
      <c r="K72" s="182" t="s">
        <v>400</v>
      </c>
      <c r="L72" s="182">
        <v>7.2900000000000005E-4</v>
      </c>
      <c r="M72" s="182">
        <v>0</v>
      </c>
      <c r="N72" s="182">
        <v>0</v>
      </c>
      <c r="O72" s="182">
        <v>0</v>
      </c>
      <c r="P72" s="182">
        <v>0</v>
      </c>
      <c r="R72" s="154" t="str">
        <f t="shared" si="1"/>
        <v>A0012:出光興産(株)メニューD</v>
      </c>
      <c r="S72" s="182">
        <f t="shared" si="2"/>
        <v>7.2900000000000005E-4</v>
      </c>
    </row>
    <row r="73" spans="2:19">
      <c r="B73" s="124" t="s">
        <v>518</v>
      </c>
      <c r="C73" s="154" t="s">
        <v>519</v>
      </c>
      <c r="D73" s="154" t="str">
        <f t="shared" si="4"/>
        <v>A0079:イワタニ関東(株)</v>
      </c>
      <c r="I73" s="124" t="s">
        <v>404</v>
      </c>
      <c r="J73" s="124" t="s">
        <v>405</v>
      </c>
      <c r="K73" s="182" t="s">
        <v>2010</v>
      </c>
      <c r="L73" s="182">
        <v>7.0899999999999999E-4</v>
      </c>
      <c r="M73" s="182">
        <v>2.5800000000000004E-4</v>
      </c>
      <c r="N73" s="182">
        <v>2.5800000000000004E-4</v>
      </c>
      <c r="O73" s="182">
        <v>2.5800000000000004E-4</v>
      </c>
      <c r="P73" s="182">
        <v>2.5800000000000004E-4</v>
      </c>
      <c r="R73" s="154" t="str">
        <f t="shared" si="1"/>
        <v>A0012:出光興産(株)(参考値)事業者全体</v>
      </c>
      <c r="S73" s="182">
        <f t="shared" si="2"/>
        <v>7.0899999999999999E-4</v>
      </c>
    </row>
    <row r="74" spans="2:19">
      <c r="B74" s="124" t="s">
        <v>520</v>
      </c>
      <c r="C74" s="154" t="s">
        <v>521</v>
      </c>
      <c r="D74" s="154" t="str">
        <f t="shared" si="4"/>
        <v>A0080:イワタニ首都圏(株)</v>
      </c>
      <c r="I74" s="124" t="s">
        <v>406</v>
      </c>
      <c r="J74" s="124" t="s">
        <v>407</v>
      </c>
      <c r="K74" s="182" t="s">
        <v>390</v>
      </c>
      <c r="L74" s="182">
        <v>0</v>
      </c>
      <c r="M74" s="182">
        <v>0</v>
      </c>
      <c r="N74" s="182">
        <v>0</v>
      </c>
      <c r="O74" s="182">
        <v>0</v>
      </c>
      <c r="P74" s="182">
        <v>0</v>
      </c>
      <c r="R74" s="154" t="str">
        <f t="shared" ref="R74:R137" si="5">I74&amp;":"&amp;J74&amp;K74</f>
        <v>A0013:(株)オプテージメニューA</v>
      </c>
      <c r="S74" s="182">
        <f t="shared" ref="S74:S137" si="6">HLOOKUP($S$8,$L$8:$P$1500,ROW()-7,FALSE)</f>
        <v>0</v>
      </c>
    </row>
    <row r="75" spans="2:19">
      <c r="B75" s="124" t="s">
        <v>522</v>
      </c>
      <c r="C75" s="154" t="s">
        <v>523</v>
      </c>
      <c r="D75" s="154" t="str">
        <f t="shared" si="4"/>
        <v>A0081:サーラeエナジー(株)</v>
      </c>
      <c r="I75" s="124" t="s">
        <v>406</v>
      </c>
      <c r="J75" s="124" t="s">
        <v>407</v>
      </c>
      <c r="K75" s="182" t="s">
        <v>398</v>
      </c>
      <c r="L75" s="182">
        <v>5.4100000000000003E-4</v>
      </c>
      <c r="M75" s="182">
        <v>0</v>
      </c>
      <c r="N75" s="182">
        <v>0</v>
      </c>
      <c r="O75" s="182">
        <v>0</v>
      </c>
      <c r="P75" s="182">
        <v>0</v>
      </c>
      <c r="R75" s="154" t="str">
        <f t="shared" si="5"/>
        <v>A0013:(株)オプテージメニューB</v>
      </c>
      <c r="S75" s="182">
        <f t="shared" si="6"/>
        <v>5.4100000000000003E-4</v>
      </c>
    </row>
    <row r="76" spans="2:19">
      <c r="B76" s="124" t="s">
        <v>524</v>
      </c>
      <c r="C76" s="154" t="s">
        <v>525</v>
      </c>
      <c r="D76" s="154" t="str">
        <f t="shared" si="4"/>
        <v>A0082:(株)地球クラブ</v>
      </c>
      <c r="I76" s="124" t="s">
        <v>406</v>
      </c>
      <c r="J76" s="124" t="s">
        <v>407</v>
      </c>
      <c r="K76" s="182" t="s">
        <v>2010</v>
      </c>
      <c r="L76" s="182">
        <v>5.4100000000000003E-4</v>
      </c>
      <c r="M76" s="182">
        <v>0</v>
      </c>
      <c r="N76" s="182">
        <v>0</v>
      </c>
      <c r="O76" s="182">
        <v>0</v>
      </c>
      <c r="P76" s="182">
        <v>0</v>
      </c>
      <c r="R76" s="154" t="str">
        <f t="shared" si="5"/>
        <v>A0013:(株)オプテージ(参考値)事業者全体</v>
      </c>
      <c r="S76" s="182">
        <f t="shared" si="6"/>
        <v>5.4100000000000003E-4</v>
      </c>
    </row>
    <row r="77" spans="2:19">
      <c r="B77" s="124" t="s">
        <v>526</v>
      </c>
      <c r="C77" s="154" t="s">
        <v>527</v>
      </c>
      <c r="D77" s="154" t="str">
        <f t="shared" si="4"/>
        <v>A0084:西部瓦斯(株)</v>
      </c>
      <c r="I77" s="124" t="s">
        <v>408</v>
      </c>
      <c r="J77" s="124" t="s">
        <v>409</v>
      </c>
      <c r="K77" s="182" t="s">
        <v>390</v>
      </c>
      <c r="L77" s="182">
        <v>0</v>
      </c>
      <c r="M77" s="182">
        <v>2.5800000000000004E-4</v>
      </c>
      <c r="N77" s="182">
        <v>2.5800000000000004E-4</v>
      </c>
      <c r="O77" s="182">
        <v>2.5800000000000004E-4</v>
      </c>
      <c r="P77" s="182">
        <v>2.5800000000000004E-4</v>
      </c>
      <c r="R77" s="154" t="str">
        <f t="shared" si="5"/>
        <v>A0014:エネサーブ(株)メニューA</v>
      </c>
      <c r="S77" s="182">
        <f t="shared" si="6"/>
        <v>0</v>
      </c>
    </row>
    <row r="78" spans="2:19">
      <c r="B78" s="124" t="s">
        <v>528</v>
      </c>
      <c r="C78" s="154" t="s">
        <v>1678</v>
      </c>
      <c r="D78" s="154" t="str">
        <f t="shared" si="4"/>
        <v>A0085:東邦ガス(株)</v>
      </c>
      <c r="I78" s="124" t="s">
        <v>408</v>
      </c>
      <c r="J78" s="124" t="s">
        <v>409</v>
      </c>
      <c r="K78" s="182" t="s">
        <v>398</v>
      </c>
      <c r="L78" s="182">
        <v>9.8700000000000003E-4</v>
      </c>
      <c r="M78" s="182">
        <v>1.73E-4</v>
      </c>
      <c r="N78" s="182">
        <v>1.73E-4</v>
      </c>
      <c r="O78" s="182">
        <v>1.73E-4</v>
      </c>
      <c r="P78" s="182">
        <v>1.73E-4</v>
      </c>
      <c r="R78" s="154" t="str">
        <f t="shared" si="5"/>
        <v>A0014:エネサーブ(株)メニューB</v>
      </c>
      <c r="S78" s="182">
        <f t="shared" si="6"/>
        <v>9.8700000000000003E-4</v>
      </c>
    </row>
    <row r="79" spans="2:19">
      <c r="B79" s="124" t="s">
        <v>529</v>
      </c>
      <c r="C79" s="154" t="s">
        <v>530</v>
      </c>
      <c r="D79" s="154" t="str">
        <f t="shared" si="4"/>
        <v>A0086:シナネン(株)</v>
      </c>
      <c r="I79" s="124" t="s">
        <v>408</v>
      </c>
      <c r="J79" s="124" t="s">
        <v>409</v>
      </c>
      <c r="K79" s="182" t="s">
        <v>2010</v>
      </c>
      <c r="L79" s="182">
        <v>5.2700000000000002E-4</v>
      </c>
      <c r="M79" s="182">
        <v>4.9799999999999996E-4</v>
      </c>
      <c r="N79" s="182">
        <v>4.9799999999999996E-4</v>
      </c>
      <c r="O79" s="182">
        <v>4.9799999999999996E-4</v>
      </c>
      <c r="P79" s="182">
        <v>4.9799999999999996E-4</v>
      </c>
      <c r="R79" s="154" t="str">
        <f t="shared" si="5"/>
        <v>A0014:エネサーブ(株)(参考値)事業者全体</v>
      </c>
      <c r="S79" s="182">
        <f t="shared" si="6"/>
        <v>5.2700000000000002E-4</v>
      </c>
    </row>
    <row r="80" spans="2:19">
      <c r="B80" s="124" t="s">
        <v>531</v>
      </c>
      <c r="C80" s="154" t="s">
        <v>532</v>
      </c>
      <c r="D80" s="154" t="str">
        <f t="shared" si="4"/>
        <v>A0088:カワサキグリーンエナジー(株)</v>
      </c>
      <c r="I80" s="124" t="s">
        <v>410</v>
      </c>
      <c r="J80" s="124" t="s">
        <v>411</v>
      </c>
      <c r="K80" s="182" t="s">
        <v>390</v>
      </c>
      <c r="L80" s="182">
        <v>4.0300000000000004E-4</v>
      </c>
      <c r="M80" s="182">
        <v>0</v>
      </c>
      <c r="N80" s="182">
        <v>0</v>
      </c>
      <c r="O80" s="182">
        <v>0</v>
      </c>
      <c r="P80" s="182">
        <v>0</v>
      </c>
      <c r="R80" s="154" t="str">
        <f t="shared" si="5"/>
        <v>A0015:(株)エネワンでんきメニューA</v>
      </c>
      <c r="S80" s="182">
        <f t="shared" si="6"/>
        <v>4.0300000000000004E-4</v>
      </c>
    </row>
    <row r="81" spans="2:19">
      <c r="B81" s="124" t="s">
        <v>533</v>
      </c>
      <c r="C81" s="154" t="s">
        <v>534</v>
      </c>
      <c r="D81" s="154" t="str">
        <f t="shared" si="4"/>
        <v>A0089:大一ガス(株)</v>
      </c>
      <c r="I81" s="124" t="s">
        <v>410</v>
      </c>
      <c r="J81" s="124" t="s">
        <v>411</v>
      </c>
      <c r="K81" s="182" t="s">
        <v>398</v>
      </c>
      <c r="L81" s="182">
        <v>4.4999999999999999E-4</v>
      </c>
      <c r="M81" s="182">
        <v>0</v>
      </c>
      <c r="N81" s="182">
        <v>0</v>
      </c>
      <c r="O81" s="182">
        <v>0</v>
      </c>
      <c r="P81" s="182">
        <v>0</v>
      </c>
      <c r="R81" s="154" t="str">
        <f t="shared" si="5"/>
        <v>A0015:(株)エネワンでんきメニューB</v>
      </c>
      <c r="S81" s="182">
        <f t="shared" si="6"/>
        <v>4.4999999999999999E-4</v>
      </c>
    </row>
    <row r="82" spans="2:19">
      <c r="B82" s="124" t="s">
        <v>535</v>
      </c>
      <c r="C82" s="154" t="s">
        <v>536</v>
      </c>
      <c r="D82" s="154" t="str">
        <f t="shared" si="4"/>
        <v>A0090:(株)リミックスポイント</v>
      </c>
      <c r="I82" s="124" t="s">
        <v>410</v>
      </c>
      <c r="J82" s="124" t="s">
        <v>411</v>
      </c>
      <c r="K82" s="182" t="s">
        <v>2010</v>
      </c>
      <c r="L82" s="182">
        <v>4.3600000000000003E-4</v>
      </c>
      <c r="M82" s="182">
        <v>8.25E-4</v>
      </c>
      <c r="N82" s="182">
        <v>8.25E-4</v>
      </c>
      <c r="O82" s="182">
        <v>8.25E-4</v>
      </c>
      <c r="P82" s="182">
        <v>8.25E-4</v>
      </c>
      <c r="R82" s="154" t="str">
        <f t="shared" si="5"/>
        <v>A0015:(株)エネワンでんき(参考値)事業者全体</v>
      </c>
      <c r="S82" s="182">
        <f t="shared" si="6"/>
        <v>4.3600000000000003E-4</v>
      </c>
    </row>
    <row r="83" spans="2:19">
      <c r="B83" s="124" t="s">
        <v>537</v>
      </c>
      <c r="C83" s="154" t="s">
        <v>538</v>
      </c>
      <c r="D83" s="154" t="str">
        <f t="shared" si="4"/>
        <v>A0091:大阪いずみ市民生活協同組合</v>
      </c>
      <c r="I83" s="124" t="s">
        <v>412</v>
      </c>
      <c r="J83" s="124" t="s">
        <v>413</v>
      </c>
      <c r="K83" s="182" t="s">
        <v>390</v>
      </c>
      <c r="L83" s="182">
        <v>0</v>
      </c>
      <c r="M83" s="182">
        <v>0</v>
      </c>
      <c r="N83" s="182">
        <v>0</v>
      </c>
      <c r="O83" s="182">
        <v>0</v>
      </c>
      <c r="P83" s="182">
        <v>0</v>
      </c>
      <c r="R83" s="154" t="str">
        <f t="shared" si="5"/>
        <v>A0016:ミツウロコグリーンエネルギー(株)メニューA</v>
      </c>
      <c r="S83" s="182">
        <f t="shared" si="6"/>
        <v>0</v>
      </c>
    </row>
    <row r="84" spans="2:19">
      <c r="B84" s="124" t="s">
        <v>539</v>
      </c>
      <c r="C84" s="154" t="s">
        <v>540</v>
      </c>
      <c r="D84" s="154" t="str">
        <f t="shared" si="4"/>
        <v>A0092:(株)中海テレビ放送</v>
      </c>
      <c r="I84" s="124" t="s">
        <v>412</v>
      </c>
      <c r="J84" s="124" t="s">
        <v>413</v>
      </c>
      <c r="K84" s="182" t="s">
        <v>398</v>
      </c>
      <c r="L84" s="182">
        <v>2.0000000000000001E-4</v>
      </c>
      <c r="M84" s="182">
        <v>2.4499999999999999E-4</v>
      </c>
      <c r="N84" s="182">
        <v>2.4499999999999999E-4</v>
      </c>
      <c r="O84" s="182">
        <v>2.4499999999999999E-4</v>
      </c>
      <c r="P84" s="182">
        <v>2.4499999999999999E-4</v>
      </c>
      <c r="R84" s="154" t="str">
        <f t="shared" si="5"/>
        <v>A0016:ミツウロコグリーンエネルギー(株)メニューB</v>
      </c>
      <c r="S84" s="182">
        <f t="shared" si="6"/>
        <v>2.0000000000000001E-4</v>
      </c>
    </row>
    <row r="85" spans="2:19">
      <c r="B85" s="124" t="s">
        <v>541</v>
      </c>
      <c r="C85" s="154" t="s">
        <v>542</v>
      </c>
      <c r="D85" s="154" t="str">
        <f t="shared" si="4"/>
        <v>A0093:パシフィックパワー(株)</v>
      </c>
      <c r="I85" s="124" t="s">
        <v>412</v>
      </c>
      <c r="J85" s="124" t="s">
        <v>413</v>
      </c>
      <c r="K85" s="182" t="s">
        <v>399</v>
      </c>
      <c r="L85" s="182">
        <v>0</v>
      </c>
      <c r="M85" s="182">
        <v>4.8899999999999996E-4</v>
      </c>
      <c r="N85" s="182">
        <v>4.8899999999999996E-4</v>
      </c>
      <c r="O85" s="182">
        <v>4.8899999999999996E-4</v>
      </c>
      <c r="P85" s="182">
        <v>4.8899999999999996E-4</v>
      </c>
      <c r="R85" s="154" t="str">
        <f t="shared" si="5"/>
        <v>A0016:ミツウロコグリーンエネルギー(株)メニューC</v>
      </c>
      <c r="S85" s="182">
        <f t="shared" si="6"/>
        <v>0</v>
      </c>
    </row>
    <row r="86" spans="2:19">
      <c r="B86" s="124" t="s">
        <v>543</v>
      </c>
      <c r="C86" s="154" t="s">
        <v>544</v>
      </c>
      <c r="D86" s="154" t="str">
        <f t="shared" si="4"/>
        <v>A0098:(株)ジェイコムウエスト</v>
      </c>
      <c r="I86" s="124" t="s">
        <v>412</v>
      </c>
      <c r="J86" s="124" t="s">
        <v>413</v>
      </c>
      <c r="K86" s="182" t="s">
        <v>400</v>
      </c>
      <c r="L86" s="182">
        <v>0</v>
      </c>
      <c r="M86" s="182">
        <v>0</v>
      </c>
      <c r="N86" s="182">
        <v>0</v>
      </c>
      <c r="O86" s="182">
        <v>0</v>
      </c>
      <c r="P86" s="182">
        <v>0</v>
      </c>
      <c r="R86" s="154" t="str">
        <f t="shared" si="5"/>
        <v>A0016:ミツウロコグリーンエネルギー(株)メニューD</v>
      </c>
      <c r="S86" s="182">
        <f t="shared" si="6"/>
        <v>0</v>
      </c>
    </row>
    <row r="87" spans="2:19">
      <c r="B87" s="124" t="s">
        <v>545</v>
      </c>
      <c r="C87" s="154" t="s">
        <v>546</v>
      </c>
      <c r="D87" s="154" t="str">
        <f t="shared" si="4"/>
        <v>A0103:(株)ジェイコム埼玉・東日本</v>
      </c>
      <c r="I87" s="124" t="s">
        <v>412</v>
      </c>
      <c r="J87" s="124" t="s">
        <v>413</v>
      </c>
      <c r="K87" s="182" t="s">
        <v>401</v>
      </c>
      <c r="L87" s="182">
        <v>2.5800000000000004E-4</v>
      </c>
      <c r="M87" s="182">
        <v>5.1699999999999999E-4</v>
      </c>
      <c r="N87" s="182">
        <v>5.1699999999999999E-4</v>
      </c>
      <c r="O87" s="182">
        <v>5.1699999999999999E-4</v>
      </c>
      <c r="P87" s="182">
        <v>5.1699999999999999E-4</v>
      </c>
      <c r="R87" s="154" t="str">
        <f t="shared" si="5"/>
        <v>A0016:ミツウロコグリーンエネルギー(株)メニューE</v>
      </c>
      <c r="S87" s="182">
        <f t="shared" si="6"/>
        <v>2.5800000000000004E-4</v>
      </c>
    </row>
    <row r="88" spans="2:19">
      <c r="B88" s="124" t="s">
        <v>547</v>
      </c>
      <c r="C88" s="154" t="s">
        <v>548</v>
      </c>
      <c r="D88" s="154" t="str">
        <f t="shared" si="4"/>
        <v>A0104:(株)ジェイコム札幌</v>
      </c>
      <c r="I88" s="124" t="s">
        <v>412</v>
      </c>
      <c r="J88" s="124" t="s">
        <v>413</v>
      </c>
      <c r="K88" s="182" t="s">
        <v>414</v>
      </c>
      <c r="L88" s="182">
        <v>0</v>
      </c>
      <c r="M88" s="182">
        <v>0</v>
      </c>
      <c r="N88" s="182">
        <v>0</v>
      </c>
      <c r="O88" s="182">
        <v>0</v>
      </c>
      <c r="P88" s="182">
        <v>0</v>
      </c>
      <c r="R88" s="154" t="str">
        <f t="shared" si="5"/>
        <v>A0016:ミツウロコグリーンエネルギー(株)メニューF</v>
      </c>
      <c r="S88" s="182">
        <f t="shared" si="6"/>
        <v>0</v>
      </c>
    </row>
    <row r="89" spans="2:19">
      <c r="B89" s="124" t="s">
        <v>549</v>
      </c>
      <c r="C89" s="154" t="s">
        <v>550</v>
      </c>
      <c r="D89" s="154" t="str">
        <f t="shared" si="4"/>
        <v>A0105:(株)ジェイコム湘南・神奈川</v>
      </c>
      <c r="I89" s="124" t="s">
        <v>412</v>
      </c>
      <c r="J89" s="124" t="s">
        <v>413</v>
      </c>
      <c r="K89" s="182" t="s">
        <v>415</v>
      </c>
      <c r="L89" s="182">
        <v>0</v>
      </c>
      <c r="M89" s="182">
        <v>0</v>
      </c>
      <c r="N89" s="182">
        <v>0</v>
      </c>
      <c r="O89" s="182">
        <v>0</v>
      </c>
      <c r="P89" s="182">
        <v>0</v>
      </c>
      <c r="R89" s="154" t="str">
        <f t="shared" si="5"/>
        <v>A0016:ミツウロコグリーンエネルギー(株)メニューG</v>
      </c>
      <c r="S89" s="182">
        <f t="shared" si="6"/>
        <v>0</v>
      </c>
    </row>
    <row r="90" spans="2:19">
      <c r="B90" s="124" t="s">
        <v>551</v>
      </c>
      <c r="C90" s="154" t="s">
        <v>552</v>
      </c>
      <c r="D90" s="154" t="str">
        <f t="shared" si="4"/>
        <v>A0107:(株)ジェイコム千葉</v>
      </c>
      <c r="I90" s="124" t="s">
        <v>412</v>
      </c>
      <c r="J90" s="124" t="s">
        <v>413</v>
      </c>
      <c r="K90" s="182" t="s">
        <v>416</v>
      </c>
      <c r="L90" s="182">
        <v>0</v>
      </c>
      <c r="M90" s="182">
        <v>0</v>
      </c>
      <c r="N90" s="182">
        <v>0</v>
      </c>
      <c r="O90" s="182">
        <v>0</v>
      </c>
      <c r="P90" s="182">
        <v>0</v>
      </c>
      <c r="R90" s="154" t="str">
        <f t="shared" si="5"/>
        <v>A0016:ミツウロコグリーンエネルギー(株)メニューH</v>
      </c>
      <c r="S90" s="182">
        <f t="shared" si="6"/>
        <v>0</v>
      </c>
    </row>
    <row r="91" spans="2:19">
      <c r="B91" s="124" t="s">
        <v>553</v>
      </c>
      <c r="C91" s="154" t="s">
        <v>554</v>
      </c>
      <c r="D91" s="154" t="str">
        <f t="shared" si="4"/>
        <v>A0110:(株)ジェイコム東京</v>
      </c>
      <c r="I91" s="124" t="s">
        <v>412</v>
      </c>
      <c r="J91" s="124" t="s">
        <v>413</v>
      </c>
      <c r="K91" s="182" t="s">
        <v>417</v>
      </c>
      <c r="L91" s="182">
        <v>2.5800000000000004E-4</v>
      </c>
      <c r="M91" s="182">
        <v>5.44E-4</v>
      </c>
      <c r="N91" s="182">
        <v>5.44E-4</v>
      </c>
      <c r="O91" s="182">
        <v>5.44E-4</v>
      </c>
      <c r="P91" s="182">
        <v>5.44E-4</v>
      </c>
      <c r="R91" s="154" t="str">
        <f t="shared" si="5"/>
        <v>A0016:ミツウロコグリーンエネルギー(株)メニューI</v>
      </c>
      <c r="S91" s="182">
        <f t="shared" si="6"/>
        <v>2.5800000000000004E-4</v>
      </c>
    </row>
    <row r="92" spans="2:19">
      <c r="B92" s="124" t="s">
        <v>555</v>
      </c>
      <c r="C92" s="154" t="s">
        <v>556</v>
      </c>
      <c r="D92" s="154" t="str">
        <f t="shared" si="4"/>
        <v>A0119:土浦ケーブルテレビ(株)</v>
      </c>
      <c r="I92" s="124" t="s">
        <v>412</v>
      </c>
      <c r="J92" s="124" t="s">
        <v>413</v>
      </c>
      <c r="K92" s="182" t="s">
        <v>418</v>
      </c>
      <c r="L92" s="182">
        <v>1.73E-4</v>
      </c>
      <c r="M92" s="182">
        <v>0</v>
      </c>
      <c r="N92" s="182">
        <v>0</v>
      </c>
      <c r="O92" s="182">
        <v>0</v>
      </c>
      <c r="P92" s="182">
        <v>0</v>
      </c>
      <c r="R92" s="154" t="str">
        <f t="shared" si="5"/>
        <v>A0016:ミツウロコグリーンエネルギー(株)メニューJ</v>
      </c>
      <c r="S92" s="182">
        <f t="shared" si="6"/>
        <v>1.73E-4</v>
      </c>
    </row>
    <row r="93" spans="2:19">
      <c r="B93" s="124" t="s">
        <v>557</v>
      </c>
      <c r="C93" s="154" t="s">
        <v>558</v>
      </c>
      <c r="D93" s="154" t="str">
        <f t="shared" si="4"/>
        <v>A0120:鹿児島電力(株)</v>
      </c>
      <c r="I93" s="124" t="s">
        <v>412</v>
      </c>
      <c r="J93" s="124" t="s">
        <v>413</v>
      </c>
      <c r="K93" s="182" t="s">
        <v>432</v>
      </c>
      <c r="L93" s="182">
        <v>4.9799999999999996E-4</v>
      </c>
      <c r="M93" s="182">
        <v>1.73E-4</v>
      </c>
      <c r="N93" s="182">
        <v>1.73E-4</v>
      </c>
      <c r="O93" s="182">
        <v>1.73E-4</v>
      </c>
      <c r="P93" s="182">
        <v>1.73E-4</v>
      </c>
      <c r="R93" s="154" t="str">
        <f t="shared" si="5"/>
        <v>A0016:ミツウロコグリーンエネルギー(株)メニューK</v>
      </c>
      <c r="S93" s="182">
        <f t="shared" si="6"/>
        <v>4.9799999999999996E-4</v>
      </c>
    </row>
    <row r="94" spans="2:19">
      <c r="B94" s="124" t="s">
        <v>559</v>
      </c>
      <c r="C94" s="154" t="s">
        <v>560</v>
      </c>
      <c r="D94" s="154" t="str">
        <f t="shared" si="4"/>
        <v>A0121:太陽ガス(株)</v>
      </c>
      <c r="I94" s="124" t="s">
        <v>412</v>
      </c>
      <c r="J94" s="124" t="s">
        <v>413</v>
      </c>
      <c r="K94" s="182" t="s">
        <v>2010</v>
      </c>
      <c r="L94" s="182">
        <v>4.4499999999999997E-4</v>
      </c>
      <c r="M94" s="182">
        <v>9.7099999999999997E-4</v>
      </c>
      <c r="N94" s="182">
        <v>9.7099999999999997E-4</v>
      </c>
      <c r="O94" s="182">
        <v>9.7099999999999997E-4</v>
      </c>
      <c r="P94" s="182">
        <v>9.7099999999999997E-4</v>
      </c>
      <c r="R94" s="154" t="str">
        <f t="shared" si="5"/>
        <v>A0016:ミツウロコグリーンエネルギー(株)(参考値)事業者全体</v>
      </c>
      <c r="S94" s="182">
        <f t="shared" si="6"/>
        <v>4.4499999999999997E-4</v>
      </c>
    </row>
    <row r="95" spans="2:19">
      <c r="B95" s="124" t="s">
        <v>561</v>
      </c>
      <c r="C95" s="154" t="s">
        <v>562</v>
      </c>
      <c r="D95" s="154" t="str">
        <f t="shared" si="4"/>
        <v>A0122:アーバンエナジー(株)</v>
      </c>
      <c r="I95" s="124" t="s">
        <v>419</v>
      </c>
      <c r="J95" s="124" t="s">
        <v>420</v>
      </c>
      <c r="K95" s="182" t="s">
        <v>390</v>
      </c>
      <c r="L95" s="182">
        <v>0</v>
      </c>
      <c r="M95" s="182">
        <v>3.1399999999999999E-4</v>
      </c>
      <c r="N95" s="182">
        <v>3.1399999999999999E-4</v>
      </c>
      <c r="O95" s="182">
        <v>3.1399999999999999E-4</v>
      </c>
      <c r="P95" s="182">
        <v>3.1399999999999999E-4</v>
      </c>
      <c r="R95" s="154" t="str">
        <f t="shared" si="5"/>
        <v>A0017:(株)リエネ メニューA</v>
      </c>
      <c r="S95" s="182">
        <f t="shared" si="6"/>
        <v>0</v>
      </c>
    </row>
    <row r="96" spans="2:19">
      <c r="B96" s="124" t="s">
        <v>563</v>
      </c>
      <c r="C96" s="154" t="s">
        <v>564</v>
      </c>
      <c r="D96" s="154" t="str">
        <f t="shared" si="4"/>
        <v>A0123:パワーネクスト(株)</v>
      </c>
      <c r="I96" s="124" t="s">
        <v>419</v>
      </c>
      <c r="J96" s="124" t="s">
        <v>420</v>
      </c>
      <c r="K96" s="182" t="s">
        <v>398</v>
      </c>
      <c r="L96" s="182">
        <v>0</v>
      </c>
      <c r="M96" s="182">
        <v>0</v>
      </c>
      <c r="N96" s="182">
        <v>0</v>
      </c>
      <c r="O96" s="182">
        <v>0</v>
      </c>
      <c r="P96" s="182">
        <v>0</v>
      </c>
      <c r="R96" s="154" t="str">
        <f t="shared" si="5"/>
        <v>A0017:(株)リエネ メニューB</v>
      </c>
      <c r="S96" s="182">
        <f t="shared" si="6"/>
        <v>0</v>
      </c>
    </row>
    <row r="97" spans="2:19">
      <c r="B97" s="124" t="s">
        <v>565</v>
      </c>
      <c r="C97" s="154" t="s">
        <v>566</v>
      </c>
      <c r="D97" s="154" t="str">
        <f t="shared" si="4"/>
        <v>A0124:合同会社北上新電力</v>
      </c>
      <c r="I97" s="124" t="s">
        <v>419</v>
      </c>
      <c r="J97" s="124" t="s">
        <v>420</v>
      </c>
      <c r="K97" s="182" t="s">
        <v>399</v>
      </c>
      <c r="L97" s="182">
        <v>8.25E-4</v>
      </c>
      <c r="M97" s="182">
        <v>3.5500000000000001E-4</v>
      </c>
      <c r="N97" s="182">
        <v>3.5500000000000001E-4</v>
      </c>
      <c r="O97" s="182">
        <v>3.5500000000000001E-4</v>
      </c>
      <c r="P97" s="182">
        <v>3.5500000000000001E-4</v>
      </c>
      <c r="R97" s="154" t="str">
        <f t="shared" si="5"/>
        <v>A0017:(株)リエネ メニューC</v>
      </c>
      <c r="S97" s="182">
        <f t="shared" si="6"/>
        <v>8.25E-4</v>
      </c>
    </row>
    <row r="98" spans="2:19">
      <c r="B98" s="124" t="s">
        <v>567</v>
      </c>
      <c r="C98" s="154" t="s">
        <v>568</v>
      </c>
      <c r="D98" s="154" t="str">
        <f t="shared" si="4"/>
        <v>A0126:(株)タクマエナジー</v>
      </c>
      <c r="I98" s="124" t="s">
        <v>419</v>
      </c>
      <c r="J98" s="124" t="s">
        <v>420</v>
      </c>
      <c r="K98" s="182" t="s">
        <v>2010</v>
      </c>
      <c r="L98" s="182">
        <v>1.63E-4</v>
      </c>
      <c r="M98" s="182">
        <v>0</v>
      </c>
      <c r="N98" s="182">
        <v>0</v>
      </c>
      <c r="O98" s="182">
        <v>0</v>
      </c>
      <c r="P98" s="182">
        <v>0</v>
      </c>
      <c r="R98" s="154" t="str">
        <f t="shared" si="5"/>
        <v>A0017:(株)リエネ (参考値)事業者全体</v>
      </c>
      <c r="S98" s="182">
        <f t="shared" si="6"/>
        <v>1.63E-4</v>
      </c>
    </row>
    <row r="99" spans="2:19">
      <c r="B99" s="124" t="s">
        <v>569</v>
      </c>
      <c r="C99" s="154" t="s">
        <v>570</v>
      </c>
      <c r="D99" s="154" t="str">
        <f t="shared" si="4"/>
        <v>A0127:(株)スマートテック</v>
      </c>
      <c r="I99" s="124" t="s">
        <v>421</v>
      </c>
      <c r="J99" s="124" t="s">
        <v>1670</v>
      </c>
      <c r="K99" s="182" t="s">
        <v>390</v>
      </c>
      <c r="L99" s="182">
        <v>0</v>
      </c>
      <c r="M99" s="182">
        <v>3.3200000000000005E-4</v>
      </c>
      <c r="N99" s="182">
        <v>3.3200000000000005E-4</v>
      </c>
      <c r="O99" s="182">
        <v>3.3200000000000005E-4</v>
      </c>
      <c r="P99" s="182">
        <v>3.3200000000000005E-4</v>
      </c>
      <c r="R99" s="154" t="str">
        <f t="shared" si="5"/>
        <v>A0018:ネクストパワーやまと(株)メニューA</v>
      </c>
      <c r="S99" s="182">
        <f t="shared" si="6"/>
        <v>0</v>
      </c>
    </row>
    <row r="100" spans="2:19">
      <c r="B100" s="124" t="s">
        <v>571</v>
      </c>
      <c r="C100" s="154" t="s">
        <v>1679</v>
      </c>
      <c r="D100" s="154" t="str">
        <f t="shared" si="4"/>
        <v>A0128:水戸電力(株)</v>
      </c>
      <c r="I100" s="124" t="s">
        <v>421</v>
      </c>
      <c r="J100" s="124" t="s">
        <v>1670</v>
      </c>
      <c r="K100" s="182" t="s">
        <v>398</v>
      </c>
      <c r="L100" s="182">
        <v>2.4499999999999999E-4</v>
      </c>
      <c r="M100" s="182">
        <v>4.1199999999999999E-4</v>
      </c>
      <c r="N100" s="182">
        <v>4.1199999999999999E-4</v>
      </c>
      <c r="O100" s="182">
        <v>4.1199999999999999E-4</v>
      </c>
      <c r="P100" s="182">
        <v>4.1199999999999999E-4</v>
      </c>
      <c r="R100" s="154" t="str">
        <f t="shared" si="5"/>
        <v>A0018:ネクストパワーやまと(株)メニューB</v>
      </c>
      <c r="S100" s="182">
        <f t="shared" si="6"/>
        <v>2.4499999999999999E-4</v>
      </c>
    </row>
    <row r="101" spans="2:19">
      <c r="B101" s="124" t="s">
        <v>572</v>
      </c>
      <c r="C101" s="154" t="s">
        <v>573</v>
      </c>
      <c r="D101" s="154" t="str">
        <f t="shared" si="4"/>
        <v>A0130:丸紅新電力(株)</v>
      </c>
      <c r="I101" s="124" t="s">
        <v>421</v>
      </c>
      <c r="J101" s="124" t="s">
        <v>1670</v>
      </c>
      <c r="K101" s="182" t="s">
        <v>399</v>
      </c>
      <c r="L101" s="182">
        <v>4.8899999999999996E-4</v>
      </c>
      <c r="M101" s="182">
        <v>0</v>
      </c>
      <c r="N101" s="182">
        <v>0</v>
      </c>
      <c r="O101" s="182">
        <v>0</v>
      </c>
      <c r="P101" s="182">
        <v>0</v>
      </c>
      <c r="R101" s="154" t="str">
        <f t="shared" si="5"/>
        <v>A0018:ネクストパワーやまと(株)メニューC</v>
      </c>
      <c r="S101" s="182">
        <f t="shared" si="6"/>
        <v>4.8899999999999996E-4</v>
      </c>
    </row>
    <row r="102" spans="2:19">
      <c r="B102" s="124" t="s">
        <v>574</v>
      </c>
      <c r="C102" s="154" t="s">
        <v>575</v>
      </c>
      <c r="D102" s="154" t="str">
        <f t="shared" si="4"/>
        <v>A0133:奈良電力(株)</v>
      </c>
      <c r="I102" s="124" t="s">
        <v>421</v>
      </c>
      <c r="J102" s="124" t="s">
        <v>1670</v>
      </c>
      <c r="K102" s="182" t="s">
        <v>2010</v>
      </c>
      <c r="L102" s="182">
        <v>4.8500000000000003E-4</v>
      </c>
      <c r="M102" s="182">
        <v>0</v>
      </c>
      <c r="N102" s="182">
        <v>0</v>
      </c>
      <c r="O102" s="182">
        <v>0</v>
      </c>
      <c r="P102" s="182">
        <v>0</v>
      </c>
      <c r="R102" s="154" t="str">
        <f t="shared" si="5"/>
        <v>A0018:ネクストパワーやまと(株)(参考値)事業者全体</v>
      </c>
      <c r="S102" s="182">
        <f t="shared" si="6"/>
        <v>4.8500000000000003E-4</v>
      </c>
    </row>
    <row r="103" spans="2:19">
      <c r="B103" s="124" t="s">
        <v>576</v>
      </c>
      <c r="C103" s="154" t="s">
        <v>1680</v>
      </c>
      <c r="D103" s="154" t="str">
        <f t="shared" si="4"/>
        <v>A0134:カナデビア(株)（旧:日立造船(株)）</v>
      </c>
      <c r="I103" s="124" t="s">
        <v>422</v>
      </c>
      <c r="J103" s="124" t="s">
        <v>423</v>
      </c>
      <c r="K103" s="182" t="s">
        <v>390</v>
      </c>
      <c r="L103" s="182">
        <v>0</v>
      </c>
      <c r="M103" s="182">
        <v>1.3600000000000003E-4</v>
      </c>
      <c r="N103" s="182">
        <v>1.3600000000000003E-4</v>
      </c>
      <c r="O103" s="182">
        <v>1.3600000000000003E-4</v>
      </c>
      <c r="P103" s="182">
        <v>1.3600000000000003E-4</v>
      </c>
      <c r="R103" s="154" t="str">
        <f t="shared" si="5"/>
        <v>A0019:日本テクノ(株)メニューA</v>
      </c>
      <c r="S103" s="182">
        <f t="shared" si="6"/>
        <v>0</v>
      </c>
    </row>
    <row r="104" spans="2:19">
      <c r="B104" s="124" t="s">
        <v>577</v>
      </c>
      <c r="C104" s="154" t="s">
        <v>578</v>
      </c>
      <c r="D104" s="154" t="str">
        <f>B104&amp;":"&amp;C104</f>
        <v>A0135:大東ガス(株)</v>
      </c>
      <c r="I104" s="124" t="s">
        <v>422</v>
      </c>
      <c r="J104" s="124" t="s">
        <v>423</v>
      </c>
      <c r="K104" s="182" t="s">
        <v>398</v>
      </c>
      <c r="L104" s="182">
        <v>5.1699999999999999E-4</v>
      </c>
      <c r="M104" s="182">
        <v>2.7600000000000004E-4</v>
      </c>
      <c r="N104" s="182">
        <v>2.7600000000000004E-4</v>
      </c>
      <c r="O104" s="182">
        <v>2.7600000000000004E-4</v>
      </c>
      <c r="P104" s="182">
        <v>2.7600000000000004E-4</v>
      </c>
      <c r="R104" s="154" t="str">
        <f t="shared" si="5"/>
        <v>A0019:日本テクノ(株)メニューB</v>
      </c>
      <c r="S104" s="182">
        <f t="shared" si="6"/>
        <v>5.1699999999999999E-4</v>
      </c>
    </row>
    <row r="105" spans="2:19">
      <c r="B105" s="124" t="s">
        <v>579</v>
      </c>
      <c r="C105" s="154" t="s">
        <v>580</v>
      </c>
      <c r="D105" s="154" t="str">
        <f t="shared" ref="D105:D109" si="7">B105&amp;":"&amp;C105</f>
        <v>A0136:パナソニックオペレーショナルエクセレンス(株)</v>
      </c>
      <c r="I105" s="124" t="s">
        <v>422</v>
      </c>
      <c r="J105" s="124" t="s">
        <v>423</v>
      </c>
      <c r="K105" s="182" t="s">
        <v>2010</v>
      </c>
      <c r="L105" s="182">
        <v>4.1199999999999999E-4</v>
      </c>
      <c r="M105" s="182">
        <v>2.0599999999999999E-4</v>
      </c>
      <c r="N105" s="182">
        <v>2.0599999999999999E-4</v>
      </c>
      <c r="O105" s="182">
        <v>2.0599999999999999E-4</v>
      </c>
      <c r="P105" s="182">
        <v>2.0599999999999999E-4</v>
      </c>
      <c r="R105" s="154" t="str">
        <f t="shared" si="5"/>
        <v>A0019:日本テクノ(株)(参考値)事業者全体</v>
      </c>
      <c r="S105" s="182">
        <f t="shared" si="6"/>
        <v>4.1199999999999999E-4</v>
      </c>
    </row>
    <row r="106" spans="2:19">
      <c r="B106" s="124" t="s">
        <v>581</v>
      </c>
      <c r="C106" s="154" t="s">
        <v>582</v>
      </c>
      <c r="D106" s="154" t="str">
        <f t="shared" si="7"/>
        <v>A0137:アストモスエネルギー(株)</v>
      </c>
      <c r="I106" s="124" t="s">
        <v>424</v>
      </c>
      <c r="J106" s="124" t="s">
        <v>425</v>
      </c>
      <c r="K106" s="182" t="s">
        <v>390</v>
      </c>
      <c r="L106" s="182">
        <v>0</v>
      </c>
      <c r="M106" s="182">
        <v>2.7600000000000004E-4</v>
      </c>
      <c r="N106" s="182">
        <v>2.7600000000000004E-4</v>
      </c>
      <c r="O106" s="182">
        <v>2.7600000000000004E-4</v>
      </c>
      <c r="P106" s="182">
        <v>2.7600000000000004E-4</v>
      </c>
      <c r="R106" s="154" t="str">
        <f t="shared" si="5"/>
        <v>A0020:中央電力エナジー(株)メニューA</v>
      </c>
      <c r="S106" s="182">
        <f t="shared" si="6"/>
        <v>0</v>
      </c>
    </row>
    <row r="107" spans="2:19">
      <c r="B107" s="124" t="s">
        <v>583</v>
      </c>
      <c r="C107" s="154" t="s">
        <v>584</v>
      </c>
      <c r="D107" s="154" t="str">
        <f t="shared" si="7"/>
        <v>A0138:(株)関電エネルギーソリューション</v>
      </c>
      <c r="I107" s="124" t="s">
        <v>424</v>
      </c>
      <c r="J107" s="124" t="s">
        <v>425</v>
      </c>
      <c r="K107" s="182" t="s">
        <v>398</v>
      </c>
      <c r="L107" s="182">
        <v>0</v>
      </c>
      <c r="M107" s="182">
        <v>3.4699999999999998E-4</v>
      </c>
      <c r="N107" s="182">
        <v>3.4699999999999998E-4</v>
      </c>
      <c r="O107" s="182">
        <v>3.4699999999999998E-4</v>
      </c>
      <c r="P107" s="182">
        <v>3.4699999999999998E-4</v>
      </c>
      <c r="R107" s="154" t="str">
        <f t="shared" si="5"/>
        <v>A0020:中央電力エナジー(株)メニューB</v>
      </c>
      <c r="S107" s="182">
        <f t="shared" si="6"/>
        <v>0</v>
      </c>
    </row>
    <row r="108" spans="2:19">
      <c r="B108" s="124" t="s">
        <v>585</v>
      </c>
      <c r="C108" s="154" t="s">
        <v>586</v>
      </c>
      <c r="D108" s="154" t="str">
        <f t="shared" si="7"/>
        <v>A0140:MCリテールエナジー(株)</v>
      </c>
      <c r="I108" s="124" t="s">
        <v>424</v>
      </c>
      <c r="J108" s="124" t="s">
        <v>425</v>
      </c>
      <c r="K108" s="182" t="s">
        <v>399</v>
      </c>
      <c r="L108" s="182">
        <v>0</v>
      </c>
      <c r="M108" s="182">
        <v>3.6499999999999998E-4</v>
      </c>
      <c r="N108" s="182">
        <v>3.6499999999999998E-4</v>
      </c>
      <c r="O108" s="182">
        <v>3.6499999999999998E-4</v>
      </c>
      <c r="P108" s="182">
        <v>3.6499999999999998E-4</v>
      </c>
      <c r="R108" s="154" t="str">
        <f t="shared" si="5"/>
        <v>A0020:中央電力エナジー(株)メニューC</v>
      </c>
      <c r="S108" s="182">
        <f t="shared" si="6"/>
        <v>0</v>
      </c>
    </row>
    <row r="109" spans="2:19">
      <c r="B109" s="124" t="s">
        <v>587</v>
      </c>
      <c r="C109" s="154" t="s">
        <v>588</v>
      </c>
      <c r="D109" s="154" t="str">
        <f t="shared" si="7"/>
        <v>A0141:(株)北九州パワー</v>
      </c>
      <c r="I109" s="124" t="s">
        <v>424</v>
      </c>
      <c r="J109" s="124" t="s">
        <v>425</v>
      </c>
      <c r="K109" s="182" t="s">
        <v>400</v>
      </c>
      <c r="L109" s="182">
        <v>5.44E-4</v>
      </c>
      <c r="M109" s="182">
        <v>2.5000000000000001E-4</v>
      </c>
      <c r="N109" s="182">
        <v>2.5000000000000001E-4</v>
      </c>
      <c r="O109" s="182">
        <v>2.5000000000000001E-4</v>
      </c>
      <c r="P109" s="182">
        <v>2.5000000000000001E-4</v>
      </c>
      <c r="R109" s="154" t="str">
        <f t="shared" si="5"/>
        <v>A0020:中央電力エナジー(株)メニューD</v>
      </c>
      <c r="S109" s="182">
        <f t="shared" si="6"/>
        <v>5.44E-4</v>
      </c>
    </row>
    <row r="110" spans="2:19">
      <c r="B110" s="124" t="s">
        <v>589</v>
      </c>
      <c r="C110" s="154" t="s">
        <v>590</v>
      </c>
      <c r="D110" s="154" t="str">
        <f>B110&amp;":"&amp;C110</f>
        <v>A0142:武州瓦斯(株)</v>
      </c>
      <c r="I110" s="124" t="s">
        <v>424</v>
      </c>
      <c r="J110" s="124" t="s">
        <v>425</v>
      </c>
      <c r="K110" s="182" t="s">
        <v>2010</v>
      </c>
      <c r="L110" s="182">
        <v>4.7800000000000002E-4</v>
      </c>
      <c r="M110" s="182">
        <v>2.9999999999999997E-4</v>
      </c>
      <c r="N110" s="182">
        <v>2.9999999999999997E-4</v>
      </c>
      <c r="O110" s="182">
        <v>2.9999999999999997E-4</v>
      </c>
      <c r="P110" s="182">
        <v>2.9999999999999997E-4</v>
      </c>
      <c r="R110" s="154" t="str">
        <f t="shared" si="5"/>
        <v>A0020:中央電力エナジー(株)(参考値)事業者全体</v>
      </c>
      <c r="S110" s="182">
        <f t="shared" si="6"/>
        <v>4.7800000000000002E-4</v>
      </c>
    </row>
    <row r="111" spans="2:19">
      <c r="B111" s="124" t="s">
        <v>591</v>
      </c>
      <c r="C111" s="154" t="s">
        <v>1681</v>
      </c>
      <c r="D111" s="154" t="str">
        <f t="shared" ref="D111:D125" si="8">B111&amp;":"&amp;C111</f>
        <v>A0143:リニューアブル・ジャパン(株)</v>
      </c>
      <c r="I111" s="124" t="s">
        <v>426</v>
      </c>
      <c r="J111" s="124" t="s">
        <v>427</v>
      </c>
      <c r="K111" s="182" t="s">
        <v>390</v>
      </c>
      <c r="L111" s="182">
        <v>0</v>
      </c>
      <c r="M111" s="182">
        <v>1.6200000000000001E-4</v>
      </c>
      <c r="N111" s="182">
        <v>1.6200000000000001E-4</v>
      </c>
      <c r="O111" s="182">
        <v>1.6200000000000001E-4</v>
      </c>
      <c r="P111" s="182">
        <v>1.6200000000000001E-4</v>
      </c>
      <c r="R111" s="154" t="str">
        <f t="shared" si="5"/>
        <v>A0021:(株)LooopメニューA</v>
      </c>
      <c r="S111" s="182">
        <f t="shared" si="6"/>
        <v>0</v>
      </c>
    </row>
    <row r="112" spans="2:19">
      <c r="B112" s="124" t="s">
        <v>592</v>
      </c>
      <c r="C112" s="154" t="s">
        <v>593</v>
      </c>
      <c r="D112" s="154" t="str">
        <f t="shared" si="8"/>
        <v>A0144:大垣ガス(株)</v>
      </c>
      <c r="I112" s="124" t="s">
        <v>426</v>
      </c>
      <c r="J112" s="124" t="s">
        <v>427</v>
      </c>
      <c r="K112" s="182" t="s">
        <v>398</v>
      </c>
      <c r="L112" s="182">
        <v>1.73E-4</v>
      </c>
      <c r="M112" s="182">
        <v>4.2200000000000001E-4</v>
      </c>
      <c r="N112" s="182">
        <v>4.2200000000000001E-4</v>
      </c>
      <c r="O112" s="182">
        <v>4.2200000000000001E-4</v>
      </c>
      <c r="P112" s="182">
        <v>4.2200000000000001E-4</v>
      </c>
      <c r="R112" s="154" t="str">
        <f t="shared" si="5"/>
        <v>A0021:(株)LooopメニューB</v>
      </c>
      <c r="S112" s="182">
        <f t="shared" si="6"/>
        <v>1.73E-4</v>
      </c>
    </row>
    <row r="113" spans="2:19">
      <c r="B113" s="124" t="s">
        <v>594</v>
      </c>
      <c r="C113" s="154" t="s">
        <v>595</v>
      </c>
      <c r="D113" s="154" t="str">
        <f t="shared" si="8"/>
        <v>A0145:(株)藤田商店</v>
      </c>
      <c r="I113" s="124" t="s">
        <v>426</v>
      </c>
      <c r="J113" s="124" t="s">
        <v>427</v>
      </c>
      <c r="K113" s="182" t="s">
        <v>399</v>
      </c>
      <c r="L113" s="182">
        <v>9.7099999999999997E-4</v>
      </c>
      <c r="M113" s="182">
        <v>3.6499999999999998E-4</v>
      </c>
      <c r="N113" s="182">
        <v>3.6499999999999998E-4</v>
      </c>
      <c r="O113" s="182">
        <v>3.6499999999999998E-4</v>
      </c>
      <c r="P113" s="182">
        <v>3.6499999999999998E-4</v>
      </c>
      <c r="R113" s="154" t="str">
        <f t="shared" si="5"/>
        <v>A0021:(株)LooopメニューC</v>
      </c>
      <c r="S113" s="182">
        <f t="shared" si="6"/>
        <v>9.7099999999999997E-4</v>
      </c>
    </row>
    <row r="114" spans="2:19">
      <c r="B114" s="124" t="s">
        <v>596</v>
      </c>
      <c r="C114" s="154" t="s">
        <v>597</v>
      </c>
      <c r="D114" s="154" t="str">
        <f t="shared" si="8"/>
        <v>A0146:(株)ケーブルネット下関</v>
      </c>
      <c r="I114" s="124" t="s">
        <v>426</v>
      </c>
      <c r="J114" s="124" t="s">
        <v>427</v>
      </c>
      <c r="K114" s="182" t="s">
        <v>2010</v>
      </c>
      <c r="L114" s="182">
        <v>9.4799999999999995E-4</v>
      </c>
      <c r="M114" s="182">
        <v>4.7000000000000004E-5</v>
      </c>
      <c r="N114" s="182">
        <v>4.7000000000000004E-5</v>
      </c>
      <c r="O114" s="182">
        <v>4.7000000000000004E-5</v>
      </c>
      <c r="P114" s="182">
        <v>4.7000000000000004E-5</v>
      </c>
      <c r="R114" s="154" t="str">
        <f t="shared" si="5"/>
        <v>A0021:(株)Looop(参考値)事業者全体</v>
      </c>
      <c r="S114" s="182">
        <f t="shared" si="6"/>
        <v>9.4799999999999995E-4</v>
      </c>
    </row>
    <row r="115" spans="2:19">
      <c r="B115" s="124" t="s">
        <v>598</v>
      </c>
      <c r="C115" s="154" t="s">
        <v>599</v>
      </c>
      <c r="D115" s="154" t="str">
        <f t="shared" si="8"/>
        <v>A0147:(株)ジェイコム九州</v>
      </c>
      <c r="I115" s="124" t="s">
        <v>428</v>
      </c>
      <c r="J115" s="124" t="s">
        <v>429</v>
      </c>
      <c r="K115" s="182" t="s">
        <v>390</v>
      </c>
      <c r="L115" s="182">
        <v>3.1399999999999999E-4</v>
      </c>
      <c r="M115" s="182">
        <v>1.9000000000000001E-4</v>
      </c>
      <c r="N115" s="182">
        <v>1.9000000000000001E-4</v>
      </c>
      <c r="O115" s="182">
        <v>1.9000000000000001E-4</v>
      </c>
      <c r="P115" s="182">
        <v>1.9000000000000001E-4</v>
      </c>
      <c r="R115" s="154" t="str">
        <f t="shared" si="5"/>
        <v>A0024:静岡ガス＆パワー(株)メニューA</v>
      </c>
      <c r="S115" s="182">
        <f t="shared" si="6"/>
        <v>3.1399999999999999E-4</v>
      </c>
    </row>
    <row r="116" spans="2:19">
      <c r="B116" s="124" t="s">
        <v>600</v>
      </c>
      <c r="C116" s="154" t="s">
        <v>601</v>
      </c>
      <c r="D116" s="154" t="str">
        <f t="shared" si="8"/>
        <v>A0149:(株)グローバルエンジニアリング</v>
      </c>
      <c r="I116" s="124" t="s">
        <v>428</v>
      </c>
      <c r="J116" s="124" t="s">
        <v>429</v>
      </c>
      <c r="K116" s="182" t="s">
        <v>398</v>
      </c>
      <c r="L116" s="182">
        <v>0</v>
      </c>
      <c r="M116" s="182">
        <v>2.04E-4</v>
      </c>
      <c r="N116" s="182">
        <v>2.04E-4</v>
      </c>
      <c r="O116" s="182">
        <v>2.04E-4</v>
      </c>
      <c r="P116" s="182">
        <v>2.04E-4</v>
      </c>
      <c r="R116" s="154" t="str">
        <f t="shared" si="5"/>
        <v>A0024:静岡ガス＆パワー(株)メニューB</v>
      </c>
      <c r="S116" s="182">
        <f t="shared" si="6"/>
        <v>0</v>
      </c>
    </row>
    <row r="117" spans="2:19">
      <c r="B117" s="124" t="s">
        <v>602</v>
      </c>
      <c r="C117" s="154" t="s">
        <v>603</v>
      </c>
      <c r="D117" s="154" t="str">
        <f t="shared" si="8"/>
        <v>A0150:九州エナジー(株)</v>
      </c>
      <c r="I117" s="124" t="s">
        <v>428</v>
      </c>
      <c r="J117" s="124" t="s">
        <v>429</v>
      </c>
      <c r="K117" s="182" t="s">
        <v>399</v>
      </c>
      <c r="L117" s="182">
        <v>3.5500000000000001E-4</v>
      </c>
      <c r="M117" s="182">
        <v>0</v>
      </c>
      <c r="N117" s="182">
        <v>0</v>
      </c>
      <c r="O117" s="182">
        <v>0</v>
      </c>
      <c r="P117" s="182">
        <v>0</v>
      </c>
      <c r="R117" s="154" t="str">
        <f t="shared" si="5"/>
        <v>A0024:静岡ガス＆パワー(株)メニューC</v>
      </c>
      <c r="S117" s="182">
        <f t="shared" si="6"/>
        <v>3.5500000000000001E-4</v>
      </c>
    </row>
    <row r="118" spans="2:19">
      <c r="B118" s="124" t="s">
        <v>604</v>
      </c>
      <c r="C118" s="154" t="s">
        <v>605</v>
      </c>
      <c r="D118" s="154" t="str">
        <f t="shared" si="8"/>
        <v>A0151:(株)トヨタエナジーソリューションズ</v>
      </c>
      <c r="I118" s="124" t="s">
        <v>428</v>
      </c>
      <c r="J118" s="124" t="s">
        <v>429</v>
      </c>
      <c r="K118" s="182" t="s">
        <v>400</v>
      </c>
      <c r="L118" s="182">
        <v>0</v>
      </c>
      <c r="M118" s="182">
        <v>5.6899999999999995E-4</v>
      </c>
      <c r="N118" s="182">
        <v>5.6899999999999995E-4</v>
      </c>
      <c r="O118" s="182">
        <v>5.6899999999999995E-4</v>
      </c>
      <c r="P118" s="182">
        <v>5.6899999999999995E-4</v>
      </c>
      <c r="R118" s="154" t="str">
        <f t="shared" si="5"/>
        <v>A0024:静岡ガス＆パワー(株)メニューD</v>
      </c>
      <c r="S118" s="182">
        <f t="shared" si="6"/>
        <v>0</v>
      </c>
    </row>
    <row r="119" spans="2:19">
      <c r="B119" s="124" t="s">
        <v>606</v>
      </c>
      <c r="C119" s="154" t="s">
        <v>607</v>
      </c>
      <c r="D119" s="154" t="str">
        <f t="shared" si="8"/>
        <v>A0153:(株)エナリス・パワー・マーケティング</v>
      </c>
      <c r="I119" s="124" t="s">
        <v>428</v>
      </c>
      <c r="J119" s="124" t="s">
        <v>429</v>
      </c>
      <c r="K119" s="182" t="s">
        <v>401</v>
      </c>
      <c r="L119" s="182">
        <v>3.3200000000000005E-4</v>
      </c>
      <c r="M119" s="182">
        <v>0</v>
      </c>
      <c r="N119" s="182">
        <v>0</v>
      </c>
      <c r="O119" s="182">
        <v>0</v>
      </c>
      <c r="P119" s="182">
        <v>0</v>
      </c>
      <c r="R119" s="154" t="str">
        <f t="shared" si="5"/>
        <v>A0024:静岡ガス＆パワー(株)メニューE</v>
      </c>
      <c r="S119" s="182">
        <f t="shared" si="6"/>
        <v>3.3200000000000005E-4</v>
      </c>
    </row>
    <row r="120" spans="2:19">
      <c r="B120" s="124" t="s">
        <v>608</v>
      </c>
      <c r="C120" s="154" t="s">
        <v>609</v>
      </c>
      <c r="D120" s="154" t="str">
        <f t="shared" si="8"/>
        <v>A0154:歌舞伎エナジー(株)</v>
      </c>
      <c r="I120" s="124" t="s">
        <v>428</v>
      </c>
      <c r="J120" s="124" t="s">
        <v>429</v>
      </c>
      <c r="K120" s="182" t="s">
        <v>414</v>
      </c>
      <c r="L120" s="182">
        <v>4.1199999999999999E-4</v>
      </c>
      <c r="M120" s="182">
        <v>1.8E-5</v>
      </c>
      <c r="N120" s="182">
        <v>1.8E-5</v>
      </c>
      <c r="O120" s="182">
        <v>1.8E-5</v>
      </c>
      <c r="P120" s="182">
        <v>1.8E-5</v>
      </c>
      <c r="R120" s="154" t="str">
        <f t="shared" si="5"/>
        <v>A0024:静岡ガス＆パワー(株)メニューF</v>
      </c>
      <c r="S120" s="182">
        <f t="shared" si="6"/>
        <v>4.1199999999999999E-4</v>
      </c>
    </row>
    <row r="121" spans="2:19">
      <c r="B121" s="124" t="s">
        <v>610</v>
      </c>
      <c r="C121" s="154" t="s">
        <v>1682</v>
      </c>
      <c r="D121" s="154" t="str">
        <f t="shared" si="8"/>
        <v>A0155:みやまスマートエネルギー(株)</v>
      </c>
      <c r="I121" s="124" t="s">
        <v>428</v>
      </c>
      <c r="J121" s="124" t="s">
        <v>429</v>
      </c>
      <c r="K121" s="182" t="s">
        <v>2010</v>
      </c>
      <c r="L121" s="182">
        <v>3.9599999999999998E-4</v>
      </c>
      <c r="M121" s="182">
        <v>0</v>
      </c>
      <c r="N121" s="182">
        <v>0</v>
      </c>
      <c r="O121" s="182">
        <v>0</v>
      </c>
      <c r="P121" s="182">
        <v>0</v>
      </c>
      <c r="R121" s="154" t="str">
        <f t="shared" si="5"/>
        <v>A0024:静岡ガス＆パワー(株)(参考値)事業者全体</v>
      </c>
      <c r="S121" s="182">
        <f t="shared" si="6"/>
        <v>3.9599999999999998E-4</v>
      </c>
    </row>
    <row r="122" spans="2:19">
      <c r="B122" s="124" t="s">
        <v>611</v>
      </c>
      <c r="C122" s="154" t="s">
        <v>612</v>
      </c>
      <c r="D122" s="154" t="str">
        <f t="shared" si="8"/>
        <v>A0156:エフィシエント(株)</v>
      </c>
      <c r="I122" s="124" t="s">
        <v>430</v>
      </c>
      <c r="J122" s="124" t="s">
        <v>431</v>
      </c>
      <c r="K122" s="182" t="s">
        <v>390</v>
      </c>
      <c r="L122" s="182">
        <v>0</v>
      </c>
      <c r="M122" s="182">
        <v>1.18E-4</v>
      </c>
      <c r="N122" s="182">
        <v>1.18E-4</v>
      </c>
      <c r="O122" s="182">
        <v>1.18E-4</v>
      </c>
      <c r="P122" s="182">
        <v>1.18E-4</v>
      </c>
      <c r="R122" s="154" t="str">
        <f t="shared" si="5"/>
        <v>A0025:荏原環境プラント(株)メニューA</v>
      </c>
      <c r="S122" s="182">
        <f t="shared" si="6"/>
        <v>0</v>
      </c>
    </row>
    <row r="123" spans="2:19">
      <c r="B123" s="124" t="s">
        <v>613</v>
      </c>
      <c r="C123" s="154" t="s">
        <v>614</v>
      </c>
      <c r="D123" s="154" t="str">
        <f t="shared" si="8"/>
        <v>A0157:(株)生活クラブエナジー</v>
      </c>
      <c r="I123" s="124" t="s">
        <v>430</v>
      </c>
      <c r="J123" s="124" t="s">
        <v>431</v>
      </c>
      <c r="K123" s="182" t="s">
        <v>398</v>
      </c>
      <c r="L123" s="182">
        <v>0</v>
      </c>
      <c r="M123" s="182">
        <v>2.6900000000000003E-4</v>
      </c>
      <c r="N123" s="182">
        <v>2.6900000000000003E-4</v>
      </c>
      <c r="O123" s="182">
        <v>2.6900000000000003E-4</v>
      </c>
      <c r="P123" s="182">
        <v>2.6900000000000003E-4</v>
      </c>
      <c r="R123" s="154" t="str">
        <f t="shared" si="5"/>
        <v>A0025:荏原環境プラント(株)メニューB</v>
      </c>
      <c r="S123" s="182">
        <f t="shared" si="6"/>
        <v>0</v>
      </c>
    </row>
    <row r="124" spans="2:19">
      <c r="B124" s="124" t="s">
        <v>615</v>
      </c>
      <c r="C124" s="154" t="s">
        <v>616</v>
      </c>
      <c r="D124" s="154" t="str">
        <f t="shared" si="8"/>
        <v>A0158:生活協同組合コープこうべ</v>
      </c>
      <c r="I124" s="124" t="s">
        <v>430</v>
      </c>
      <c r="J124" s="124" t="s">
        <v>431</v>
      </c>
      <c r="K124" s="182" t="s">
        <v>399</v>
      </c>
      <c r="L124" s="182">
        <v>1.3600000000000003E-4</v>
      </c>
      <c r="M124" s="182">
        <v>3.8400000000000001E-4</v>
      </c>
      <c r="N124" s="182">
        <v>3.8400000000000001E-4</v>
      </c>
      <c r="O124" s="182">
        <v>3.8400000000000001E-4</v>
      </c>
      <c r="P124" s="182">
        <v>3.8400000000000001E-4</v>
      </c>
      <c r="R124" s="154" t="str">
        <f t="shared" si="5"/>
        <v>A0025:荏原環境プラント(株)メニューC</v>
      </c>
      <c r="S124" s="182">
        <f t="shared" si="6"/>
        <v>1.3600000000000003E-4</v>
      </c>
    </row>
    <row r="125" spans="2:19">
      <c r="B125" s="124" t="s">
        <v>617</v>
      </c>
      <c r="C125" s="154" t="s">
        <v>618</v>
      </c>
      <c r="D125" s="154" t="str">
        <f t="shared" si="8"/>
        <v>A0159:(株)シーエナジー</v>
      </c>
      <c r="I125" s="124" t="s">
        <v>430</v>
      </c>
      <c r="J125" s="124" t="s">
        <v>431</v>
      </c>
      <c r="K125" s="182" t="s">
        <v>400</v>
      </c>
      <c r="L125" s="182">
        <v>2.7600000000000004E-4</v>
      </c>
      <c r="M125" s="182">
        <v>0</v>
      </c>
      <c r="N125" s="182">
        <v>0</v>
      </c>
      <c r="O125" s="182">
        <v>0</v>
      </c>
      <c r="P125" s="182">
        <v>0</v>
      </c>
      <c r="R125" s="154" t="str">
        <f t="shared" si="5"/>
        <v>A0025:荏原環境プラント(株)メニューD</v>
      </c>
      <c r="S125" s="182">
        <f t="shared" si="6"/>
        <v>2.7600000000000004E-4</v>
      </c>
    </row>
    <row r="126" spans="2:19">
      <c r="B126" s="124" t="s">
        <v>619</v>
      </c>
      <c r="C126" s="154" t="s">
        <v>620</v>
      </c>
      <c r="D126" s="154" t="str">
        <f>B126&amp;":"&amp;C126</f>
        <v>A0160:角栄ガス(株)</v>
      </c>
      <c r="I126" s="124" t="s">
        <v>430</v>
      </c>
      <c r="J126" s="124" t="s">
        <v>431</v>
      </c>
      <c r="K126" s="182" t="s">
        <v>401</v>
      </c>
      <c r="L126" s="182">
        <v>2.0599999999999999E-4</v>
      </c>
      <c r="M126" s="182">
        <v>0</v>
      </c>
      <c r="N126" s="182">
        <v>0</v>
      </c>
      <c r="O126" s="182">
        <v>0</v>
      </c>
      <c r="P126" s="182">
        <v>0</v>
      </c>
      <c r="R126" s="154" t="str">
        <f t="shared" si="5"/>
        <v>A0025:荏原環境プラント(株)メニューE</v>
      </c>
      <c r="S126" s="182">
        <f t="shared" si="6"/>
        <v>2.0599999999999999E-4</v>
      </c>
    </row>
    <row r="127" spans="2:19">
      <c r="B127" s="124" t="s">
        <v>621</v>
      </c>
      <c r="C127" s="154" t="s">
        <v>622</v>
      </c>
      <c r="D127" s="154" t="str">
        <f t="shared" ref="D127:D155" si="9">B127&amp;":"&amp;C127</f>
        <v>A0161:京葉瓦斯(株)</v>
      </c>
      <c r="I127" s="124" t="s">
        <v>430</v>
      </c>
      <c r="J127" s="124" t="s">
        <v>431</v>
      </c>
      <c r="K127" s="182" t="s">
        <v>414</v>
      </c>
      <c r="L127" s="182">
        <v>2.7600000000000004E-4</v>
      </c>
      <c r="M127" s="182">
        <v>2.0000000000000001E-4</v>
      </c>
      <c r="N127" s="182">
        <v>2.0000000000000001E-4</v>
      </c>
      <c r="O127" s="182">
        <v>2.0000000000000001E-4</v>
      </c>
      <c r="P127" s="182">
        <v>2.0000000000000001E-4</v>
      </c>
      <c r="R127" s="154" t="str">
        <f t="shared" si="5"/>
        <v>A0025:荏原環境プラント(株)メニューF</v>
      </c>
      <c r="S127" s="182">
        <f t="shared" si="6"/>
        <v>2.7600000000000004E-4</v>
      </c>
    </row>
    <row r="128" spans="2:19">
      <c r="B128" s="124" t="s">
        <v>623</v>
      </c>
      <c r="C128" s="154" t="s">
        <v>624</v>
      </c>
      <c r="D128" s="154" t="str">
        <f t="shared" si="9"/>
        <v>A0162:TOPPANホールディングス(株)</v>
      </c>
      <c r="I128" s="124" t="s">
        <v>430</v>
      </c>
      <c r="J128" s="124" t="s">
        <v>431</v>
      </c>
      <c r="K128" s="182" t="s">
        <v>415</v>
      </c>
      <c r="L128" s="182">
        <v>3.4699999999999998E-4</v>
      </c>
      <c r="M128" s="182">
        <v>6.0800000000000003E-4</v>
      </c>
      <c r="N128" s="182">
        <v>6.0800000000000003E-4</v>
      </c>
      <c r="O128" s="182">
        <v>6.0800000000000003E-4</v>
      </c>
      <c r="P128" s="182">
        <v>6.0800000000000003E-4</v>
      </c>
      <c r="R128" s="154" t="str">
        <f t="shared" si="5"/>
        <v>A0025:荏原環境プラント(株)メニューG</v>
      </c>
      <c r="S128" s="182">
        <f t="shared" si="6"/>
        <v>3.4699999999999998E-4</v>
      </c>
    </row>
    <row r="129" spans="2:19">
      <c r="B129" s="124" t="s">
        <v>625</v>
      </c>
      <c r="C129" s="154" t="s">
        <v>626</v>
      </c>
      <c r="D129" s="154" t="str">
        <f t="shared" si="9"/>
        <v>A0163:伊勢崎ガス(株)</v>
      </c>
      <c r="I129" s="124" t="s">
        <v>430</v>
      </c>
      <c r="J129" s="124" t="s">
        <v>431</v>
      </c>
      <c r="K129" s="182" t="s">
        <v>416</v>
      </c>
      <c r="L129" s="182">
        <v>3.6499999999999998E-4</v>
      </c>
      <c r="M129" s="182">
        <v>0</v>
      </c>
      <c r="N129" s="182">
        <v>0</v>
      </c>
      <c r="O129" s="182">
        <v>0</v>
      </c>
      <c r="P129" s="182">
        <v>0</v>
      </c>
      <c r="R129" s="154" t="str">
        <f t="shared" si="5"/>
        <v>A0025:荏原環境プラント(株)メニューH</v>
      </c>
      <c r="S129" s="182">
        <f t="shared" si="6"/>
        <v>3.6499999999999998E-4</v>
      </c>
    </row>
    <row r="130" spans="2:19">
      <c r="B130" s="124" t="s">
        <v>627</v>
      </c>
      <c r="C130" s="154" t="s">
        <v>628</v>
      </c>
      <c r="D130" s="154" t="str">
        <f t="shared" si="9"/>
        <v>A0164:キヤノンマーケティングジャパン(株)</v>
      </c>
      <c r="I130" s="124" t="s">
        <v>430</v>
      </c>
      <c r="J130" s="124" t="s">
        <v>431</v>
      </c>
      <c r="K130" s="182" t="s">
        <v>417</v>
      </c>
      <c r="L130" s="182">
        <v>2.5000000000000001E-4</v>
      </c>
      <c r="M130" s="182">
        <v>0</v>
      </c>
      <c r="N130" s="182">
        <v>0</v>
      </c>
      <c r="O130" s="182">
        <v>0</v>
      </c>
      <c r="P130" s="182">
        <v>0</v>
      </c>
      <c r="R130" s="154" t="str">
        <f t="shared" si="5"/>
        <v>A0025:荏原環境プラント(株)メニューI</v>
      </c>
      <c r="S130" s="182">
        <f t="shared" si="6"/>
        <v>2.5000000000000001E-4</v>
      </c>
    </row>
    <row r="131" spans="2:19">
      <c r="B131" s="124" t="s">
        <v>629</v>
      </c>
      <c r="C131" s="154" t="s">
        <v>630</v>
      </c>
      <c r="D131" s="154" t="str">
        <f t="shared" si="9"/>
        <v>A0165:(株)とっとり市民電力</v>
      </c>
      <c r="I131" s="124" t="s">
        <v>430</v>
      </c>
      <c r="J131" s="124" t="s">
        <v>431</v>
      </c>
      <c r="K131" s="182" t="s">
        <v>418</v>
      </c>
      <c r="L131" s="182">
        <v>2.9999999999999997E-4</v>
      </c>
      <c r="M131" s="182">
        <v>0</v>
      </c>
      <c r="N131" s="182">
        <v>0</v>
      </c>
      <c r="O131" s="182">
        <v>0</v>
      </c>
      <c r="P131" s="182">
        <v>0</v>
      </c>
      <c r="R131" s="154" t="str">
        <f t="shared" si="5"/>
        <v>A0025:荏原環境プラント(株)メニューJ</v>
      </c>
      <c r="S131" s="182">
        <f t="shared" si="6"/>
        <v>2.9999999999999997E-4</v>
      </c>
    </row>
    <row r="132" spans="2:19">
      <c r="B132" s="124" t="s">
        <v>631</v>
      </c>
      <c r="C132" s="154" t="s">
        <v>632</v>
      </c>
      <c r="D132" s="154" t="str">
        <f t="shared" si="9"/>
        <v>A0166:(株)イーエムアイ</v>
      </c>
      <c r="I132" s="124" t="s">
        <v>430</v>
      </c>
      <c r="J132" s="124" t="s">
        <v>431</v>
      </c>
      <c r="K132" s="182" t="s">
        <v>432</v>
      </c>
      <c r="L132" s="182">
        <v>1.6200000000000001E-4</v>
      </c>
      <c r="M132" s="182">
        <v>3.1399999999999999E-4</v>
      </c>
      <c r="N132" s="182">
        <v>3.1399999999999999E-4</v>
      </c>
      <c r="O132" s="182">
        <v>3.1399999999999999E-4</v>
      </c>
      <c r="P132" s="182">
        <v>3.1399999999999999E-4</v>
      </c>
      <c r="R132" s="154" t="str">
        <f t="shared" si="5"/>
        <v>A0025:荏原環境プラント(株)メニューK</v>
      </c>
      <c r="S132" s="182">
        <f t="shared" si="6"/>
        <v>1.6200000000000001E-4</v>
      </c>
    </row>
    <row r="133" spans="2:19">
      <c r="B133" s="124" t="s">
        <v>633</v>
      </c>
      <c r="C133" s="154" t="s">
        <v>634</v>
      </c>
      <c r="D133" s="154" t="str">
        <f t="shared" si="9"/>
        <v>A0167:佐野瓦斯(株)</v>
      </c>
      <c r="I133" s="124" t="s">
        <v>430</v>
      </c>
      <c r="J133" s="124" t="s">
        <v>431</v>
      </c>
      <c r="K133" s="182" t="s">
        <v>433</v>
      </c>
      <c r="L133" s="182">
        <v>4.2200000000000001E-4</v>
      </c>
      <c r="M133" s="182">
        <v>2.5900000000000001E-4</v>
      </c>
      <c r="N133" s="182">
        <v>2.5900000000000001E-4</v>
      </c>
      <c r="O133" s="182">
        <v>2.5900000000000001E-4</v>
      </c>
      <c r="P133" s="182">
        <v>2.5900000000000001E-4</v>
      </c>
      <c r="R133" s="154" t="str">
        <f t="shared" si="5"/>
        <v>A0025:荏原環境プラント(株)メニューL</v>
      </c>
      <c r="S133" s="182">
        <f t="shared" si="6"/>
        <v>4.2200000000000001E-4</v>
      </c>
    </row>
    <row r="134" spans="2:19">
      <c r="B134" s="124" t="s">
        <v>635</v>
      </c>
      <c r="C134" s="154" t="s">
        <v>636</v>
      </c>
      <c r="D134" s="154" t="str">
        <f t="shared" si="9"/>
        <v>A0168:桐生瓦斯(株)</v>
      </c>
      <c r="I134" s="124" t="s">
        <v>430</v>
      </c>
      <c r="J134" s="124" t="s">
        <v>431</v>
      </c>
      <c r="K134" s="182" t="s">
        <v>434</v>
      </c>
      <c r="L134" s="182">
        <v>3.6499999999999998E-4</v>
      </c>
      <c r="M134" s="182">
        <v>0</v>
      </c>
      <c r="N134" s="182">
        <v>0</v>
      </c>
      <c r="O134" s="182">
        <v>0</v>
      </c>
      <c r="P134" s="182">
        <v>0</v>
      </c>
      <c r="R134" s="154" t="str">
        <f t="shared" si="5"/>
        <v>A0025:荏原環境プラント(株)メニューM</v>
      </c>
      <c r="S134" s="182">
        <f t="shared" si="6"/>
        <v>3.6499999999999998E-4</v>
      </c>
    </row>
    <row r="135" spans="2:19">
      <c r="B135" s="124" t="s">
        <v>637</v>
      </c>
      <c r="C135" s="154" t="s">
        <v>1683</v>
      </c>
      <c r="D135" s="154" t="str">
        <f t="shared" si="9"/>
        <v>A0169:森の電力(株)</v>
      </c>
      <c r="I135" s="124" t="s">
        <v>430</v>
      </c>
      <c r="J135" s="124" t="s">
        <v>431</v>
      </c>
      <c r="K135" s="182" t="s">
        <v>435</v>
      </c>
      <c r="L135" s="182">
        <v>4.7000000000000004E-5</v>
      </c>
      <c r="M135" s="182">
        <v>0</v>
      </c>
      <c r="N135" s="182">
        <v>0</v>
      </c>
      <c r="O135" s="182">
        <v>0</v>
      </c>
      <c r="P135" s="182">
        <v>0</v>
      </c>
      <c r="R135" s="154" t="str">
        <f t="shared" si="5"/>
        <v>A0025:荏原環境プラント(株)メニューN</v>
      </c>
      <c r="S135" s="182">
        <f t="shared" si="6"/>
        <v>4.7000000000000004E-5</v>
      </c>
    </row>
    <row r="136" spans="2:19">
      <c r="B136" s="124" t="s">
        <v>638</v>
      </c>
      <c r="C136" s="154" t="s">
        <v>1684</v>
      </c>
      <c r="D136" s="154" t="str">
        <f t="shared" si="9"/>
        <v>A0170:大和ハウス工業(株)　</v>
      </c>
      <c r="I136" s="124" t="s">
        <v>430</v>
      </c>
      <c r="J136" s="124" t="s">
        <v>431</v>
      </c>
      <c r="K136" s="182" t="s">
        <v>436</v>
      </c>
      <c r="L136" s="182">
        <v>1.9000000000000001E-4</v>
      </c>
      <c r="M136" s="182">
        <v>0</v>
      </c>
      <c r="N136" s="182">
        <v>0</v>
      </c>
      <c r="O136" s="182">
        <v>0</v>
      </c>
      <c r="P136" s="182">
        <v>0</v>
      </c>
      <c r="R136" s="154" t="str">
        <f t="shared" si="5"/>
        <v>A0025:荏原環境プラント(株)メニューO</v>
      </c>
      <c r="S136" s="182">
        <f t="shared" si="6"/>
        <v>1.9000000000000001E-4</v>
      </c>
    </row>
    <row r="137" spans="2:19">
      <c r="B137" s="124" t="s">
        <v>639</v>
      </c>
      <c r="C137" s="154" t="s">
        <v>640</v>
      </c>
      <c r="D137" s="154" t="str">
        <f t="shared" si="9"/>
        <v>A0172:HTBエナジー(株)</v>
      </c>
      <c r="I137" s="124" t="s">
        <v>430</v>
      </c>
      <c r="J137" s="124" t="s">
        <v>431</v>
      </c>
      <c r="K137" s="182" t="s">
        <v>437</v>
      </c>
      <c r="L137" s="182">
        <v>2.04E-4</v>
      </c>
      <c r="M137" s="182">
        <v>0</v>
      </c>
      <c r="N137" s="182">
        <v>0</v>
      </c>
      <c r="O137" s="182">
        <v>0</v>
      </c>
      <c r="P137" s="182">
        <v>0</v>
      </c>
      <c r="R137" s="154" t="str">
        <f t="shared" si="5"/>
        <v>A0025:荏原環境プラント(株)メニューP</v>
      </c>
      <c r="S137" s="182">
        <f t="shared" si="6"/>
        <v>2.04E-4</v>
      </c>
    </row>
    <row r="138" spans="2:19">
      <c r="B138" s="124" t="s">
        <v>641</v>
      </c>
      <c r="C138" s="154" t="s">
        <v>642</v>
      </c>
      <c r="D138" s="154" t="str">
        <f t="shared" si="9"/>
        <v>A0173:(株)アシストワンエナジー</v>
      </c>
      <c r="I138" s="124" t="s">
        <v>430</v>
      </c>
      <c r="J138" s="124" t="s">
        <v>431</v>
      </c>
      <c r="K138" s="182" t="s">
        <v>438</v>
      </c>
      <c r="L138" s="182">
        <v>0</v>
      </c>
      <c r="M138" s="182">
        <v>0</v>
      </c>
      <c r="N138" s="182">
        <v>0</v>
      </c>
      <c r="O138" s="182">
        <v>0</v>
      </c>
      <c r="P138" s="182">
        <v>0</v>
      </c>
      <c r="R138" s="154" t="str">
        <f t="shared" ref="R138:R201" si="10">I138&amp;":"&amp;J138&amp;K138</f>
        <v>A0025:荏原環境プラント(株)メニューQ</v>
      </c>
      <c r="S138" s="182">
        <f t="shared" ref="S138:S201" si="11">HLOOKUP($S$8,$L$8:$P$1500,ROW()-7,FALSE)</f>
        <v>0</v>
      </c>
    </row>
    <row r="139" spans="2:19">
      <c r="B139" s="124" t="s">
        <v>643</v>
      </c>
      <c r="C139" s="154" t="s">
        <v>644</v>
      </c>
      <c r="D139" s="154" t="str">
        <f t="shared" si="9"/>
        <v>A0175:(株)フソウ・エナジー</v>
      </c>
      <c r="I139" s="124" t="s">
        <v>430</v>
      </c>
      <c r="J139" s="124" t="s">
        <v>431</v>
      </c>
      <c r="K139" s="182" t="s">
        <v>1709</v>
      </c>
      <c r="L139" s="182">
        <v>5.6899999999999995E-4</v>
      </c>
      <c r="M139" s="182">
        <v>5.5900000000000004E-4</v>
      </c>
      <c r="N139" s="182">
        <v>5.5900000000000004E-4</v>
      </c>
      <c r="O139" s="182">
        <v>5.5900000000000004E-4</v>
      </c>
      <c r="P139" s="182">
        <v>5.5900000000000004E-4</v>
      </c>
      <c r="R139" s="154" t="str">
        <f t="shared" si="10"/>
        <v>A0025:荏原環境プラント(株)メニューR</v>
      </c>
      <c r="S139" s="182">
        <f t="shared" si="11"/>
        <v>5.6899999999999995E-4</v>
      </c>
    </row>
    <row r="140" spans="2:19">
      <c r="B140" s="124" t="s">
        <v>645</v>
      </c>
      <c r="C140" s="154" t="s">
        <v>1685</v>
      </c>
      <c r="D140" s="154" t="str">
        <f t="shared" si="9"/>
        <v>A0177:湘南電力(株)</v>
      </c>
      <c r="I140" s="124" t="s">
        <v>430</v>
      </c>
      <c r="J140" s="124" t="s">
        <v>431</v>
      </c>
      <c r="K140" s="182" t="s">
        <v>2010</v>
      </c>
      <c r="L140" s="182">
        <v>3.1199999999999999E-4</v>
      </c>
      <c r="M140" s="182">
        <v>2.8499999999999999E-4</v>
      </c>
      <c r="N140" s="182">
        <v>2.8499999999999999E-4</v>
      </c>
      <c r="O140" s="182">
        <v>2.8499999999999999E-4</v>
      </c>
      <c r="P140" s="182">
        <v>2.8499999999999999E-4</v>
      </c>
      <c r="R140" s="154" t="str">
        <f t="shared" si="10"/>
        <v>A0025:荏原環境プラント(株)(参考値)事業者全体</v>
      </c>
      <c r="S140" s="182">
        <f t="shared" si="11"/>
        <v>3.1199999999999999E-4</v>
      </c>
    </row>
    <row r="141" spans="2:19">
      <c r="B141" s="124" t="s">
        <v>646</v>
      </c>
      <c r="C141" s="154" t="s">
        <v>647</v>
      </c>
      <c r="D141" s="154" t="str">
        <f t="shared" si="9"/>
        <v>A0178:大東建託パートナーズ(株)</v>
      </c>
      <c r="I141" s="124" t="s">
        <v>439</v>
      </c>
      <c r="J141" s="124" t="s">
        <v>1671</v>
      </c>
      <c r="K141" s="182" t="s">
        <v>390</v>
      </c>
      <c r="L141" s="182">
        <v>0</v>
      </c>
      <c r="M141" s="182">
        <v>4.8999999999999998E-4</v>
      </c>
      <c r="N141" s="182">
        <v>4.8999999999999998E-4</v>
      </c>
      <c r="O141" s="182">
        <v>4.8999999999999998E-4</v>
      </c>
      <c r="P141" s="182">
        <v>4.8999999999999998E-4</v>
      </c>
      <c r="R141" s="154" t="str">
        <f t="shared" si="10"/>
        <v>A0026:東京エコサービス(株)メニューA</v>
      </c>
      <c r="S141" s="182">
        <f t="shared" si="11"/>
        <v>0</v>
      </c>
    </row>
    <row r="142" spans="2:19">
      <c r="B142" s="124" t="s">
        <v>648</v>
      </c>
      <c r="C142" s="154" t="s">
        <v>649</v>
      </c>
      <c r="D142" s="154" t="str">
        <f t="shared" si="9"/>
        <v>A0179:Japan電力(株)</v>
      </c>
      <c r="I142" s="124" t="s">
        <v>439</v>
      </c>
      <c r="J142" s="124" t="s">
        <v>1671</v>
      </c>
      <c r="K142" s="182" t="s">
        <v>398</v>
      </c>
      <c r="L142" s="182">
        <v>1.8E-5</v>
      </c>
      <c r="M142" s="182">
        <v>0</v>
      </c>
      <c r="N142" s="182">
        <v>0</v>
      </c>
      <c r="O142" s="182">
        <v>0</v>
      </c>
      <c r="P142" s="182">
        <v>0</v>
      </c>
      <c r="R142" s="154" t="str">
        <f t="shared" si="10"/>
        <v>A0026:東京エコサービス(株)メニューB</v>
      </c>
      <c r="S142" s="182">
        <f t="shared" si="11"/>
        <v>1.8E-5</v>
      </c>
    </row>
    <row r="143" spans="2:19">
      <c r="B143" s="124" t="s">
        <v>650</v>
      </c>
      <c r="C143" s="154" t="s">
        <v>651</v>
      </c>
      <c r="D143" s="154" t="str">
        <f t="shared" si="9"/>
        <v>A0180:電源開発(株)</v>
      </c>
      <c r="I143" s="124" t="s">
        <v>439</v>
      </c>
      <c r="J143" s="124" t="s">
        <v>1671</v>
      </c>
      <c r="K143" s="182" t="s">
        <v>2010</v>
      </c>
      <c r="L143" s="182">
        <v>1.5E-5</v>
      </c>
      <c r="M143" s="182">
        <v>3.9999999999999998E-6</v>
      </c>
      <c r="N143" s="182">
        <v>3.9999999999999998E-6</v>
      </c>
      <c r="O143" s="182">
        <v>3.9999999999999998E-6</v>
      </c>
      <c r="P143" s="182">
        <v>3.9999999999999998E-6</v>
      </c>
      <c r="R143" s="154" t="str">
        <f t="shared" si="10"/>
        <v>A0026:東京エコサービス(株)(参考値)事業者全体</v>
      </c>
      <c r="S143" s="182">
        <f t="shared" si="11"/>
        <v>1.5E-5</v>
      </c>
    </row>
    <row r="144" spans="2:19">
      <c r="B144" s="124" t="s">
        <v>652</v>
      </c>
      <c r="C144" s="154" t="s">
        <v>1686</v>
      </c>
      <c r="D144" s="154" t="str">
        <f t="shared" si="9"/>
        <v>A0181:鈴与商事(株)</v>
      </c>
      <c r="I144" s="124" t="s">
        <v>440</v>
      </c>
      <c r="J144" s="124" t="s">
        <v>441</v>
      </c>
      <c r="K144" s="182" t="s">
        <v>390</v>
      </c>
      <c r="L144" s="182">
        <v>0</v>
      </c>
      <c r="M144" s="182">
        <v>9.1000000000000003E-5</v>
      </c>
      <c r="N144" s="182">
        <v>9.1000000000000003E-5</v>
      </c>
      <c r="O144" s="182">
        <v>9.1000000000000003E-5</v>
      </c>
      <c r="P144" s="182">
        <v>9.1000000000000003E-5</v>
      </c>
      <c r="R144" s="154" t="str">
        <f t="shared" si="10"/>
        <v>A0027:ダイヤモンドパワー(株)メニューA</v>
      </c>
      <c r="S144" s="182">
        <f t="shared" si="11"/>
        <v>0</v>
      </c>
    </row>
    <row r="145" spans="2:19">
      <c r="B145" s="124" t="s">
        <v>653</v>
      </c>
      <c r="C145" s="154" t="s">
        <v>654</v>
      </c>
      <c r="D145" s="154" t="str">
        <f t="shared" si="9"/>
        <v>A0184:ワタミエナジー(株)</v>
      </c>
      <c r="I145" s="124" t="s">
        <v>440</v>
      </c>
      <c r="J145" s="124" t="s">
        <v>441</v>
      </c>
      <c r="K145" s="182" t="s">
        <v>398</v>
      </c>
      <c r="L145" s="182">
        <v>1.18E-4</v>
      </c>
      <c r="M145" s="182">
        <v>1.12E-4</v>
      </c>
      <c r="N145" s="182">
        <v>1.12E-4</v>
      </c>
      <c r="O145" s="182">
        <v>1.12E-4</v>
      </c>
      <c r="P145" s="182">
        <v>1.12E-4</v>
      </c>
      <c r="R145" s="154" t="str">
        <f t="shared" si="10"/>
        <v>A0027:ダイヤモンドパワー(株)メニューB</v>
      </c>
      <c r="S145" s="182">
        <f t="shared" si="11"/>
        <v>1.18E-4</v>
      </c>
    </row>
    <row r="146" spans="2:19">
      <c r="B146" s="124" t="s">
        <v>655</v>
      </c>
      <c r="C146" s="154" t="s">
        <v>656</v>
      </c>
      <c r="D146" s="154" t="str">
        <f t="shared" si="9"/>
        <v>A0185:(株)パルシステム電力</v>
      </c>
      <c r="I146" s="124" t="s">
        <v>440</v>
      </c>
      <c r="J146" s="124" t="s">
        <v>441</v>
      </c>
      <c r="K146" s="182" t="s">
        <v>399</v>
      </c>
      <c r="L146" s="182">
        <v>2.6900000000000003E-4</v>
      </c>
      <c r="M146" s="182">
        <v>8.1400000000000005E-4</v>
      </c>
      <c r="N146" s="182">
        <v>8.1400000000000005E-4</v>
      </c>
      <c r="O146" s="182">
        <v>8.1400000000000005E-4</v>
      </c>
      <c r="P146" s="182">
        <v>8.1400000000000005E-4</v>
      </c>
      <c r="R146" s="154" t="str">
        <f t="shared" si="10"/>
        <v>A0027:ダイヤモンドパワー(株)メニューC</v>
      </c>
      <c r="S146" s="182">
        <f t="shared" si="11"/>
        <v>2.6900000000000003E-4</v>
      </c>
    </row>
    <row r="147" spans="2:19">
      <c r="B147" s="124" t="s">
        <v>657</v>
      </c>
      <c r="C147" s="154" t="s">
        <v>658</v>
      </c>
      <c r="D147" s="154" t="str">
        <f t="shared" si="9"/>
        <v>A0186:SBパワー(株)</v>
      </c>
      <c r="I147" s="124" t="s">
        <v>440</v>
      </c>
      <c r="J147" s="124" t="s">
        <v>441</v>
      </c>
      <c r="K147" s="182" t="s">
        <v>400</v>
      </c>
      <c r="L147" s="182">
        <v>3.8400000000000001E-4</v>
      </c>
      <c r="M147" s="182">
        <v>0</v>
      </c>
      <c r="N147" s="182">
        <v>0</v>
      </c>
      <c r="O147" s="182">
        <v>0</v>
      </c>
      <c r="P147" s="182">
        <v>0</v>
      </c>
      <c r="R147" s="154" t="str">
        <f t="shared" si="10"/>
        <v>A0027:ダイヤモンドパワー(株)メニューD</v>
      </c>
      <c r="S147" s="182">
        <f t="shared" si="11"/>
        <v>3.8400000000000001E-4</v>
      </c>
    </row>
    <row r="148" spans="2:19">
      <c r="B148" s="124" t="s">
        <v>659</v>
      </c>
      <c r="C148" s="154" t="s">
        <v>660</v>
      </c>
      <c r="D148" s="154" t="str">
        <f t="shared" si="9"/>
        <v>A0187:NFパワーサービス(株)</v>
      </c>
      <c r="I148" s="124" t="s">
        <v>440</v>
      </c>
      <c r="J148" s="124" t="s">
        <v>441</v>
      </c>
      <c r="K148" s="182" t="s">
        <v>2010</v>
      </c>
      <c r="L148" s="182">
        <v>4.2900000000000002E-4</v>
      </c>
      <c r="M148" s="182">
        <v>0</v>
      </c>
      <c r="N148" s="182">
        <v>0</v>
      </c>
      <c r="O148" s="182">
        <v>0</v>
      </c>
      <c r="P148" s="182">
        <v>0</v>
      </c>
      <c r="R148" s="154" t="str">
        <f t="shared" si="10"/>
        <v>A0027:ダイヤモンドパワー(株)(参考値)事業者全体</v>
      </c>
      <c r="S148" s="182">
        <f t="shared" si="11"/>
        <v>4.2900000000000002E-4</v>
      </c>
    </row>
    <row r="149" spans="2:19">
      <c r="B149" s="124" t="s">
        <v>661</v>
      </c>
      <c r="C149" s="154" t="s">
        <v>1687</v>
      </c>
      <c r="D149" s="154" t="str">
        <f t="shared" si="9"/>
        <v>A0188:ひおき地域エネルギー(株)</v>
      </c>
      <c r="I149" s="124" t="s">
        <v>442</v>
      </c>
      <c r="J149" s="124" t="s">
        <v>443</v>
      </c>
      <c r="K149" s="182" t="s">
        <v>390</v>
      </c>
      <c r="L149" s="182">
        <v>0</v>
      </c>
      <c r="M149" s="182">
        <v>4.9899999999999999E-4</v>
      </c>
      <c r="N149" s="182">
        <v>4.9899999999999999E-4</v>
      </c>
      <c r="O149" s="182">
        <v>4.9899999999999999E-4</v>
      </c>
      <c r="P149" s="182">
        <v>4.9899999999999999E-4</v>
      </c>
      <c r="R149" s="154" t="str">
        <f t="shared" si="10"/>
        <v>A0028:出光グリーンパワー(株)メニューA</v>
      </c>
      <c r="S149" s="182">
        <f t="shared" si="11"/>
        <v>0</v>
      </c>
    </row>
    <row r="150" spans="2:19">
      <c r="B150" s="124" t="s">
        <v>662</v>
      </c>
      <c r="C150" s="154" t="s">
        <v>663</v>
      </c>
      <c r="D150" s="154" t="str">
        <f t="shared" si="9"/>
        <v>A0189:和歌山電力(株)</v>
      </c>
      <c r="I150" s="124" t="s">
        <v>442</v>
      </c>
      <c r="J150" s="124" t="s">
        <v>443</v>
      </c>
      <c r="K150" s="182" t="s">
        <v>398</v>
      </c>
      <c r="L150" s="182">
        <v>0</v>
      </c>
      <c r="M150" s="182">
        <v>4.5100000000000001E-4</v>
      </c>
      <c r="N150" s="182">
        <v>4.5100000000000001E-4</v>
      </c>
      <c r="O150" s="182">
        <v>4.5100000000000001E-4</v>
      </c>
      <c r="P150" s="182">
        <v>4.5100000000000001E-4</v>
      </c>
      <c r="R150" s="154" t="str">
        <f t="shared" si="10"/>
        <v>A0028:出光グリーンパワー(株)メニューB</v>
      </c>
      <c r="S150" s="182">
        <f t="shared" si="11"/>
        <v>0</v>
      </c>
    </row>
    <row r="151" spans="2:19">
      <c r="B151" s="124" t="s">
        <v>664</v>
      </c>
      <c r="C151" s="154" t="s">
        <v>665</v>
      </c>
      <c r="D151" s="154" t="str">
        <f t="shared" si="9"/>
        <v>A0190:日本瓦斯(株)(日本ガス(株))</v>
      </c>
      <c r="I151" s="124" t="s">
        <v>442</v>
      </c>
      <c r="J151" s="124" t="s">
        <v>443</v>
      </c>
      <c r="K151" s="182" t="s">
        <v>399</v>
      </c>
      <c r="L151" s="182">
        <v>2.0000000000000001E-4</v>
      </c>
      <c r="M151" s="182">
        <v>5.5700000000000009E-4</v>
      </c>
      <c r="N151" s="182">
        <v>5.5700000000000009E-4</v>
      </c>
      <c r="O151" s="182">
        <v>5.5700000000000009E-4</v>
      </c>
      <c r="P151" s="182">
        <v>5.5700000000000009E-4</v>
      </c>
      <c r="R151" s="154" t="str">
        <f t="shared" si="10"/>
        <v>A0028:出光グリーンパワー(株)メニューC</v>
      </c>
      <c r="S151" s="182">
        <f t="shared" si="11"/>
        <v>2.0000000000000001E-4</v>
      </c>
    </row>
    <row r="152" spans="2:19">
      <c r="B152" s="124" t="s">
        <v>666</v>
      </c>
      <c r="C152" s="154" t="s">
        <v>667</v>
      </c>
      <c r="D152" s="154" t="str">
        <f t="shared" si="9"/>
        <v>A0191:(株)トドック電力</v>
      </c>
      <c r="I152" s="124" t="s">
        <v>442</v>
      </c>
      <c r="J152" s="124" t="s">
        <v>443</v>
      </c>
      <c r="K152" s="182" t="s">
        <v>400</v>
      </c>
      <c r="L152" s="182">
        <v>6.0800000000000003E-4</v>
      </c>
      <c r="M152" s="182">
        <v>0</v>
      </c>
      <c r="N152" s="182">
        <v>0</v>
      </c>
      <c r="O152" s="182">
        <v>0</v>
      </c>
      <c r="P152" s="182">
        <v>0</v>
      </c>
      <c r="R152" s="154" t="str">
        <f t="shared" si="10"/>
        <v>A0028:出光グリーンパワー(株)メニューD</v>
      </c>
      <c r="S152" s="182">
        <f t="shared" si="11"/>
        <v>6.0800000000000003E-4</v>
      </c>
    </row>
    <row r="153" spans="2:19">
      <c r="B153" s="124" t="s">
        <v>668</v>
      </c>
      <c r="C153" s="154" t="s">
        <v>669</v>
      </c>
      <c r="D153" s="154" t="str">
        <f t="shared" si="9"/>
        <v>A0193:九電みらいエナジー(株)</v>
      </c>
      <c r="I153" s="124" t="s">
        <v>442</v>
      </c>
      <c r="J153" s="124" t="s">
        <v>443</v>
      </c>
      <c r="K153" s="182" t="s">
        <v>2010</v>
      </c>
      <c r="L153" s="182">
        <v>2.5500000000000002E-4</v>
      </c>
      <c r="M153" s="182">
        <v>2.5300000000000002E-4</v>
      </c>
      <c r="N153" s="182">
        <v>2.5300000000000002E-4</v>
      </c>
      <c r="O153" s="182">
        <v>2.5300000000000002E-4</v>
      </c>
      <c r="P153" s="182">
        <v>2.5300000000000002E-4</v>
      </c>
      <c r="R153" s="154" t="str">
        <f t="shared" si="10"/>
        <v>A0028:出光グリーンパワー(株)(参考値)事業者全体</v>
      </c>
      <c r="S153" s="182">
        <f t="shared" si="11"/>
        <v>2.5500000000000002E-4</v>
      </c>
    </row>
    <row r="154" spans="2:19">
      <c r="B154" s="124" t="s">
        <v>670</v>
      </c>
      <c r="C154" s="154" t="s">
        <v>671</v>
      </c>
      <c r="D154" s="154" t="str">
        <f t="shared" si="9"/>
        <v>A0194:(株)ミツウロコヴェッセル</v>
      </c>
      <c r="I154" s="124" t="s">
        <v>444</v>
      </c>
      <c r="J154" s="124" t="s">
        <v>445</v>
      </c>
      <c r="K154" s="182" t="s">
        <v>390</v>
      </c>
      <c r="L154" s="182">
        <v>0</v>
      </c>
      <c r="M154" s="182">
        <v>4.2900000000000002E-4</v>
      </c>
      <c r="N154" s="182">
        <v>4.2900000000000002E-4</v>
      </c>
      <c r="O154" s="182">
        <v>4.2900000000000002E-4</v>
      </c>
      <c r="P154" s="182">
        <v>4.2900000000000002E-4</v>
      </c>
      <c r="R154" s="154" t="str">
        <f t="shared" si="10"/>
        <v>A0031:(株)新出光メニューA</v>
      </c>
      <c r="S154" s="182">
        <f t="shared" si="11"/>
        <v>0</v>
      </c>
    </row>
    <row r="155" spans="2:19">
      <c r="B155" s="124" t="s">
        <v>672</v>
      </c>
      <c r="C155" s="154" t="s">
        <v>673</v>
      </c>
      <c r="D155" s="154" t="str">
        <f t="shared" si="9"/>
        <v>A0195:(株)フォレストパワー</v>
      </c>
      <c r="I155" s="124" t="s">
        <v>444</v>
      </c>
      <c r="J155" s="124" t="s">
        <v>445</v>
      </c>
      <c r="K155" s="182" t="s">
        <v>398</v>
      </c>
      <c r="L155" s="182">
        <v>0</v>
      </c>
      <c r="M155" s="182">
        <v>0</v>
      </c>
      <c r="N155" s="182">
        <v>0</v>
      </c>
      <c r="O155" s="182">
        <v>0</v>
      </c>
      <c r="P155" s="182">
        <v>0</v>
      </c>
      <c r="R155" s="154" t="str">
        <f t="shared" si="10"/>
        <v>A0031:(株)新出光メニューB</v>
      </c>
      <c r="S155" s="182">
        <f t="shared" si="11"/>
        <v>0</v>
      </c>
    </row>
    <row r="156" spans="2:19">
      <c r="B156" s="124" t="s">
        <v>674</v>
      </c>
      <c r="C156" s="154" t="s">
        <v>675</v>
      </c>
      <c r="D156" s="154" t="str">
        <f>B156&amp;":"&amp;C156</f>
        <v>A0196:日高都市ガス(株)</v>
      </c>
      <c r="I156" s="124" t="s">
        <v>444</v>
      </c>
      <c r="J156" s="124" t="s">
        <v>445</v>
      </c>
      <c r="K156" s="182" t="s">
        <v>399</v>
      </c>
      <c r="L156" s="182">
        <v>0</v>
      </c>
      <c r="M156" s="182">
        <v>0</v>
      </c>
      <c r="N156" s="182">
        <v>0</v>
      </c>
      <c r="O156" s="182">
        <v>0</v>
      </c>
      <c r="P156" s="182">
        <v>0</v>
      </c>
      <c r="R156" s="154" t="str">
        <f t="shared" si="10"/>
        <v>A0031:(株)新出光メニューC</v>
      </c>
      <c r="S156" s="182">
        <f t="shared" si="11"/>
        <v>0</v>
      </c>
    </row>
    <row r="157" spans="2:19">
      <c r="B157" s="124" t="s">
        <v>676</v>
      </c>
      <c r="C157" s="154" t="s">
        <v>677</v>
      </c>
      <c r="D157" s="154" t="str">
        <f t="shared" ref="D157:D162" si="12">B157&amp;":"&amp;C157</f>
        <v>A0197:(株)アドバンテック</v>
      </c>
      <c r="I157" s="124" t="s">
        <v>444</v>
      </c>
      <c r="J157" s="124" t="s">
        <v>445</v>
      </c>
      <c r="K157" s="182" t="s">
        <v>400</v>
      </c>
      <c r="L157" s="182">
        <v>3.1399999999999999E-4</v>
      </c>
      <c r="M157" s="182">
        <v>0</v>
      </c>
      <c r="N157" s="182">
        <v>0</v>
      </c>
      <c r="O157" s="182">
        <v>0</v>
      </c>
      <c r="P157" s="182">
        <v>0</v>
      </c>
      <c r="R157" s="154" t="str">
        <f t="shared" si="10"/>
        <v>A0031:(株)新出光メニューD</v>
      </c>
      <c r="S157" s="182">
        <f t="shared" si="11"/>
        <v>3.1399999999999999E-4</v>
      </c>
    </row>
    <row r="158" spans="2:19">
      <c r="B158" s="124" t="s">
        <v>678</v>
      </c>
      <c r="C158" s="154" t="s">
        <v>679</v>
      </c>
      <c r="D158" s="154" t="str">
        <f t="shared" si="12"/>
        <v>A0199:ローカルエナジー(株)</v>
      </c>
      <c r="I158" s="124" t="s">
        <v>444</v>
      </c>
      <c r="J158" s="124" t="s">
        <v>445</v>
      </c>
      <c r="K158" s="182" t="s">
        <v>401</v>
      </c>
      <c r="L158" s="182">
        <v>2.5900000000000001E-4</v>
      </c>
      <c r="M158" s="182">
        <v>4.7899999999999999E-4</v>
      </c>
      <c r="N158" s="182">
        <v>4.7899999999999999E-4</v>
      </c>
      <c r="O158" s="182">
        <v>4.7899999999999999E-4</v>
      </c>
      <c r="P158" s="182">
        <v>4.7899999999999999E-4</v>
      </c>
      <c r="R158" s="154" t="str">
        <f t="shared" si="10"/>
        <v>A0031:(株)新出光メニューE</v>
      </c>
      <c r="S158" s="182">
        <f t="shared" si="11"/>
        <v>2.5900000000000001E-4</v>
      </c>
    </row>
    <row r="159" spans="2:19">
      <c r="B159" s="124" t="s">
        <v>680</v>
      </c>
      <c r="C159" s="154" t="s">
        <v>1688</v>
      </c>
      <c r="D159" s="154" t="str">
        <f t="shared" si="12"/>
        <v>A0200:エネックス(株)</v>
      </c>
      <c r="I159" s="124" t="s">
        <v>444</v>
      </c>
      <c r="J159" s="124" t="s">
        <v>445</v>
      </c>
      <c r="K159" s="182" t="s">
        <v>414</v>
      </c>
      <c r="L159" s="182">
        <v>0</v>
      </c>
      <c r="M159" s="182">
        <v>2.2000000000000001E-4</v>
      </c>
      <c r="N159" s="182">
        <v>2.2000000000000001E-4</v>
      </c>
      <c r="O159" s="182">
        <v>2.2000000000000001E-4</v>
      </c>
      <c r="P159" s="182">
        <v>2.2000000000000001E-4</v>
      </c>
      <c r="R159" s="154" t="str">
        <f t="shared" si="10"/>
        <v>A0031:(株)新出光メニューF</v>
      </c>
      <c r="S159" s="182">
        <f t="shared" si="11"/>
        <v>0</v>
      </c>
    </row>
    <row r="160" spans="2:19">
      <c r="B160" s="124" t="s">
        <v>681</v>
      </c>
      <c r="C160" s="154" t="s">
        <v>682</v>
      </c>
      <c r="D160" s="154" t="str">
        <f t="shared" si="12"/>
        <v>A0203:(株)レクスポート</v>
      </c>
      <c r="I160" s="124" t="s">
        <v>444</v>
      </c>
      <c r="J160" s="124" t="s">
        <v>445</v>
      </c>
      <c r="K160" s="182" t="s">
        <v>415</v>
      </c>
      <c r="L160" s="182">
        <v>0</v>
      </c>
      <c r="M160" s="182">
        <v>0</v>
      </c>
      <c r="N160" s="182">
        <v>0</v>
      </c>
      <c r="O160" s="182">
        <v>0</v>
      </c>
      <c r="P160" s="182">
        <v>0</v>
      </c>
      <c r="R160" s="154" t="str">
        <f t="shared" si="10"/>
        <v>A0031:(株)新出光メニューG</v>
      </c>
      <c r="S160" s="182">
        <f t="shared" si="11"/>
        <v>0</v>
      </c>
    </row>
    <row r="161" spans="2:19">
      <c r="B161" s="124" t="s">
        <v>683</v>
      </c>
      <c r="C161" s="154" t="s">
        <v>1689</v>
      </c>
      <c r="D161" s="154" t="str">
        <f t="shared" si="12"/>
        <v>A0204:なでしこ電力(株)</v>
      </c>
      <c r="I161" s="124" t="s">
        <v>444</v>
      </c>
      <c r="J161" s="124" t="s">
        <v>445</v>
      </c>
      <c r="K161" s="182" t="s">
        <v>416</v>
      </c>
      <c r="L161" s="182">
        <v>0</v>
      </c>
      <c r="M161" s="182">
        <v>0</v>
      </c>
      <c r="N161" s="182">
        <v>0</v>
      </c>
      <c r="O161" s="182">
        <v>0</v>
      </c>
      <c r="P161" s="182">
        <v>0</v>
      </c>
      <c r="R161" s="154" t="str">
        <f t="shared" si="10"/>
        <v>A0031:(株)新出光メニューH</v>
      </c>
      <c r="S161" s="182">
        <f t="shared" si="11"/>
        <v>0</v>
      </c>
    </row>
    <row r="162" spans="2:19">
      <c r="B162" s="124" t="s">
        <v>684</v>
      </c>
      <c r="C162" s="154" t="s">
        <v>685</v>
      </c>
      <c r="D162" s="154" t="str">
        <f t="shared" si="12"/>
        <v>A0206:日田グリーン電力(株)</v>
      </c>
      <c r="I162" s="124" t="s">
        <v>444</v>
      </c>
      <c r="J162" s="124" t="s">
        <v>445</v>
      </c>
      <c r="K162" s="182" t="s">
        <v>417</v>
      </c>
      <c r="L162" s="182">
        <v>0</v>
      </c>
      <c r="M162" s="182">
        <v>3.48E-4</v>
      </c>
      <c r="N162" s="182">
        <v>3.48E-4</v>
      </c>
      <c r="O162" s="182">
        <v>3.48E-4</v>
      </c>
      <c r="P162" s="182">
        <v>3.48E-4</v>
      </c>
      <c r="R162" s="154" t="str">
        <f t="shared" si="10"/>
        <v>A0031:(株)新出光メニューI</v>
      </c>
      <c r="S162" s="182">
        <f t="shared" si="11"/>
        <v>0</v>
      </c>
    </row>
    <row r="163" spans="2:19">
      <c r="B163" s="124" t="s">
        <v>686</v>
      </c>
      <c r="C163" s="154" t="s">
        <v>687</v>
      </c>
      <c r="D163" s="154" t="str">
        <f>B163&amp;":"&amp;C163</f>
        <v>A0209:埼玉ガス(株)</v>
      </c>
      <c r="I163" s="124" t="s">
        <v>444</v>
      </c>
      <c r="J163" s="124" t="s">
        <v>445</v>
      </c>
      <c r="K163" s="182" t="s">
        <v>418</v>
      </c>
      <c r="L163" s="182">
        <v>0</v>
      </c>
      <c r="M163" s="182">
        <v>3.4899999999999997E-4</v>
      </c>
      <c r="N163" s="182">
        <v>3.4899999999999997E-4</v>
      </c>
      <c r="O163" s="182">
        <v>3.4899999999999997E-4</v>
      </c>
      <c r="P163" s="182">
        <v>3.4899999999999997E-4</v>
      </c>
      <c r="R163" s="154" t="str">
        <f t="shared" si="10"/>
        <v>A0031:(株)新出光メニューJ</v>
      </c>
      <c r="S163" s="182">
        <f t="shared" si="11"/>
        <v>0</v>
      </c>
    </row>
    <row r="164" spans="2:19">
      <c r="B164" s="124" t="s">
        <v>688</v>
      </c>
      <c r="C164" s="154" t="s">
        <v>689</v>
      </c>
      <c r="D164" s="154" t="str">
        <f t="shared" ref="D164:D227" si="13">B164&amp;":"&amp;C164</f>
        <v>A0210:宮崎パワーライン(株)</v>
      </c>
      <c r="I164" s="124" t="s">
        <v>444</v>
      </c>
      <c r="J164" s="124" t="s">
        <v>445</v>
      </c>
      <c r="K164" s="182" t="s">
        <v>432</v>
      </c>
      <c r="L164" s="182">
        <v>5.5900000000000004E-4</v>
      </c>
      <c r="M164" s="182">
        <v>2.9500000000000001E-4</v>
      </c>
      <c r="N164" s="182">
        <v>2.9500000000000001E-4</v>
      </c>
      <c r="O164" s="182">
        <v>2.9500000000000001E-4</v>
      </c>
      <c r="P164" s="182">
        <v>2.9500000000000001E-4</v>
      </c>
      <c r="R164" s="154" t="str">
        <f t="shared" si="10"/>
        <v>A0031:(株)新出光メニューK</v>
      </c>
      <c r="S164" s="182">
        <f t="shared" si="11"/>
        <v>5.5900000000000004E-4</v>
      </c>
    </row>
    <row r="165" spans="2:19">
      <c r="B165" s="124" t="s">
        <v>690</v>
      </c>
      <c r="C165" s="154" t="s">
        <v>691</v>
      </c>
      <c r="D165" s="154" t="str">
        <f t="shared" si="13"/>
        <v>A0211:(株)パワー・オプティマイザー</v>
      </c>
      <c r="I165" s="124" t="s">
        <v>444</v>
      </c>
      <c r="J165" s="124" t="s">
        <v>445</v>
      </c>
      <c r="K165" s="182" t="s">
        <v>2010</v>
      </c>
      <c r="L165" s="182">
        <v>4.6700000000000002E-4</v>
      </c>
      <c r="M165" s="182">
        <v>0</v>
      </c>
      <c r="N165" s="182">
        <v>0</v>
      </c>
      <c r="O165" s="182">
        <v>0</v>
      </c>
      <c r="P165" s="182">
        <v>0</v>
      </c>
      <c r="R165" s="154" t="str">
        <f t="shared" si="10"/>
        <v>A0031:(株)新出光(参考値)事業者全体</v>
      </c>
      <c r="S165" s="182">
        <f t="shared" si="11"/>
        <v>4.6700000000000002E-4</v>
      </c>
    </row>
    <row r="166" spans="2:19">
      <c r="B166" s="124" t="s">
        <v>692</v>
      </c>
      <c r="C166" s="154" t="s">
        <v>693</v>
      </c>
      <c r="D166" s="154" t="str">
        <f t="shared" si="13"/>
        <v>A0213:(株)U-POWER</v>
      </c>
      <c r="I166" s="124" t="s">
        <v>446</v>
      </c>
      <c r="J166" s="124" t="s">
        <v>447</v>
      </c>
      <c r="K166" s="182"/>
      <c r="L166" s="182">
        <v>2.8499999999999999E-4</v>
      </c>
      <c r="M166" s="182">
        <v>4.4900000000000002E-4</v>
      </c>
      <c r="N166" s="182">
        <v>4.4900000000000002E-4</v>
      </c>
      <c r="O166" s="182">
        <v>4.4900000000000002E-4</v>
      </c>
      <c r="P166" s="182">
        <v>4.4900000000000002E-4</v>
      </c>
      <c r="R166" s="154" t="str">
        <f t="shared" si="10"/>
        <v>A0032:セントラル石油瓦斯(株)</v>
      </c>
      <c r="S166" s="182">
        <f t="shared" si="11"/>
        <v>2.8499999999999999E-4</v>
      </c>
    </row>
    <row r="167" spans="2:19">
      <c r="B167" s="124" t="s">
        <v>694</v>
      </c>
      <c r="C167" s="154" t="s">
        <v>695</v>
      </c>
      <c r="D167" s="154" t="str">
        <f t="shared" si="13"/>
        <v>A0214:(株)TTSパワー</v>
      </c>
      <c r="I167" s="124" t="s">
        <v>448</v>
      </c>
      <c r="J167" s="124" t="s">
        <v>449</v>
      </c>
      <c r="K167" s="182"/>
      <c r="L167" s="182">
        <v>4.8999999999999998E-4</v>
      </c>
      <c r="M167" s="182">
        <v>1E-4</v>
      </c>
      <c r="N167" s="182">
        <v>1E-4</v>
      </c>
      <c r="O167" s="182">
        <v>1E-4</v>
      </c>
      <c r="P167" s="182">
        <v>1E-4</v>
      </c>
      <c r="R167" s="154" t="str">
        <f t="shared" si="10"/>
        <v>A0034:一般財団法人泉佐野電力　　</v>
      </c>
      <c r="S167" s="182">
        <f t="shared" si="11"/>
        <v>4.8999999999999998E-4</v>
      </c>
    </row>
    <row r="168" spans="2:19">
      <c r="B168" s="124" t="s">
        <v>696</v>
      </c>
      <c r="C168" s="154" t="s">
        <v>697</v>
      </c>
      <c r="D168" s="154" t="str">
        <f t="shared" si="13"/>
        <v>A0216:(株)岩手ウッドパワー</v>
      </c>
      <c r="I168" s="124" t="s">
        <v>450</v>
      </c>
      <c r="J168" s="124" t="s">
        <v>451</v>
      </c>
      <c r="K168" s="182" t="s">
        <v>390</v>
      </c>
      <c r="L168" s="182">
        <v>0</v>
      </c>
      <c r="M168" s="182">
        <v>0</v>
      </c>
      <c r="N168" s="182">
        <v>0</v>
      </c>
      <c r="O168" s="182">
        <v>0</v>
      </c>
      <c r="P168" s="182">
        <v>0</v>
      </c>
      <c r="R168" s="154" t="str">
        <f t="shared" si="10"/>
        <v>A0035:コスモエネルギーソリューションズ(株)メニューA</v>
      </c>
      <c r="S168" s="182">
        <f t="shared" si="11"/>
        <v>0</v>
      </c>
    </row>
    <row r="169" spans="2:19">
      <c r="B169" s="124" t="s">
        <v>698</v>
      </c>
      <c r="C169" s="154" t="s">
        <v>699</v>
      </c>
      <c r="D169" s="154" t="str">
        <f t="shared" si="13"/>
        <v>A0217:里山パワーワークス(株)</v>
      </c>
      <c r="I169" s="124" t="s">
        <v>450</v>
      </c>
      <c r="J169" s="124" t="s">
        <v>451</v>
      </c>
      <c r="K169" s="182" t="s">
        <v>398</v>
      </c>
      <c r="L169" s="182">
        <v>3.9999999999999998E-6</v>
      </c>
      <c r="M169" s="182">
        <v>8.0400000000000003E-4</v>
      </c>
      <c r="N169" s="182">
        <v>8.0400000000000003E-4</v>
      </c>
      <c r="O169" s="182">
        <v>8.0400000000000003E-4</v>
      </c>
      <c r="P169" s="182">
        <v>8.0400000000000003E-4</v>
      </c>
      <c r="R169" s="154" t="str">
        <f t="shared" si="10"/>
        <v>A0035:コスモエネルギーソリューションズ(株)メニューB</v>
      </c>
      <c r="S169" s="182">
        <f t="shared" si="11"/>
        <v>3.9999999999999998E-6</v>
      </c>
    </row>
    <row r="170" spans="2:19">
      <c r="B170" s="124" t="s">
        <v>700</v>
      </c>
      <c r="C170" s="154" t="s">
        <v>701</v>
      </c>
      <c r="D170" s="154" t="str">
        <f t="shared" si="13"/>
        <v>A0218:(株)中之条パワー</v>
      </c>
      <c r="I170" s="124" t="s">
        <v>450</v>
      </c>
      <c r="J170" s="124" t="s">
        <v>451</v>
      </c>
      <c r="K170" s="182" t="s">
        <v>399</v>
      </c>
      <c r="L170" s="182">
        <v>9.1000000000000003E-5</v>
      </c>
      <c r="M170" s="182">
        <v>0</v>
      </c>
      <c r="N170" s="182">
        <v>0</v>
      </c>
      <c r="O170" s="182">
        <v>0</v>
      </c>
      <c r="P170" s="182">
        <v>0</v>
      </c>
      <c r="R170" s="154" t="str">
        <f t="shared" si="10"/>
        <v>A0035:コスモエネルギーソリューションズ(株)メニューC</v>
      </c>
      <c r="S170" s="182">
        <f t="shared" si="11"/>
        <v>9.1000000000000003E-5</v>
      </c>
    </row>
    <row r="171" spans="2:19">
      <c r="B171" s="124" t="s">
        <v>702</v>
      </c>
      <c r="C171" s="154" t="s">
        <v>1690</v>
      </c>
      <c r="D171" s="154" t="str">
        <f t="shared" si="13"/>
        <v>A0220:日産トレーディング(株)</v>
      </c>
      <c r="I171" s="124" t="s">
        <v>450</v>
      </c>
      <c r="J171" s="124" t="s">
        <v>451</v>
      </c>
      <c r="K171" s="182" t="s">
        <v>400</v>
      </c>
      <c r="L171" s="182">
        <v>1.12E-4</v>
      </c>
      <c r="M171" s="182">
        <v>0</v>
      </c>
      <c r="N171" s="182">
        <v>0</v>
      </c>
      <c r="O171" s="182">
        <v>0</v>
      </c>
      <c r="P171" s="182">
        <v>0</v>
      </c>
      <c r="R171" s="154" t="str">
        <f t="shared" si="10"/>
        <v>A0035:コスモエネルギーソリューションズ(株)メニューD</v>
      </c>
      <c r="S171" s="182">
        <f t="shared" si="11"/>
        <v>1.12E-4</v>
      </c>
    </row>
    <row r="172" spans="2:19">
      <c r="B172" s="124" t="s">
        <v>703</v>
      </c>
      <c r="C172" s="154" t="s">
        <v>704</v>
      </c>
      <c r="D172" s="154" t="str">
        <f t="shared" si="13"/>
        <v>A0221:(株)エネウィル</v>
      </c>
      <c r="I172" s="124" t="s">
        <v>450</v>
      </c>
      <c r="J172" s="124" t="s">
        <v>451</v>
      </c>
      <c r="K172" s="182" t="s">
        <v>401</v>
      </c>
      <c r="L172" s="182">
        <v>8.1400000000000005E-4</v>
      </c>
      <c r="M172" s="182">
        <v>0</v>
      </c>
      <c r="N172" s="182">
        <v>0</v>
      </c>
      <c r="O172" s="182">
        <v>0</v>
      </c>
      <c r="P172" s="182">
        <v>0</v>
      </c>
      <c r="R172" s="154" t="str">
        <f t="shared" si="10"/>
        <v>A0035:コスモエネルギーソリューションズ(株)メニューE</v>
      </c>
      <c r="S172" s="182">
        <f t="shared" si="11"/>
        <v>8.1400000000000005E-4</v>
      </c>
    </row>
    <row r="173" spans="2:19">
      <c r="B173" s="124" t="s">
        <v>705</v>
      </c>
      <c r="C173" s="154" t="s">
        <v>706</v>
      </c>
      <c r="D173" s="154" t="str">
        <f t="shared" si="13"/>
        <v>A0222:Next Power(株)</v>
      </c>
      <c r="I173" s="124" t="s">
        <v>450</v>
      </c>
      <c r="J173" s="124" t="s">
        <v>451</v>
      </c>
      <c r="K173" s="182" t="s">
        <v>2010</v>
      </c>
      <c r="L173" s="182">
        <v>4.3899999999999999E-4</v>
      </c>
      <c r="M173" s="182">
        <v>0</v>
      </c>
      <c r="N173" s="182">
        <v>0</v>
      </c>
      <c r="O173" s="182">
        <v>0</v>
      </c>
      <c r="P173" s="182">
        <v>0</v>
      </c>
      <c r="R173" s="154" t="str">
        <f t="shared" si="10"/>
        <v>A0035:コスモエネルギーソリューションズ(株)(参考値)事業者全体</v>
      </c>
      <c r="S173" s="182">
        <f t="shared" si="11"/>
        <v>4.3899999999999999E-4</v>
      </c>
    </row>
    <row r="174" spans="2:19">
      <c r="B174" s="124" t="s">
        <v>707</v>
      </c>
      <c r="C174" s="154" t="s">
        <v>708</v>
      </c>
      <c r="D174" s="154" t="str">
        <f t="shared" si="13"/>
        <v>A0227:はりま電力(株)</v>
      </c>
      <c r="I174" s="124" t="s">
        <v>452</v>
      </c>
      <c r="J174" s="124" t="s">
        <v>453</v>
      </c>
      <c r="K174" s="182" t="s">
        <v>390</v>
      </c>
      <c r="L174" s="182">
        <v>0</v>
      </c>
      <c r="M174" s="182">
        <v>0</v>
      </c>
      <c r="N174" s="182">
        <v>0</v>
      </c>
      <c r="O174" s="182">
        <v>0</v>
      </c>
      <c r="P174" s="182">
        <v>0</v>
      </c>
      <c r="R174" s="154" t="str">
        <f t="shared" si="10"/>
        <v>A0036:(株)グリーンサークルメニューA</v>
      </c>
      <c r="S174" s="182">
        <f t="shared" si="11"/>
        <v>0</v>
      </c>
    </row>
    <row r="175" spans="2:19">
      <c r="B175" s="124" t="s">
        <v>709</v>
      </c>
      <c r="C175" s="154" t="s">
        <v>710</v>
      </c>
      <c r="D175" s="154" t="str">
        <f t="shared" si="13"/>
        <v>A0228:(株)浜松新電力</v>
      </c>
      <c r="I175" s="124" t="s">
        <v>452</v>
      </c>
      <c r="J175" s="124" t="s">
        <v>453</v>
      </c>
      <c r="K175" s="182" t="s">
        <v>2010</v>
      </c>
      <c r="L175" s="182">
        <v>4.26E-4</v>
      </c>
      <c r="M175" s="182">
        <v>5.0600000000000005E-4</v>
      </c>
      <c r="N175" s="182">
        <v>5.0600000000000005E-4</v>
      </c>
      <c r="O175" s="182">
        <v>5.0600000000000005E-4</v>
      </c>
      <c r="P175" s="182">
        <v>5.0600000000000005E-4</v>
      </c>
      <c r="R175" s="154" t="str">
        <f t="shared" si="10"/>
        <v>A0036:(株)グリーンサークル(参考値)事業者全体</v>
      </c>
      <c r="S175" s="182">
        <f t="shared" si="11"/>
        <v>4.26E-4</v>
      </c>
    </row>
    <row r="176" spans="2:19">
      <c r="B176" s="124" t="s">
        <v>711</v>
      </c>
      <c r="C176" s="154" t="s">
        <v>1691</v>
      </c>
      <c r="D176" s="154" t="str">
        <f t="shared" si="13"/>
        <v>A0229:ゼロワットパワー(株)</v>
      </c>
      <c r="I176" s="124" t="s">
        <v>454</v>
      </c>
      <c r="J176" s="124" t="s">
        <v>1672</v>
      </c>
      <c r="K176" s="182" t="s">
        <v>390</v>
      </c>
      <c r="L176" s="182">
        <v>0</v>
      </c>
      <c r="M176" s="182">
        <v>6.6200000000000005E-4</v>
      </c>
      <c r="N176" s="182">
        <v>6.6200000000000005E-4</v>
      </c>
      <c r="O176" s="182">
        <v>6.6200000000000005E-4</v>
      </c>
      <c r="P176" s="182">
        <v>6.6200000000000005E-4</v>
      </c>
      <c r="R176" s="154" t="str">
        <f t="shared" si="10"/>
        <v>A0039:北海道瓦斯(株)メニューA</v>
      </c>
      <c r="S176" s="182">
        <f t="shared" si="11"/>
        <v>0</v>
      </c>
    </row>
    <row r="177" spans="2:19">
      <c r="B177" s="124" t="s">
        <v>712</v>
      </c>
      <c r="C177" s="154" t="s">
        <v>1692</v>
      </c>
      <c r="D177" s="154" t="str">
        <f t="shared" si="13"/>
        <v>A0230:アストマックス(株)</v>
      </c>
      <c r="I177" s="124" t="s">
        <v>454</v>
      </c>
      <c r="J177" s="124" t="s">
        <v>1672</v>
      </c>
      <c r="K177" s="182" t="s">
        <v>398</v>
      </c>
      <c r="L177" s="182">
        <v>4.9899999999999999E-4</v>
      </c>
      <c r="M177" s="182">
        <v>0</v>
      </c>
      <c r="N177" s="182">
        <v>0</v>
      </c>
      <c r="O177" s="182">
        <v>0</v>
      </c>
      <c r="P177" s="182">
        <v>0</v>
      </c>
      <c r="R177" s="154" t="str">
        <f t="shared" si="10"/>
        <v>A0039:北海道瓦斯(株)メニューB</v>
      </c>
      <c r="S177" s="182">
        <f t="shared" si="11"/>
        <v>4.9899999999999999E-4</v>
      </c>
    </row>
    <row r="178" spans="2:19">
      <c r="B178" s="124" t="s">
        <v>713</v>
      </c>
      <c r="C178" s="154" t="s">
        <v>714</v>
      </c>
      <c r="D178" s="154" t="str">
        <f t="shared" si="13"/>
        <v>A0231:(株)やまがた新電力</v>
      </c>
      <c r="I178" s="124" t="s">
        <v>454</v>
      </c>
      <c r="J178" s="124" t="s">
        <v>1672</v>
      </c>
      <c r="K178" s="182" t="s">
        <v>2010</v>
      </c>
      <c r="L178" s="182">
        <v>3.9100000000000002E-4</v>
      </c>
      <c r="M178" s="182">
        <v>0</v>
      </c>
      <c r="N178" s="182">
        <v>0</v>
      </c>
      <c r="O178" s="182">
        <v>0</v>
      </c>
      <c r="P178" s="182">
        <v>0</v>
      </c>
      <c r="R178" s="154" t="str">
        <f t="shared" si="10"/>
        <v>A0039:北海道瓦斯(株)(参考値)事業者全体</v>
      </c>
      <c r="S178" s="182">
        <f t="shared" si="11"/>
        <v>3.9100000000000002E-4</v>
      </c>
    </row>
    <row r="179" spans="2:19">
      <c r="B179" s="124" t="s">
        <v>715</v>
      </c>
      <c r="C179" s="154" t="s">
        <v>716</v>
      </c>
      <c r="D179" s="154" t="str">
        <f t="shared" si="13"/>
        <v>A0232:一般社団法人東松島みらいとし機構</v>
      </c>
      <c r="I179" s="124" t="s">
        <v>455</v>
      </c>
      <c r="J179" s="124" t="s">
        <v>1673</v>
      </c>
      <c r="K179" s="182"/>
      <c r="L179" s="182">
        <v>4.5100000000000001E-4</v>
      </c>
      <c r="M179" s="182">
        <v>4.2400000000000001E-4</v>
      </c>
      <c r="N179" s="182">
        <v>4.2400000000000001E-4</v>
      </c>
      <c r="O179" s="182">
        <v>4.2400000000000001E-4</v>
      </c>
      <c r="P179" s="182">
        <v>4.2400000000000001E-4</v>
      </c>
      <c r="R179" s="154" t="str">
        <f t="shared" si="10"/>
        <v>A0040:アルカナエナジー(株)</v>
      </c>
      <c r="S179" s="182">
        <f t="shared" si="11"/>
        <v>4.5100000000000001E-4</v>
      </c>
    </row>
    <row r="180" spans="2:19">
      <c r="B180" s="124" t="s">
        <v>717</v>
      </c>
      <c r="C180" s="154" t="s">
        <v>718</v>
      </c>
      <c r="D180" s="154" t="str">
        <f t="shared" si="13"/>
        <v>A0234:(株)グリーンパワー大東</v>
      </c>
      <c r="I180" s="124" t="s">
        <v>456</v>
      </c>
      <c r="J180" s="124" t="s">
        <v>1674</v>
      </c>
      <c r="K180" s="182" t="s">
        <v>390</v>
      </c>
      <c r="L180" s="182">
        <v>5.5700000000000009E-4</v>
      </c>
      <c r="M180" s="182">
        <v>5.1099999999999995E-4</v>
      </c>
      <c r="N180" s="182">
        <v>5.1099999999999995E-4</v>
      </c>
      <c r="O180" s="182">
        <v>5.1099999999999995E-4</v>
      </c>
      <c r="P180" s="182">
        <v>5.1099999999999995E-4</v>
      </c>
      <c r="R180" s="154" t="str">
        <f t="shared" si="10"/>
        <v>A0042:新エネルギー開発(株)メニューA</v>
      </c>
      <c r="S180" s="182">
        <f t="shared" si="11"/>
        <v>5.5700000000000009E-4</v>
      </c>
    </row>
    <row r="181" spans="2:19">
      <c r="B181" s="124" t="s">
        <v>719</v>
      </c>
      <c r="C181" s="154" t="s">
        <v>720</v>
      </c>
      <c r="D181" s="154" t="str">
        <f t="shared" si="13"/>
        <v>A0236:(株)シーラソーラー(旧：(株)シーラパワー)</v>
      </c>
      <c r="I181" s="124" t="s">
        <v>456</v>
      </c>
      <c r="J181" s="124" t="s">
        <v>1674</v>
      </c>
      <c r="K181" s="182" t="s">
        <v>398</v>
      </c>
      <c r="L181" s="182">
        <v>0</v>
      </c>
      <c r="M181" s="182">
        <v>3.9900000000000005E-4</v>
      </c>
      <c r="N181" s="182">
        <v>3.9900000000000005E-4</v>
      </c>
      <c r="O181" s="182">
        <v>3.9900000000000005E-4</v>
      </c>
      <c r="P181" s="182">
        <v>3.9900000000000005E-4</v>
      </c>
      <c r="R181" s="154" t="str">
        <f t="shared" si="10"/>
        <v>A0042:新エネルギー開発(株)メニューB</v>
      </c>
      <c r="S181" s="182">
        <f t="shared" si="11"/>
        <v>0</v>
      </c>
    </row>
    <row r="182" spans="2:19">
      <c r="B182" s="124" t="s">
        <v>721</v>
      </c>
      <c r="C182" s="154" t="s">
        <v>722</v>
      </c>
      <c r="D182" s="154" t="str">
        <f t="shared" si="13"/>
        <v>A0237:御所野縄文電力(株)</v>
      </c>
      <c r="I182" s="124" t="s">
        <v>456</v>
      </c>
      <c r="J182" s="124" t="s">
        <v>1674</v>
      </c>
      <c r="K182" s="182" t="s">
        <v>2010</v>
      </c>
      <c r="L182" s="182">
        <v>5.6899999999999995E-4</v>
      </c>
      <c r="M182" s="182">
        <v>2.99E-4</v>
      </c>
      <c r="N182" s="182">
        <v>2.99E-4</v>
      </c>
      <c r="O182" s="182">
        <v>2.99E-4</v>
      </c>
      <c r="P182" s="182">
        <v>2.99E-4</v>
      </c>
      <c r="R182" s="154" t="str">
        <f t="shared" si="10"/>
        <v>A0042:新エネルギー開発(株)(参考値)事業者全体</v>
      </c>
      <c r="S182" s="182">
        <f t="shared" si="11"/>
        <v>5.6899999999999995E-4</v>
      </c>
    </row>
    <row r="183" spans="2:19">
      <c r="B183" s="124" t="s">
        <v>723</v>
      </c>
      <c r="C183" s="154" t="s">
        <v>724</v>
      </c>
      <c r="D183" s="154" t="str">
        <f t="shared" si="13"/>
        <v>A0238:(株)カーボンニュートラル</v>
      </c>
      <c r="I183" s="124" t="s">
        <v>457</v>
      </c>
      <c r="J183" s="124" t="s">
        <v>458</v>
      </c>
      <c r="K183" s="182" t="s">
        <v>390</v>
      </c>
      <c r="L183" s="182">
        <v>2.5300000000000002E-4</v>
      </c>
      <c r="M183" s="182">
        <v>1.9900000000000001E-4</v>
      </c>
      <c r="N183" s="182">
        <v>1.9900000000000001E-4</v>
      </c>
      <c r="O183" s="182">
        <v>1.9900000000000001E-4</v>
      </c>
      <c r="P183" s="182">
        <v>1.9900000000000001E-4</v>
      </c>
      <c r="R183" s="154" t="str">
        <f t="shared" si="10"/>
        <v>A0043:伊藤忠エネクス(株)メニューA</v>
      </c>
      <c r="S183" s="182">
        <f t="shared" si="11"/>
        <v>2.5300000000000002E-4</v>
      </c>
    </row>
    <row r="184" spans="2:19">
      <c r="B184" s="124" t="s">
        <v>725</v>
      </c>
      <c r="C184" s="154" t="s">
        <v>1693</v>
      </c>
      <c r="D184" s="154" t="str">
        <f t="shared" si="13"/>
        <v>A0239:宮古新電力(株)</v>
      </c>
      <c r="I184" s="124" t="s">
        <v>457</v>
      </c>
      <c r="J184" s="124" t="s">
        <v>458</v>
      </c>
      <c r="K184" s="182" t="s">
        <v>398</v>
      </c>
      <c r="L184" s="182">
        <v>4.2900000000000002E-4</v>
      </c>
      <c r="M184" s="182">
        <v>0</v>
      </c>
      <c r="N184" s="182">
        <v>0</v>
      </c>
      <c r="O184" s="182">
        <v>0</v>
      </c>
      <c r="P184" s="182">
        <v>0</v>
      </c>
      <c r="R184" s="154" t="str">
        <f t="shared" si="10"/>
        <v>A0043:伊藤忠エネクス(株)メニューB</v>
      </c>
      <c r="S184" s="182">
        <f t="shared" si="11"/>
        <v>4.2900000000000002E-4</v>
      </c>
    </row>
    <row r="185" spans="2:19">
      <c r="B185" s="124" t="s">
        <v>726</v>
      </c>
      <c r="C185" s="154" t="s">
        <v>727</v>
      </c>
      <c r="D185" s="154" t="str">
        <f t="shared" si="13"/>
        <v>A0240:長崎地域電力(株)</v>
      </c>
      <c r="I185" s="124" t="s">
        <v>457</v>
      </c>
      <c r="J185" s="124" t="s">
        <v>458</v>
      </c>
      <c r="K185" s="182" t="s">
        <v>2010</v>
      </c>
      <c r="L185" s="182">
        <v>4.2900000000000002E-4</v>
      </c>
      <c r="M185" s="182">
        <v>4.5000000000000004E-4</v>
      </c>
      <c r="N185" s="182">
        <v>4.5000000000000004E-4</v>
      </c>
      <c r="O185" s="182">
        <v>4.5000000000000004E-4</v>
      </c>
      <c r="P185" s="182">
        <v>4.5000000000000004E-4</v>
      </c>
      <c r="R185" s="154" t="str">
        <f t="shared" si="10"/>
        <v>A0043:伊藤忠エネクス(株)(参考値)事業者全体</v>
      </c>
      <c r="S185" s="182">
        <f t="shared" si="11"/>
        <v>4.2900000000000002E-4</v>
      </c>
    </row>
    <row r="186" spans="2:19">
      <c r="B186" s="124" t="s">
        <v>728</v>
      </c>
      <c r="C186" s="154" t="s">
        <v>729</v>
      </c>
      <c r="D186" s="154" t="str">
        <f t="shared" si="13"/>
        <v>A0241:(株)エネアーク関西</v>
      </c>
      <c r="I186" s="124" t="s">
        <v>459</v>
      </c>
      <c r="J186" s="124" t="s">
        <v>460</v>
      </c>
      <c r="K186" s="182" t="s">
        <v>390</v>
      </c>
      <c r="L186" s="182">
        <v>0</v>
      </c>
      <c r="M186" s="182">
        <v>3.1500000000000001E-4</v>
      </c>
      <c r="N186" s="182">
        <v>3.1500000000000001E-4</v>
      </c>
      <c r="O186" s="182">
        <v>3.1500000000000001E-4</v>
      </c>
      <c r="P186" s="182">
        <v>3.1500000000000001E-4</v>
      </c>
      <c r="R186" s="154" t="str">
        <f t="shared" si="10"/>
        <v>A0045:(株)V-PowerメニューA</v>
      </c>
      <c r="S186" s="182">
        <f t="shared" si="11"/>
        <v>0</v>
      </c>
    </row>
    <row r="187" spans="2:19">
      <c r="B187" s="124" t="s">
        <v>730</v>
      </c>
      <c r="C187" s="154" t="s">
        <v>731</v>
      </c>
      <c r="D187" s="154" t="str">
        <f t="shared" si="13"/>
        <v>A0243:近畿電力(株)</v>
      </c>
      <c r="I187" s="124" t="s">
        <v>459</v>
      </c>
      <c r="J187" s="124" t="s">
        <v>460</v>
      </c>
      <c r="K187" s="182" t="s">
        <v>398</v>
      </c>
      <c r="L187" s="182">
        <v>0</v>
      </c>
      <c r="M187" s="182">
        <v>2.3499999999999999E-4</v>
      </c>
      <c r="N187" s="182">
        <v>2.3499999999999999E-4</v>
      </c>
      <c r="O187" s="182">
        <v>2.3499999999999999E-4</v>
      </c>
      <c r="P187" s="182">
        <v>2.3499999999999999E-4</v>
      </c>
      <c r="R187" s="154" t="str">
        <f t="shared" si="10"/>
        <v>A0045:(株)V-PowerメニューB</v>
      </c>
      <c r="S187" s="182">
        <f t="shared" si="11"/>
        <v>0</v>
      </c>
    </row>
    <row r="188" spans="2:19">
      <c r="B188" s="124" t="s">
        <v>732</v>
      </c>
      <c r="C188" s="154" t="s">
        <v>1694</v>
      </c>
      <c r="D188" s="154" t="str">
        <f t="shared" si="13"/>
        <v>A0245:新電力おおいた(株)</v>
      </c>
      <c r="I188" s="124" t="s">
        <v>459</v>
      </c>
      <c r="J188" s="124" t="s">
        <v>460</v>
      </c>
      <c r="K188" s="182" t="s">
        <v>399</v>
      </c>
      <c r="L188" s="182">
        <v>0</v>
      </c>
      <c r="M188" s="182">
        <v>1.042E-3</v>
      </c>
      <c r="N188" s="182">
        <v>1.042E-3</v>
      </c>
      <c r="O188" s="182">
        <v>1.042E-3</v>
      </c>
      <c r="P188" s="182">
        <v>1.042E-3</v>
      </c>
      <c r="R188" s="154" t="str">
        <f t="shared" si="10"/>
        <v>A0045:(株)V-PowerメニューC</v>
      </c>
      <c r="S188" s="182">
        <f t="shared" si="11"/>
        <v>0</v>
      </c>
    </row>
    <row r="189" spans="2:19">
      <c r="B189" s="124" t="s">
        <v>733</v>
      </c>
      <c r="C189" s="154" t="s">
        <v>734</v>
      </c>
      <c r="D189" s="154" t="str">
        <f t="shared" si="13"/>
        <v>A0246:(株)日本セレモニー</v>
      </c>
      <c r="I189" s="124" t="s">
        <v>459</v>
      </c>
      <c r="J189" s="124" t="s">
        <v>460</v>
      </c>
      <c r="K189" s="182" t="s">
        <v>400</v>
      </c>
      <c r="L189" s="182">
        <v>4.7899999999999999E-4</v>
      </c>
      <c r="M189" s="182">
        <v>2.72E-4</v>
      </c>
      <c r="N189" s="182">
        <v>2.72E-4</v>
      </c>
      <c r="O189" s="182">
        <v>2.72E-4</v>
      </c>
      <c r="P189" s="182">
        <v>2.72E-4</v>
      </c>
      <c r="R189" s="154" t="str">
        <f t="shared" si="10"/>
        <v>A0045:(株)V-PowerメニューD</v>
      </c>
      <c r="S189" s="182">
        <f t="shared" si="11"/>
        <v>4.7899999999999999E-4</v>
      </c>
    </row>
    <row r="190" spans="2:19">
      <c r="B190" s="124" t="s">
        <v>735</v>
      </c>
      <c r="C190" s="154" t="s">
        <v>736</v>
      </c>
      <c r="D190" s="154" t="str">
        <f t="shared" si="13"/>
        <v>A0248:(株)池見石油店</v>
      </c>
      <c r="I190" s="124" t="s">
        <v>459</v>
      </c>
      <c r="J190" s="124" t="s">
        <v>460</v>
      </c>
      <c r="K190" s="182" t="s">
        <v>2010</v>
      </c>
      <c r="L190" s="182">
        <v>4.46E-4</v>
      </c>
      <c r="M190" s="182">
        <v>0</v>
      </c>
      <c r="N190" s="182">
        <v>0</v>
      </c>
      <c r="O190" s="182">
        <v>0</v>
      </c>
      <c r="P190" s="182">
        <v>0</v>
      </c>
      <c r="R190" s="154" t="str">
        <f t="shared" si="10"/>
        <v>A0045:(株)V-Power(参考値)事業者全体</v>
      </c>
      <c r="S190" s="182">
        <f t="shared" si="11"/>
        <v>4.46E-4</v>
      </c>
    </row>
    <row r="191" spans="2:19">
      <c r="B191" s="124" t="s">
        <v>737</v>
      </c>
      <c r="C191" s="154" t="s">
        <v>738</v>
      </c>
      <c r="D191" s="154" t="str">
        <f t="shared" si="13"/>
        <v>A0250:芝浦電力(株)</v>
      </c>
      <c r="I191" s="124" t="s">
        <v>461</v>
      </c>
      <c r="J191" s="124" t="s">
        <v>462</v>
      </c>
      <c r="K191" s="182"/>
      <c r="L191" s="182">
        <v>2.2000000000000001E-4</v>
      </c>
      <c r="M191" s="182">
        <v>3.0600000000000001E-4</v>
      </c>
      <c r="N191" s="182">
        <v>3.0600000000000001E-4</v>
      </c>
      <c r="O191" s="182">
        <v>3.0600000000000001E-4</v>
      </c>
      <c r="P191" s="182">
        <v>3.0600000000000001E-4</v>
      </c>
      <c r="R191" s="154" t="str">
        <f t="shared" si="10"/>
        <v>A0046:大和エネルギー(株)</v>
      </c>
      <c r="S191" s="182">
        <f t="shared" si="11"/>
        <v>2.2000000000000001E-4</v>
      </c>
    </row>
    <row r="192" spans="2:19">
      <c r="B192" s="124" t="s">
        <v>739</v>
      </c>
      <c r="C192" s="154" t="s">
        <v>740</v>
      </c>
      <c r="D192" s="154" t="str">
        <f t="shared" si="13"/>
        <v>A0253:(株)地域創生ホールディングス</v>
      </c>
      <c r="I192" s="124" t="s">
        <v>463</v>
      </c>
      <c r="J192" s="124" t="s">
        <v>464</v>
      </c>
      <c r="K192" s="182" t="s">
        <v>390</v>
      </c>
      <c r="L192" s="182">
        <v>0</v>
      </c>
      <c r="M192" s="182">
        <v>4.2400000000000001E-4</v>
      </c>
      <c r="N192" s="182">
        <v>4.2400000000000001E-4</v>
      </c>
      <c r="O192" s="182">
        <v>4.2400000000000001E-4</v>
      </c>
      <c r="P192" s="182">
        <v>4.2400000000000001E-4</v>
      </c>
      <c r="R192" s="154" t="str">
        <f t="shared" si="10"/>
        <v>A0048:大阪瓦斯(株)メニューA</v>
      </c>
      <c r="S192" s="182">
        <f t="shared" si="11"/>
        <v>0</v>
      </c>
    </row>
    <row r="193" spans="2:19">
      <c r="B193" s="124" t="s">
        <v>741</v>
      </c>
      <c r="C193" s="154" t="s">
        <v>742</v>
      </c>
      <c r="D193" s="154" t="str">
        <f t="shared" si="13"/>
        <v>A0254:スズカ電工(株)</v>
      </c>
      <c r="I193" s="124" t="s">
        <v>463</v>
      </c>
      <c r="J193" s="124" t="s">
        <v>464</v>
      </c>
      <c r="K193" s="182" t="s">
        <v>398</v>
      </c>
      <c r="L193" s="182">
        <v>0</v>
      </c>
      <c r="M193" s="182">
        <v>0</v>
      </c>
      <c r="N193" s="182">
        <v>0</v>
      </c>
      <c r="O193" s="182">
        <v>0</v>
      </c>
      <c r="P193" s="182">
        <v>0</v>
      </c>
      <c r="R193" s="154" t="str">
        <f t="shared" si="10"/>
        <v>A0048:大阪瓦斯(株)メニューB</v>
      </c>
      <c r="S193" s="182">
        <f t="shared" si="11"/>
        <v>0</v>
      </c>
    </row>
    <row r="194" spans="2:19">
      <c r="B194" s="124" t="s">
        <v>743</v>
      </c>
      <c r="C194" s="154" t="s">
        <v>744</v>
      </c>
      <c r="D194" s="154" t="str">
        <f t="shared" si="13"/>
        <v>A0256:(株)エーコープサービス</v>
      </c>
      <c r="I194" s="124" t="s">
        <v>463</v>
      </c>
      <c r="J194" s="124" t="s">
        <v>464</v>
      </c>
      <c r="K194" s="182" t="s">
        <v>399</v>
      </c>
      <c r="L194" s="182">
        <v>3.48E-4</v>
      </c>
      <c r="M194" s="182">
        <v>3.0900000000000003E-4</v>
      </c>
      <c r="N194" s="182">
        <v>3.0900000000000003E-4</v>
      </c>
      <c r="O194" s="182">
        <v>3.0900000000000003E-4</v>
      </c>
      <c r="P194" s="182">
        <v>3.0900000000000003E-4</v>
      </c>
      <c r="R194" s="154" t="str">
        <f t="shared" si="10"/>
        <v>A0048:大阪瓦斯(株)メニューC</v>
      </c>
      <c r="S194" s="182">
        <f t="shared" si="11"/>
        <v>3.48E-4</v>
      </c>
    </row>
    <row r="195" spans="2:19">
      <c r="B195" s="124" t="s">
        <v>745</v>
      </c>
      <c r="C195" s="154" t="s">
        <v>746</v>
      </c>
      <c r="D195" s="154" t="str">
        <f t="shared" si="13"/>
        <v>A0257:サンリン(株)</v>
      </c>
      <c r="I195" s="124" t="s">
        <v>463</v>
      </c>
      <c r="J195" s="124" t="s">
        <v>464</v>
      </c>
      <c r="K195" s="182" t="s">
        <v>400</v>
      </c>
      <c r="L195" s="182">
        <v>3.4899999999999997E-4</v>
      </c>
      <c r="M195" s="182">
        <v>0</v>
      </c>
      <c r="N195" s="182">
        <v>0</v>
      </c>
      <c r="O195" s="182">
        <v>0</v>
      </c>
      <c r="P195" s="182">
        <v>0</v>
      </c>
      <c r="R195" s="154" t="str">
        <f t="shared" si="10"/>
        <v>A0048:大阪瓦斯(株)メニューD</v>
      </c>
      <c r="S195" s="182">
        <f t="shared" si="11"/>
        <v>3.4899999999999997E-4</v>
      </c>
    </row>
    <row r="196" spans="2:19">
      <c r="B196" s="124" t="s">
        <v>747</v>
      </c>
      <c r="C196" s="154" t="s">
        <v>748</v>
      </c>
      <c r="D196" s="154" t="str">
        <f t="shared" si="13"/>
        <v>A0258:(株)宮崎ガスリビング</v>
      </c>
      <c r="I196" s="124" t="s">
        <v>463</v>
      </c>
      <c r="J196" s="124" t="s">
        <v>464</v>
      </c>
      <c r="K196" s="182" t="s">
        <v>401</v>
      </c>
      <c r="L196" s="182">
        <v>2.9500000000000001E-4</v>
      </c>
      <c r="M196" s="182">
        <v>5.4699999999999996E-4</v>
      </c>
      <c r="N196" s="182">
        <v>5.4699999999999996E-4</v>
      </c>
      <c r="O196" s="182">
        <v>5.4699999999999996E-4</v>
      </c>
      <c r="P196" s="182">
        <v>5.4699999999999996E-4</v>
      </c>
      <c r="R196" s="154" t="str">
        <f t="shared" si="10"/>
        <v>A0048:大阪瓦斯(株)メニューE</v>
      </c>
      <c r="S196" s="182">
        <f t="shared" si="11"/>
        <v>2.9500000000000001E-4</v>
      </c>
    </row>
    <row r="197" spans="2:19">
      <c r="B197" s="124" t="s">
        <v>749</v>
      </c>
      <c r="C197" s="154" t="s">
        <v>750</v>
      </c>
      <c r="D197" s="154" t="str">
        <f t="shared" si="13"/>
        <v>A0259:山陰エレキ・アライアンス(株)</v>
      </c>
      <c r="I197" s="124" t="s">
        <v>463</v>
      </c>
      <c r="J197" s="124" t="s">
        <v>464</v>
      </c>
      <c r="K197" s="182" t="s">
        <v>414</v>
      </c>
      <c r="L197" s="182">
        <v>0</v>
      </c>
      <c r="M197" s="182">
        <v>0</v>
      </c>
      <c r="N197" s="182">
        <v>0</v>
      </c>
      <c r="O197" s="182">
        <v>0</v>
      </c>
      <c r="P197" s="182">
        <v>0</v>
      </c>
      <c r="R197" s="154" t="str">
        <f t="shared" si="10"/>
        <v>A0048:大阪瓦斯(株)メニューF</v>
      </c>
      <c r="S197" s="182">
        <f t="shared" si="11"/>
        <v>0</v>
      </c>
    </row>
    <row r="198" spans="2:19">
      <c r="B198" s="124" t="s">
        <v>751</v>
      </c>
      <c r="C198" s="154" t="s">
        <v>752</v>
      </c>
      <c r="D198" s="154" t="str">
        <f t="shared" si="13"/>
        <v>A0260:(株)ジョヴィ</v>
      </c>
      <c r="I198" s="124" t="s">
        <v>463</v>
      </c>
      <c r="J198" s="124" t="s">
        <v>464</v>
      </c>
      <c r="K198" s="182" t="s">
        <v>415</v>
      </c>
      <c r="L198" s="182">
        <v>4.4900000000000002E-4</v>
      </c>
      <c r="M198" s="182">
        <v>0</v>
      </c>
      <c r="N198" s="182">
        <v>0</v>
      </c>
      <c r="O198" s="182">
        <v>0</v>
      </c>
      <c r="P198" s="182">
        <v>0</v>
      </c>
      <c r="R198" s="154" t="str">
        <f t="shared" si="10"/>
        <v>A0048:大阪瓦斯(株)メニューG</v>
      </c>
      <c r="S198" s="182">
        <f t="shared" si="11"/>
        <v>4.4900000000000002E-4</v>
      </c>
    </row>
    <row r="199" spans="2:19">
      <c r="B199" s="124" t="s">
        <v>753</v>
      </c>
      <c r="C199" s="154" t="s">
        <v>1695</v>
      </c>
      <c r="D199" s="154" t="str">
        <f t="shared" si="13"/>
        <v>A0261:ミライフ東日本(株)</v>
      </c>
      <c r="I199" s="124" t="s">
        <v>463</v>
      </c>
      <c r="J199" s="124" t="s">
        <v>464</v>
      </c>
      <c r="K199" s="182" t="s">
        <v>2010</v>
      </c>
      <c r="L199" s="182">
        <v>4.26E-4</v>
      </c>
      <c r="M199" s="182">
        <v>2.99E-4</v>
      </c>
      <c r="N199" s="182">
        <v>2.99E-4</v>
      </c>
      <c r="O199" s="182">
        <v>2.99E-4</v>
      </c>
      <c r="P199" s="182">
        <v>2.99E-4</v>
      </c>
      <c r="R199" s="154" t="str">
        <f t="shared" si="10"/>
        <v>A0048:大阪瓦斯(株)(参考値)事業者全体</v>
      </c>
      <c r="S199" s="182">
        <f t="shared" si="11"/>
        <v>4.26E-4</v>
      </c>
    </row>
    <row r="200" spans="2:19">
      <c r="B200" s="124" t="s">
        <v>754</v>
      </c>
      <c r="C200" s="154" t="s">
        <v>755</v>
      </c>
      <c r="D200" s="154" t="str">
        <f t="shared" si="13"/>
        <v>A0264:山陰酸素工業(株)</v>
      </c>
      <c r="I200" s="124" t="s">
        <v>465</v>
      </c>
      <c r="J200" s="124" t="s">
        <v>466</v>
      </c>
      <c r="K200" s="182" t="s">
        <v>390</v>
      </c>
      <c r="L200" s="182">
        <v>1E-4</v>
      </c>
      <c r="M200" s="182">
        <v>2.7200000000000005E-4</v>
      </c>
      <c r="N200" s="182">
        <v>2.7200000000000005E-4</v>
      </c>
      <c r="O200" s="182">
        <v>2.7200000000000005E-4</v>
      </c>
      <c r="P200" s="182">
        <v>2.7200000000000005E-4</v>
      </c>
      <c r="R200" s="154" t="str">
        <f t="shared" si="10"/>
        <v>A0049:エフビットコミュニケーションズ(株)　メニューA</v>
      </c>
      <c r="S200" s="182">
        <f t="shared" si="11"/>
        <v>1E-4</v>
      </c>
    </row>
    <row r="201" spans="2:19">
      <c r="B201" s="124" t="s">
        <v>756</v>
      </c>
      <c r="C201" s="154" t="s">
        <v>1696</v>
      </c>
      <c r="D201" s="154" t="str">
        <f t="shared" si="13"/>
        <v>A0265:武陽ガス(株)</v>
      </c>
      <c r="I201" s="124" t="s">
        <v>465</v>
      </c>
      <c r="J201" s="124" t="s">
        <v>466</v>
      </c>
      <c r="K201" s="182" t="s">
        <v>398</v>
      </c>
      <c r="L201" s="182">
        <v>0</v>
      </c>
      <c r="M201" s="182">
        <v>4.2499999999999998E-4</v>
      </c>
      <c r="N201" s="182">
        <v>4.2499999999999998E-4</v>
      </c>
      <c r="O201" s="182">
        <v>4.2499999999999998E-4</v>
      </c>
      <c r="P201" s="182">
        <v>4.2499999999999998E-4</v>
      </c>
      <c r="R201" s="154" t="str">
        <f t="shared" si="10"/>
        <v>A0049:エフビットコミュニケーションズ(株)　メニューB</v>
      </c>
      <c r="S201" s="182">
        <f t="shared" si="11"/>
        <v>0</v>
      </c>
    </row>
    <row r="202" spans="2:19">
      <c r="B202" s="124" t="s">
        <v>757</v>
      </c>
      <c r="C202" s="154" t="s">
        <v>1697</v>
      </c>
      <c r="D202" s="154" t="str">
        <f t="shared" si="13"/>
        <v>A0267:北海道電力(株)</v>
      </c>
      <c r="I202" s="124" t="s">
        <v>465</v>
      </c>
      <c r="J202" s="124" t="s">
        <v>466</v>
      </c>
      <c r="K202" s="182" t="s">
        <v>399</v>
      </c>
      <c r="L202" s="182">
        <v>8.0400000000000003E-4</v>
      </c>
      <c r="M202" s="182">
        <v>0</v>
      </c>
      <c r="N202" s="182">
        <v>0</v>
      </c>
      <c r="O202" s="182">
        <v>0</v>
      </c>
      <c r="P202" s="182">
        <v>0</v>
      </c>
      <c r="R202" s="154" t="str">
        <f t="shared" ref="R202:R265" si="14">I202&amp;":"&amp;J202&amp;K202</f>
        <v>A0049:エフビットコミュニケーションズ(株)　メニューC</v>
      </c>
      <c r="S202" s="182">
        <f t="shared" ref="S202:S265" si="15">HLOOKUP($S$8,$L$8:$P$1500,ROW()-7,FALSE)</f>
        <v>8.0400000000000003E-4</v>
      </c>
    </row>
    <row r="203" spans="2:19">
      <c r="B203" s="124" t="s">
        <v>758</v>
      </c>
      <c r="C203" s="154" t="s">
        <v>759</v>
      </c>
      <c r="D203" s="154" t="str">
        <f t="shared" si="13"/>
        <v>A0268:東北電力(株)</v>
      </c>
      <c r="I203" s="124" t="s">
        <v>465</v>
      </c>
      <c r="J203" s="124" t="s">
        <v>466</v>
      </c>
      <c r="K203" s="182" t="s">
        <v>2010</v>
      </c>
      <c r="L203" s="182">
        <v>8.0099999999999995E-4</v>
      </c>
      <c r="M203" s="182">
        <v>5.9500000000000004E-4</v>
      </c>
      <c r="N203" s="182">
        <v>5.9500000000000004E-4</v>
      </c>
      <c r="O203" s="182">
        <v>5.9500000000000004E-4</v>
      </c>
      <c r="P203" s="182">
        <v>5.9500000000000004E-4</v>
      </c>
      <c r="R203" s="154" t="str">
        <f t="shared" si="14"/>
        <v>A0049:エフビットコミュニケーションズ(株)　(参考値)事業者全体</v>
      </c>
      <c r="S203" s="182">
        <f t="shared" si="15"/>
        <v>8.0099999999999995E-4</v>
      </c>
    </row>
    <row r="204" spans="2:19">
      <c r="B204" s="124" t="s">
        <v>761</v>
      </c>
      <c r="C204" s="154" t="s">
        <v>762</v>
      </c>
      <c r="D204" s="154" t="str">
        <f t="shared" si="13"/>
        <v>A0270:中部電力ミライズ(株)</v>
      </c>
      <c r="I204" s="124" t="s">
        <v>467</v>
      </c>
      <c r="J204" s="124" t="s">
        <v>1675</v>
      </c>
      <c r="K204" s="182" t="s">
        <v>390</v>
      </c>
      <c r="L204" s="182">
        <v>0</v>
      </c>
      <c r="M204" s="182">
        <v>0</v>
      </c>
      <c r="N204" s="182">
        <v>0</v>
      </c>
      <c r="O204" s="182">
        <v>0</v>
      </c>
      <c r="P204" s="182">
        <v>0</v>
      </c>
      <c r="R204" s="154" t="str">
        <f t="shared" si="14"/>
        <v>A0050:ENEOS Power(株)（旧:ENEOS(株)）メニューA</v>
      </c>
      <c r="S204" s="182">
        <f t="shared" si="15"/>
        <v>0</v>
      </c>
    </row>
    <row r="205" spans="2:19">
      <c r="B205" s="124" t="s">
        <v>763</v>
      </c>
      <c r="C205" s="154" t="s">
        <v>764</v>
      </c>
      <c r="D205" s="154" t="str">
        <f t="shared" si="13"/>
        <v>A0271:北陸電力(株)</v>
      </c>
      <c r="I205" s="124" t="s">
        <v>467</v>
      </c>
      <c r="J205" s="124" t="s">
        <v>1675</v>
      </c>
      <c r="K205" s="182" t="s">
        <v>398</v>
      </c>
      <c r="L205" s="182">
        <v>0</v>
      </c>
      <c r="M205" s="182">
        <v>5.2099999999999998E-4</v>
      </c>
      <c r="N205" s="182">
        <v>5.2099999999999998E-4</v>
      </c>
      <c r="O205" s="182">
        <v>5.2099999999999998E-4</v>
      </c>
      <c r="P205" s="182">
        <v>5.2099999999999998E-4</v>
      </c>
      <c r="R205" s="154" t="str">
        <f t="shared" si="14"/>
        <v>A0050:ENEOS Power(株)（旧:ENEOS(株)）メニューB</v>
      </c>
      <c r="S205" s="182">
        <f t="shared" si="15"/>
        <v>0</v>
      </c>
    </row>
    <row r="206" spans="2:19">
      <c r="B206" s="124" t="s">
        <v>765</v>
      </c>
      <c r="C206" s="154" t="s">
        <v>766</v>
      </c>
      <c r="D206" s="154" t="str">
        <f t="shared" si="13"/>
        <v xml:space="preserve">A0272:関西電力(株) </v>
      </c>
      <c r="I206" s="124" t="s">
        <v>467</v>
      </c>
      <c r="J206" s="124" t="s">
        <v>1675</v>
      </c>
      <c r="K206" s="182" t="s">
        <v>399</v>
      </c>
      <c r="L206" s="182">
        <v>0</v>
      </c>
      <c r="M206" s="182">
        <v>0</v>
      </c>
      <c r="N206" s="182">
        <v>0</v>
      </c>
      <c r="O206" s="182">
        <v>0</v>
      </c>
      <c r="P206" s="182">
        <v>0</v>
      </c>
      <c r="R206" s="154" t="str">
        <f t="shared" si="14"/>
        <v>A0050:ENEOS Power(株)（旧:ENEOS(株)）メニューC</v>
      </c>
      <c r="S206" s="182">
        <f t="shared" si="15"/>
        <v>0</v>
      </c>
    </row>
    <row r="207" spans="2:19">
      <c r="B207" s="124" t="s">
        <v>767</v>
      </c>
      <c r="C207" s="154" t="s">
        <v>1698</v>
      </c>
      <c r="D207" s="154" t="str">
        <f t="shared" si="13"/>
        <v>A0273:中国電力(株)</v>
      </c>
      <c r="I207" s="124" t="s">
        <v>467</v>
      </c>
      <c r="J207" s="124" t="s">
        <v>1675</v>
      </c>
      <c r="K207" s="182" t="s">
        <v>400</v>
      </c>
      <c r="L207" s="182">
        <v>0</v>
      </c>
      <c r="M207" s="182">
        <v>6.1899999999999998E-4</v>
      </c>
      <c r="N207" s="182">
        <v>6.1899999999999998E-4</v>
      </c>
      <c r="O207" s="182">
        <v>6.1899999999999998E-4</v>
      </c>
      <c r="P207" s="182">
        <v>6.1899999999999998E-4</v>
      </c>
      <c r="R207" s="154" t="str">
        <f t="shared" si="14"/>
        <v>A0050:ENEOS Power(株)（旧:ENEOS(株)）メニューD</v>
      </c>
      <c r="S207" s="182">
        <f t="shared" si="15"/>
        <v>0</v>
      </c>
    </row>
    <row r="208" spans="2:19">
      <c r="B208" s="124" t="s">
        <v>768</v>
      </c>
      <c r="C208" s="154" t="s">
        <v>769</v>
      </c>
      <c r="D208" s="154" t="str">
        <f t="shared" si="13"/>
        <v>A0274:四国電力(株)</v>
      </c>
      <c r="I208" s="124" t="s">
        <v>467</v>
      </c>
      <c r="J208" s="124" t="s">
        <v>1675</v>
      </c>
      <c r="K208" s="182" t="s">
        <v>401</v>
      </c>
      <c r="L208" s="182">
        <v>0</v>
      </c>
      <c r="M208" s="182">
        <v>0</v>
      </c>
      <c r="N208" s="182">
        <v>0</v>
      </c>
      <c r="O208" s="182">
        <v>0</v>
      </c>
      <c r="P208" s="182">
        <v>0</v>
      </c>
      <c r="R208" s="154" t="str">
        <f t="shared" si="14"/>
        <v>A0050:ENEOS Power(株)（旧:ENEOS(株)）メニューE</v>
      </c>
      <c r="S208" s="182">
        <f t="shared" si="15"/>
        <v>0</v>
      </c>
    </row>
    <row r="209" spans="2:19">
      <c r="B209" s="124" t="s">
        <v>770</v>
      </c>
      <c r="C209" s="154" t="s">
        <v>771</v>
      </c>
      <c r="D209" s="154" t="str">
        <f t="shared" si="13"/>
        <v>A0275:九州電力(株)</v>
      </c>
      <c r="I209" s="124" t="s">
        <v>467</v>
      </c>
      <c r="J209" s="124" t="s">
        <v>1675</v>
      </c>
      <c r="K209" s="182" t="s">
        <v>414</v>
      </c>
      <c r="L209" s="182">
        <v>5.0600000000000005E-4</v>
      </c>
      <c r="M209" s="182">
        <v>0</v>
      </c>
      <c r="N209" s="182">
        <v>0</v>
      </c>
      <c r="O209" s="182">
        <v>0</v>
      </c>
      <c r="P209" s="182">
        <v>0</v>
      </c>
      <c r="R209" s="154" t="str">
        <f t="shared" si="14"/>
        <v>A0050:ENEOS Power(株)（旧:ENEOS(株)）メニューF</v>
      </c>
      <c r="S209" s="182">
        <f t="shared" si="15"/>
        <v>5.0600000000000005E-4</v>
      </c>
    </row>
    <row r="210" spans="2:19">
      <c r="B210" s="124" t="s">
        <v>772</v>
      </c>
      <c r="C210" s="154" t="s">
        <v>773</v>
      </c>
      <c r="D210" s="154" t="str">
        <f t="shared" si="13"/>
        <v>A0276:沖縄電力(株)</v>
      </c>
      <c r="I210" s="124" t="s">
        <v>467</v>
      </c>
      <c r="J210" s="124" t="s">
        <v>1675</v>
      </c>
      <c r="K210" s="182" t="s">
        <v>2010</v>
      </c>
      <c r="L210" s="182">
        <v>4.8999999999999998E-4</v>
      </c>
      <c r="M210" s="182">
        <v>3.0699999999999998E-4</v>
      </c>
      <c r="N210" s="182">
        <v>3.0699999999999998E-4</v>
      </c>
      <c r="O210" s="182">
        <v>3.0699999999999998E-4</v>
      </c>
      <c r="P210" s="182">
        <v>3.0699999999999998E-4</v>
      </c>
      <c r="R210" s="154" t="str">
        <f t="shared" si="14"/>
        <v>A0050:ENEOS Power(株)（旧:ENEOS(株)）(参考値)事業者全体</v>
      </c>
      <c r="S210" s="182">
        <f t="shared" si="15"/>
        <v>4.8999999999999998E-4</v>
      </c>
    </row>
    <row r="211" spans="2:19">
      <c r="B211" s="124" t="s">
        <v>774</v>
      </c>
      <c r="C211" s="154" t="s">
        <v>775</v>
      </c>
      <c r="D211" s="154" t="str">
        <f t="shared" si="13"/>
        <v>A0277:北日本石油(株)</v>
      </c>
      <c r="I211" s="124" t="s">
        <v>468</v>
      </c>
      <c r="J211" s="124" t="s">
        <v>469</v>
      </c>
      <c r="K211" s="182"/>
      <c r="L211" s="182">
        <v>6.6200000000000005E-4</v>
      </c>
      <c r="M211" s="182">
        <v>0</v>
      </c>
      <c r="N211" s="182">
        <v>0</v>
      </c>
      <c r="O211" s="182">
        <v>0</v>
      </c>
      <c r="P211" s="182">
        <v>0</v>
      </c>
      <c r="R211" s="154" t="str">
        <f t="shared" si="14"/>
        <v>A0051:真庭バイオエネルギー(株)</v>
      </c>
      <c r="S211" s="182">
        <f t="shared" si="15"/>
        <v>6.6200000000000005E-4</v>
      </c>
    </row>
    <row r="212" spans="2:19">
      <c r="B212" s="124" t="s">
        <v>776</v>
      </c>
      <c r="C212" s="154" t="s">
        <v>777</v>
      </c>
      <c r="D212" s="154" t="str">
        <f t="shared" si="13"/>
        <v>A0278:千葉電力(株)</v>
      </c>
      <c r="I212" s="124" t="s">
        <v>470</v>
      </c>
      <c r="J212" s="124" t="s">
        <v>471</v>
      </c>
      <c r="K212" s="182" t="s">
        <v>390</v>
      </c>
      <c r="L212" s="182">
        <v>0</v>
      </c>
      <c r="M212" s="182">
        <v>3.6999999999999999E-4</v>
      </c>
      <c r="N212" s="182">
        <v>3.6999999999999999E-4</v>
      </c>
      <c r="O212" s="182">
        <v>3.6999999999999999E-4</v>
      </c>
      <c r="P212" s="182">
        <v>3.6999999999999999E-4</v>
      </c>
      <c r="R212" s="154" t="str">
        <f t="shared" si="14"/>
        <v>A0052:三井物産(株)メニューA</v>
      </c>
      <c r="S212" s="182">
        <f t="shared" si="15"/>
        <v>0</v>
      </c>
    </row>
    <row r="213" spans="2:19">
      <c r="B213" s="124" t="s">
        <v>778</v>
      </c>
      <c r="C213" s="154" t="s">
        <v>779</v>
      </c>
      <c r="D213" s="154" t="str">
        <f t="shared" si="13"/>
        <v>A0280:やめエネルギー(株)</v>
      </c>
      <c r="I213" s="124" t="s">
        <v>470</v>
      </c>
      <c r="J213" s="124" t="s">
        <v>471</v>
      </c>
      <c r="K213" s="182" t="s">
        <v>398</v>
      </c>
      <c r="L213" s="182">
        <v>0</v>
      </c>
      <c r="M213" s="182">
        <v>4.6200000000000001E-4</v>
      </c>
      <c r="N213" s="182">
        <v>4.6200000000000001E-4</v>
      </c>
      <c r="O213" s="182">
        <v>4.6200000000000001E-4</v>
      </c>
      <c r="P213" s="182">
        <v>4.6200000000000001E-4</v>
      </c>
      <c r="R213" s="154" t="str">
        <f t="shared" si="14"/>
        <v>A0052:三井物産(株)メニューB</v>
      </c>
      <c r="S213" s="182">
        <f t="shared" si="15"/>
        <v>0</v>
      </c>
    </row>
    <row r="214" spans="2:19">
      <c r="B214" s="124" t="s">
        <v>780</v>
      </c>
      <c r="C214" s="154" t="s">
        <v>781</v>
      </c>
      <c r="D214" s="154" t="str">
        <f t="shared" si="13"/>
        <v>A0281:(株)アースインフィニティ</v>
      </c>
      <c r="I214" s="124" t="s">
        <v>470</v>
      </c>
      <c r="J214" s="124" t="s">
        <v>471</v>
      </c>
      <c r="K214" s="182" t="s">
        <v>399</v>
      </c>
      <c r="L214" s="182">
        <v>4.2400000000000001E-4</v>
      </c>
      <c r="M214" s="182">
        <v>0</v>
      </c>
      <c r="N214" s="182">
        <v>0</v>
      </c>
      <c r="O214" s="182">
        <v>0</v>
      </c>
      <c r="P214" s="182">
        <v>0</v>
      </c>
      <c r="R214" s="154" t="str">
        <f t="shared" si="14"/>
        <v>A0052:三井物産(株)メニューC</v>
      </c>
      <c r="S214" s="182">
        <f t="shared" si="15"/>
        <v>4.2400000000000001E-4</v>
      </c>
    </row>
    <row r="215" spans="2:19">
      <c r="B215" s="124" t="s">
        <v>782</v>
      </c>
      <c r="C215" s="154" t="s">
        <v>783</v>
      </c>
      <c r="D215" s="154" t="str">
        <f t="shared" si="13"/>
        <v>A0283:足利ガス(株)</v>
      </c>
      <c r="I215" s="124" t="s">
        <v>470</v>
      </c>
      <c r="J215" s="124" t="s">
        <v>471</v>
      </c>
      <c r="K215" s="182" t="s">
        <v>400</v>
      </c>
      <c r="L215" s="182">
        <v>5.1099999999999995E-4</v>
      </c>
      <c r="M215" s="182">
        <v>6.0599999999999998E-4</v>
      </c>
      <c r="N215" s="182">
        <v>6.0599999999999998E-4</v>
      </c>
      <c r="O215" s="182">
        <v>6.0599999999999998E-4</v>
      </c>
      <c r="P215" s="182">
        <v>6.0599999999999998E-4</v>
      </c>
      <c r="R215" s="154" t="str">
        <f t="shared" si="14"/>
        <v>A0052:三井物産(株)メニューD</v>
      </c>
      <c r="S215" s="182">
        <f t="shared" si="15"/>
        <v>5.1099999999999995E-4</v>
      </c>
    </row>
    <row r="216" spans="2:19">
      <c r="B216" s="124" t="s">
        <v>784</v>
      </c>
      <c r="C216" s="154" t="s">
        <v>785</v>
      </c>
      <c r="D216" s="154" t="str">
        <f t="shared" si="13"/>
        <v>A0284:(株)Misumi</v>
      </c>
      <c r="I216" s="124" t="s">
        <v>470</v>
      </c>
      <c r="J216" s="124" t="s">
        <v>471</v>
      </c>
      <c r="K216" s="182" t="s">
        <v>2010</v>
      </c>
      <c r="L216" s="182">
        <v>5.0199999999999995E-4</v>
      </c>
      <c r="M216" s="182">
        <v>0</v>
      </c>
      <c r="N216" s="182">
        <v>0</v>
      </c>
      <c r="O216" s="182">
        <v>0</v>
      </c>
      <c r="P216" s="182">
        <v>0</v>
      </c>
      <c r="R216" s="154" t="str">
        <f t="shared" si="14"/>
        <v>A0052:三井物産(株)(参考値)事業者全体</v>
      </c>
      <c r="S216" s="182">
        <f t="shared" si="15"/>
        <v>5.0199999999999995E-4</v>
      </c>
    </row>
    <row r="217" spans="2:19">
      <c r="B217" s="124" t="s">
        <v>786</v>
      </c>
      <c r="C217" s="154" t="s">
        <v>787</v>
      </c>
      <c r="D217" s="154" t="str">
        <f t="shared" si="13"/>
        <v>A0285:米子瓦斯(株)</v>
      </c>
      <c r="I217" s="124" t="s">
        <v>472</v>
      </c>
      <c r="J217" s="124" t="s">
        <v>473</v>
      </c>
      <c r="K217" s="182" t="s">
        <v>390</v>
      </c>
      <c r="L217" s="182">
        <v>3.9900000000000005E-4</v>
      </c>
      <c r="M217" s="182">
        <v>0</v>
      </c>
      <c r="N217" s="182">
        <v>0</v>
      </c>
      <c r="O217" s="182">
        <v>0</v>
      </c>
      <c r="P217" s="182">
        <v>0</v>
      </c>
      <c r="R217" s="154" t="str">
        <f t="shared" si="14"/>
        <v>A0053:オリックス(株)メニューA</v>
      </c>
      <c r="S217" s="182">
        <f t="shared" si="15"/>
        <v>3.9900000000000005E-4</v>
      </c>
    </row>
    <row r="218" spans="2:19">
      <c r="B218" s="124" t="s">
        <v>788</v>
      </c>
      <c r="C218" s="154" t="s">
        <v>789</v>
      </c>
      <c r="D218" s="154" t="str">
        <f t="shared" si="13"/>
        <v>A0286:(株)エルピオ</v>
      </c>
      <c r="I218" s="124" t="s">
        <v>472</v>
      </c>
      <c r="J218" s="124" t="s">
        <v>473</v>
      </c>
      <c r="K218" s="182" t="s">
        <v>398</v>
      </c>
      <c r="L218" s="182">
        <v>2.99E-4</v>
      </c>
      <c r="M218" s="182">
        <v>2.05E-4</v>
      </c>
      <c r="N218" s="182">
        <v>2.05E-4</v>
      </c>
      <c r="O218" s="182">
        <v>2.05E-4</v>
      </c>
      <c r="P218" s="182">
        <v>2.05E-4</v>
      </c>
      <c r="R218" s="154" t="str">
        <f t="shared" si="14"/>
        <v>A0053:オリックス(株)メニューB</v>
      </c>
      <c r="S218" s="182">
        <f t="shared" si="15"/>
        <v>2.99E-4</v>
      </c>
    </row>
    <row r="219" spans="2:19">
      <c r="B219" s="124" t="s">
        <v>790</v>
      </c>
      <c r="C219" s="154" t="s">
        <v>791</v>
      </c>
      <c r="D219" s="154" t="str">
        <f t="shared" si="13"/>
        <v>A0287:浜田ガス(株)</v>
      </c>
      <c r="I219" s="124" t="s">
        <v>472</v>
      </c>
      <c r="J219" s="124" t="s">
        <v>473</v>
      </c>
      <c r="K219" s="182" t="s">
        <v>399</v>
      </c>
      <c r="L219" s="182">
        <v>1.9900000000000001E-4</v>
      </c>
      <c r="M219" s="182">
        <v>0</v>
      </c>
      <c r="N219" s="182">
        <v>0</v>
      </c>
      <c r="O219" s="182">
        <v>0</v>
      </c>
      <c r="P219" s="182">
        <v>0</v>
      </c>
      <c r="R219" s="154" t="str">
        <f t="shared" si="14"/>
        <v>A0053:オリックス(株)メニューC</v>
      </c>
      <c r="S219" s="182">
        <f t="shared" si="15"/>
        <v>1.9900000000000001E-4</v>
      </c>
    </row>
    <row r="220" spans="2:19">
      <c r="B220" s="124" t="s">
        <v>792</v>
      </c>
      <c r="C220" s="154" t="s">
        <v>793</v>
      </c>
      <c r="D220" s="154" t="str">
        <f t="shared" si="13"/>
        <v>A0288:(株)アメニティ電力</v>
      </c>
      <c r="I220" s="124" t="s">
        <v>472</v>
      </c>
      <c r="J220" s="124" t="s">
        <v>473</v>
      </c>
      <c r="K220" s="182" t="s">
        <v>400</v>
      </c>
      <c r="L220" s="182">
        <v>0</v>
      </c>
      <c r="M220" s="182">
        <v>3.4099999999999999E-4</v>
      </c>
      <c r="N220" s="182">
        <v>3.4099999999999999E-4</v>
      </c>
      <c r="O220" s="182">
        <v>3.4099999999999999E-4</v>
      </c>
      <c r="P220" s="182">
        <v>3.4099999999999999E-4</v>
      </c>
      <c r="R220" s="154" t="str">
        <f t="shared" si="14"/>
        <v>A0053:オリックス(株)メニューD</v>
      </c>
      <c r="S220" s="182">
        <f t="shared" si="15"/>
        <v>0</v>
      </c>
    </row>
    <row r="221" spans="2:19">
      <c r="B221" s="124" t="s">
        <v>794</v>
      </c>
      <c r="C221" s="154" t="s">
        <v>795</v>
      </c>
      <c r="D221" s="154" t="str">
        <f t="shared" si="13"/>
        <v>A0292:岡田建設(株)</v>
      </c>
      <c r="I221" s="124" t="s">
        <v>472</v>
      </c>
      <c r="J221" s="124" t="s">
        <v>473</v>
      </c>
      <c r="K221" s="182" t="s">
        <v>401</v>
      </c>
      <c r="L221" s="182">
        <v>4.5000000000000004E-4</v>
      </c>
      <c r="M221" s="182">
        <v>0</v>
      </c>
      <c r="N221" s="182">
        <v>0</v>
      </c>
      <c r="O221" s="182">
        <v>0</v>
      </c>
      <c r="P221" s="182">
        <v>0</v>
      </c>
      <c r="R221" s="154" t="str">
        <f t="shared" si="14"/>
        <v>A0053:オリックス(株)メニューE</v>
      </c>
      <c r="S221" s="182">
        <f t="shared" si="15"/>
        <v>4.5000000000000004E-4</v>
      </c>
    </row>
    <row r="222" spans="2:19">
      <c r="B222" s="124" t="s">
        <v>796</v>
      </c>
      <c r="C222" s="154" t="s">
        <v>797</v>
      </c>
      <c r="D222" s="154" t="str">
        <f t="shared" si="13"/>
        <v>A0293:出雲ガス(株)</v>
      </c>
      <c r="I222" s="124" t="s">
        <v>472</v>
      </c>
      <c r="J222" s="124" t="s">
        <v>473</v>
      </c>
      <c r="K222" s="182" t="s">
        <v>414</v>
      </c>
      <c r="L222" s="182">
        <v>3.1500000000000001E-4</v>
      </c>
      <c r="M222" s="182">
        <v>0</v>
      </c>
      <c r="N222" s="182">
        <v>0</v>
      </c>
      <c r="O222" s="182">
        <v>0</v>
      </c>
      <c r="P222" s="182">
        <v>0</v>
      </c>
      <c r="R222" s="154" t="str">
        <f t="shared" si="14"/>
        <v>A0053:オリックス(株)メニューF</v>
      </c>
      <c r="S222" s="182">
        <f t="shared" si="15"/>
        <v>3.1500000000000001E-4</v>
      </c>
    </row>
    <row r="223" spans="2:19">
      <c r="B223" s="124" t="s">
        <v>798</v>
      </c>
      <c r="C223" s="154" t="s">
        <v>799</v>
      </c>
      <c r="D223" s="154" t="str">
        <f t="shared" si="13"/>
        <v>A0295:一般社団法人グリーンコープでんき</v>
      </c>
      <c r="I223" s="124" t="s">
        <v>472</v>
      </c>
      <c r="J223" s="124" t="s">
        <v>473</v>
      </c>
      <c r="K223" s="182" t="s">
        <v>415</v>
      </c>
      <c r="L223" s="182">
        <v>2.3499999999999999E-4</v>
      </c>
      <c r="M223" s="182">
        <v>0</v>
      </c>
      <c r="N223" s="182">
        <v>0</v>
      </c>
      <c r="O223" s="182">
        <v>0</v>
      </c>
      <c r="P223" s="182">
        <v>0</v>
      </c>
      <c r="R223" s="154" t="str">
        <f t="shared" si="14"/>
        <v>A0053:オリックス(株)メニューG</v>
      </c>
      <c r="S223" s="182">
        <f t="shared" si="15"/>
        <v>2.3499999999999999E-4</v>
      </c>
    </row>
    <row r="224" spans="2:19">
      <c r="B224" s="124" t="s">
        <v>800</v>
      </c>
      <c r="C224" s="154" t="s">
        <v>801</v>
      </c>
      <c r="D224" s="154" t="str">
        <f t="shared" si="13"/>
        <v>A0296:公益財団法人東京都環境公社</v>
      </c>
      <c r="I224" s="124" t="s">
        <v>472</v>
      </c>
      <c r="J224" s="124" t="s">
        <v>473</v>
      </c>
      <c r="K224" s="182" t="s">
        <v>416</v>
      </c>
      <c r="L224" s="182">
        <v>1.042E-3</v>
      </c>
      <c r="M224" s="182">
        <v>0</v>
      </c>
      <c r="N224" s="182">
        <v>0</v>
      </c>
      <c r="O224" s="182">
        <v>0</v>
      </c>
      <c r="P224" s="182">
        <v>0</v>
      </c>
      <c r="R224" s="154" t="str">
        <f t="shared" si="14"/>
        <v>A0053:オリックス(株)メニューH</v>
      </c>
      <c r="S224" s="182">
        <f t="shared" si="15"/>
        <v>1.042E-3</v>
      </c>
    </row>
    <row r="225" spans="2:19">
      <c r="B225" s="124" t="s">
        <v>802</v>
      </c>
      <c r="C225" s="154" t="s">
        <v>803</v>
      </c>
      <c r="D225" s="154" t="str">
        <f t="shared" si="13"/>
        <v>A0298:イオンディライト(株)</v>
      </c>
      <c r="I225" s="124" t="s">
        <v>472</v>
      </c>
      <c r="J225" s="124" t="s">
        <v>473</v>
      </c>
      <c r="K225" s="182" t="s">
        <v>2010</v>
      </c>
      <c r="L225" s="182">
        <v>8.7600000000000004E-4</v>
      </c>
      <c r="M225" s="182">
        <v>6.3299999999999999E-4</v>
      </c>
      <c r="N225" s="182">
        <v>6.3299999999999999E-4</v>
      </c>
      <c r="O225" s="182">
        <v>6.3299999999999999E-4</v>
      </c>
      <c r="P225" s="182">
        <v>6.3299999999999999E-4</v>
      </c>
      <c r="R225" s="154" t="str">
        <f t="shared" si="14"/>
        <v>A0053:オリックス(株)(参考値)事業者全体</v>
      </c>
      <c r="S225" s="182">
        <f t="shared" si="15"/>
        <v>8.7600000000000004E-4</v>
      </c>
    </row>
    <row r="226" spans="2:19">
      <c r="B226" s="124" t="s">
        <v>804</v>
      </c>
      <c r="C226" s="154" t="s">
        <v>805</v>
      </c>
      <c r="D226" s="154" t="str">
        <f t="shared" si="13"/>
        <v>A0300:(株)ファミリーネット・ジャパン</v>
      </c>
      <c r="I226" s="124" t="s">
        <v>474</v>
      </c>
      <c r="J226" s="124" t="s">
        <v>475</v>
      </c>
      <c r="K226" s="182"/>
      <c r="L226" s="182">
        <v>2.72E-4</v>
      </c>
      <c r="M226" s="182">
        <v>6.4700000000000001E-4</v>
      </c>
      <c r="N226" s="182">
        <v>6.4700000000000001E-4</v>
      </c>
      <c r="O226" s="182">
        <v>6.4700000000000001E-4</v>
      </c>
      <c r="P226" s="182">
        <v>6.4700000000000001E-4</v>
      </c>
      <c r="R226" s="154" t="str">
        <f t="shared" si="14"/>
        <v>A0054:(株)エネサンス関東</v>
      </c>
      <c r="S226" s="182">
        <f t="shared" si="15"/>
        <v>2.72E-4</v>
      </c>
    </row>
    <row r="227" spans="2:19">
      <c r="B227" s="124" t="s">
        <v>806</v>
      </c>
      <c r="C227" s="154" t="s">
        <v>807</v>
      </c>
      <c r="D227" s="154" t="str">
        <f t="shared" si="13"/>
        <v>A0303:MKステーションズ(株)</v>
      </c>
      <c r="I227" s="124" t="s">
        <v>476</v>
      </c>
      <c r="J227" s="124" t="s">
        <v>477</v>
      </c>
      <c r="K227" s="182" t="s">
        <v>390</v>
      </c>
      <c r="L227" s="182">
        <v>0</v>
      </c>
      <c r="M227" s="182">
        <v>0</v>
      </c>
      <c r="N227" s="182">
        <v>0</v>
      </c>
      <c r="O227" s="182">
        <v>0</v>
      </c>
      <c r="P227" s="182">
        <v>0</v>
      </c>
      <c r="R227" s="154" t="str">
        <f t="shared" si="14"/>
        <v>A0055:(株)UPDATERメニューA</v>
      </c>
      <c r="S227" s="182">
        <f t="shared" si="15"/>
        <v>0</v>
      </c>
    </row>
    <row r="228" spans="2:19">
      <c r="B228" s="124" t="s">
        <v>808</v>
      </c>
      <c r="C228" s="154" t="s">
        <v>809</v>
      </c>
      <c r="D228" s="154" t="str">
        <f t="shared" ref="D228:D246" si="16">B228&amp;":"&amp;C228</f>
        <v>A0305:フラワーペイメント(株)</v>
      </c>
      <c r="I228" s="124" t="s">
        <v>476</v>
      </c>
      <c r="J228" s="124" t="s">
        <v>477</v>
      </c>
      <c r="K228" s="182" t="s">
        <v>398</v>
      </c>
      <c r="L228" s="182">
        <v>3.0600000000000001E-4</v>
      </c>
      <c r="M228" s="182">
        <v>0</v>
      </c>
      <c r="N228" s="182">
        <v>0</v>
      </c>
      <c r="O228" s="182">
        <v>0</v>
      </c>
      <c r="P228" s="182">
        <v>0</v>
      </c>
      <c r="R228" s="154" t="str">
        <f t="shared" si="14"/>
        <v>A0055:(株)UPDATERメニューB</v>
      </c>
      <c r="S228" s="182">
        <f t="shared" si="15"/>
        <v>3.0600000000000001E-4</v>
      </c>
    </row>
    <row r="229" spans="2:19">
      <c r="B229" s="124" t="s">
        <v>810</v>
      </c>
      <c r="C229" s="154" t="s">
        <v>811</v>
      </c>
      <c r="D229" s="154" t="str">
        <f t="shared" si="16"/>
        <v>A0306:(株)JTBコミュニケーションデザイン</v>
      </c>
      <c r="I229" s="124" t="s">
        <v>476</v>
      </c>
      <c r="J229" s="124" t="s">
        <v>477</v>
      </c>
      <c r="K229" s="182" t="s">
        <v>2010</v>
      </c>
      <c r="L229" s="182">
        <v>8.2999999999999998E-5</v>
      </c>
      <c r="M229" s="182">
        <v>0</v>
      </c>
      <c r="N229" s="182">
        <v>0</v>
      </c>
      <c r="O229" s="182">
        <v>0</v>
      </c>
      <c r="P229" s="182">
        <v>0</v>
      </c>
      <c r="R229" s="154" t="str">
        <f t="shared" si="14"/>
        <v>A0055:(株)UPDATER(参考値)事業者全体</v>
      </c>
      <c r="S229" s="182">
        <f t="shared" si="15"/>
        <v>8.2999999999999998E-5</v>
      </c>
    </row>
    <row r="230" spans="2:19">
      <c r="B230" s="124" t="s">
        <v>812</v>
      </c>
      <c r="C230" s="154" t="s">
        <v>813</v>
      </c>
      <c r="D230" s="154" t="str">
        <f t="shared" si="16"/>
        <v>A0308:積水化学工業(株)</v>
      </c>
      <c r="I230" s="124" t="s">
        <v>478</v>
      </c>
      <c r="J230" s="124" t="s">
        <v>1676</v>
      </c>
      <c r="K230" s="182" t="s">
        <v>390</v>
      </c>
      <c r="L230" s="182">
        <v>4.2400000000000001E-4</v>
      </c>
      <c r="M230" s="182">
        <v>0</v>
      </c>
      <c r="N230" s="182">
        <v>0</v>
      </c>
      <c r="O230" s="182">
        <v>0</v>
      </c>
      <c r="P230" s="182">
        <v>0</v>
      </c>
      <c r="R230" s="154" t="str">
        <f t="shared" si="14"/>
        <v>A0056:シン・エナジー(株)メニューA</v>
      </c>
      <c r="S230" s="182">
        <f t="shared" si="15"/>
        <v>4.2400000000000001E-4</v>
      </c>
    </row>
    <row r="231" spans="2:19">
      <c r="B231" s="124" t="s">
        <v>814</v>
      </c>
      <c r="C231" s="154" t="s">
        <v>815</v>
      </c>
      <c r="D231" s="154" t="str">
        <f t="shared" si="16"/>
        <v>A0310:全農エネルギー(株)</v>
      </c>
      <c r="I231" s="124" t="s">
        <v>478</v>
      </c>
      <c r="J231" s="124" t="s">
        <v>1676</v>
      </c>
      <c r="K231" s="182" t="s">
        <v>398</v>
      </c>
      <c r="L231" s="182">
        <v>0</v>
      </c>
      <c r="M231" s="182">
        <v>0</v>
      </c>
      <c r="N231" s="182">
        <v>0</v>
      </c>
      <c r="O231" s="182">
        <v>0</v>
      </c>
      <c r="P231" s="182">
        <v>0</v>
      </c>
      <c r="R231" s="154" t="str">
        <f t="shared" si="14"/>
        <v>A0056:シン・エナジー(株)メニューB</v>
      </c>
      <c r="S231" s="182">
        <f t="shared" si="15"/>
        <v>0</v>
      </c>
    </row>
    <row r="232" spans="2:19">
      <c r="B232" s="124" t="s">
        <v>816</v>
      </c>
      <c r="C232" s="154" t="s">
        <v>817</v>
      </c>
      <c r="D232" s="154" t="str">
        <f t="shared" si="16"/>
        <v>A0311:(株)ハルエネ</v>
      </c>
      <c r="I232" s="124" t="s">
        <v>478</v>
      </c>
      <c r="J232" s="124" t="s">
        <v>1676</v>
      </c>
      <c r="K232" s="182" t="s">
        <v>399</v>
      </c>
      <c r="L232" s="182">
        <v>3.0900000000000003E-4</v>
      </c>
      <c r="M232" s="182">
        <v>0</v>
      </c>
      <c r="N232" s="182">
        <v>0</v>
      </c>
      <c r="O232" s="182">
        <v>0</v>
      </c>
      <c r="P232" s="182">
        <v>0</v>
      </c>
      <c r="R232" s="154" t="str">
        <f t="shared" si="14"/>
        <v>A0056:シン・エナジー(株)メニューC</v>
      </c>
      <c r="S232" s="182">
        <f t="shared" si="15"/>
        <v>3.0900000000000003E-4</v>
      </c>
    </row>
    <row r="233" spans="2:19">
      <c r="B233" s="124" t="s">
        <v>818</v>
      </c>
      <c r="C233" s="154" t="s">
        <v>819</v>
      </c>
      <c r="D233" s="154" t="str">
        <f t="shared" si="16"/>
        <v>A0313:(株)リケン工業</v>
      </c>
      <c r="I233" s="124" t="s">
        <v>478</v>
      </c>
      <c r="J233" s="124" t="s">
        <v>1676</v>
      </c>
      <c r="K233" s="182" t="s">
        <v>400</v>
      </c>
      <c r="L233" s="182">
        <v>0</v>
      </c>
      <c r="M233" s="182">
        <v>5.6999999999999998E-4</v>
      </c>
      <c r="N233" s="182">
        <v>5.6999999999999998E-4</v>
      </c>
      <c r="O233" s="182">
        <v>5.6999999999999998E-4</v>
      </c>
      <c r="P233" s="182">
        <v>5.6999999999999998E-4</v>
      </c>
      <c r="R233" s="154" t="str">
        <f t="shared" si="14"/>
        <v>A0056:シン・エナジー(株)メニューD</v>
      </c>
      <c r="S233" s="182">
        <f t="shared" si="15"/>
        <v>0</v>
      </c>
    </row>
    <row r="234" spans="2:19">
      <c r="B234" s="124" t="s">
        <v>820</v>
      </c>
      <c r="C234" s="154" t="s">
        <v>821</v>
      </c>
      <c r="D234" s="154" t="str">
        <f t="shared" si="16"/>
        <v>A0314:(株)ビビット</v>
      </c>
      <c r="I234" s="124" t="s">
        <v>478</v>
      </c>
      <c r="J234" s="124" t="s">
        <v>1676</v>
      </c>
      <c r="K234" s="182" t="s">
        <v>401</v>
      </c>
      <c r="L234" s="182">
        <v>5.4699999999999996E-4</v>
      </c>
      <c r="M234" s="182">
        <v>0</v>
      </c>
      <c r="N234" s="182">
        <v>0</v>
      </c>
      <c r="O234" s="182">
        <v>0</v>
      </c>
      <c r="P234" s="182">
        <v>0</v>
      </c>
      <c r="R234" s="154" t="str">
        <f t="shared" si="14"/>
        <v>A0056:シン・エナジー(株)メニューE</v>
      </c>
      <c r="S234" s="182">
        <f t="shared" si="15"/>
        <v>5.4699999999999996E-4</v>
      </c>
    </row>
    <row r="235" spans="2:19">
      <c r="B235" s="124" t="s">
        <v>822</v>
      </c>
      <c r="C235" s="154" t="s">
        <v>823</v>
      </c>
      <c r="D235" s="154" t="str">
        <f t="shared" si="16"/>
        <v>A0315:(株)おおた電力</v>
      </c>
      <c r="I235" s="124" t="s">
        <v>478</v>
      </c>
      <c r="J235" s="124" t="s">
        <v>1676</v>
      </c>
      <c r="K235" s="182" t="s">
        <v>2010</v>
      </c>
      <c r="L235" s="182">
        <v>5.31E-4</v>
      </c>
      <c r="M235" s="182">
        <v>1.3000000000000002E-4</v>
      </c>
      <c r="N235" s="182">
        <v>1.3000000000000002E-4</v>
      </c>
      <c r="O235" s="182">
        <v>1.3000000000000002E-4</v>
      </c>
      <c r="P235" s="182">
        <v>1.3000000000000002E-4</v>
      </c>
      <c r="R235" s="154" t="str">
        <f t="shared" si="14"/>
        <v>A0056:シン・エナジー(株)(参考値)事業者全体</v>
      </c>
      <c r="S235" s="182">
        <f t="shared" si="15"/>
        <v>5.31E-4</v>
      </c>
    </row>
    <row r="236" spans="2:19">
      <c r="B236" s="124" t="s">
        <v>824</v>
      </c>
      <c r="C236" s="154" t="s">
        <v>825</v>
      </c>
      <c r="D236" s="154" t="str">
        <f t="shared" si="16"/>
        <v>A0317:伊藤忠プランテック(株)</v>
      </c>
      <c r="I236" s="124" t="s">
        <v>479</v>
      </c>
      <c r="J236" s="124" t="s">
        <v>480</v>
      </c>
      <c r="K236" s="182" t="s">
        <v>390</v>
      </c>
      <c r="L236" s="182">
        <v>0</v>
      </c>
      <c r="M236" s="182">
        <v>2.3699999999999999E-4</v>
      </c>
      <c r="N236" s="182">
        <v>2.3699999999999999E-4</v>
      </c>
      <c r="O236" s="182">
        <v>2.3699999999999999E-4</v>
      </c>
      <c r="P236" s="182">
        <v>2.3699999999999999E-4</v>
      </c>
      <c r="R236" s="154" t="str">
        <f t="shared" si="14"/>
        <v>A0057:(株)サニックスメニューA</v>
      </c>
      <c r="S236" s="182">
        <f t="shared" si="15"/>
        <v>0</v>
      </c>
    </row>
    <row r="237" spans="2:19">
      <c r="B237" s="124" t="s">
        <v>826</v>
      </c>
      <c r="C237" s="154" t="s">
        <v>827</v>
      </c>
      <c r="D237" s="154" t="str">
        <f t="shared" si="16"/>
        <v>A0318:(株)オカモト</v>
      </c>
      <c r="I237" s="124" t="s">
        <v>479</v>
      </c>
      <c r="J237" s="124" t="s">
        <v>480</v>
      </c>
      <c r="K237" s="182" t="s">
        <v>398</v>
      </c>
      <c r="L237" s="182">
        <v>0</v>
      </c>
      <c r="M237" s="182">
        <v>2.5900000000000001E-4</v>
      </c>
      <c r="N237" s="182">
        <v>2.5900000000000001E-4</v>
      </c>
      <c r="O237" s="182">
        <v>2.5900000000000001E-4</v>
      </c>
      <c r="P237" s="182">
        <v>2.5900000000000001E-4</v>
      </c>
      <c r="R237" s="154" t="str">
        <f t="shared" si="14"/>
        <v>A0057:(株)サニックスメニューB</v>
      </c>
      <c r="S237" s="182">
        <f t="shared" si="15"/>
        <v>0</v>
      </c>
    </row>
    <row r="238" spans="2:19">
      <c r="B238" s="124" t="s">
        <v>828</v>
      </c>
      <c r="C238" s="154" t="s">
        <v>829</v>
      </c>
      <c r="D238" s="154" t="str">
        <f t="shared" si="16"/>
        <v>A0323:キタコー(株)</v>
      </c>
      <c r="I238" s="124" t="s">
        <v>479</v>
      </c>
      <c r="J238" s="124" t="s">
        <v>480</v>
      </c>
      <c r="K238" s="182" t="s">
        <v>399</v>
      </c>
      <c r="L238" s="182">
        <v>2.99E-4</v>
      </c>
      <c r="M238" s="182">
        <v>3.01E-4</v>
      </c>
      <c r="N238" s="182">
        <v>3.01E-4</v>
      </c>
      <c r="O238" s="182">
        <v>3.01E-4</v>
      </c>
      <c r="P238" s="182">
        <v>3.01E-4</v>
      </c>
      <c r="R238" s="154" t="str">
        <f t="shared" si="14"/>
        <v>A0057:(株)サニックスメニューC</v>
      </c>
      <c r="S238" s="182">
        <f t="shared" si="15"/>
        <v>2.99E-4</v>
      </c>
    </row>
    <row r="239" spans="2:19">
      <c r="B239" s="124" t="s">
        <v>830</v>
      </c>
      <c r="C239" s="154" t="s">
        <v>831</v>
      </c>
      <c r="D239" s="154" t="str">
        <f t="shared" si="16"/>
        <v>A0324:生活協同組合コープしが</v>
      </c>
      <c r="I239" s="124" t="s">
        <v>479</v>
      </c>
      <c r="J239" s="124" t="s">
        <v>480</v>
      </c>
      <c r="K239" s="182" t="s">
        <v>400</v>
      </c>
      <c r="L239" s="182">
        <v>2.7200000000000005E-4</v>
      </c>
      <c r="M239" s="182">
        <v>3.2600000000000001E-4</v>
      </c>
      <c r="N239" s="182">
        <v>3.2600000000000001E-4</v>
      </c>
      <c r="O239" s="182">
        <v>3.2600000000000001E-4</v>
      </c>
      <c r="P239" s="182">
        <v>3.2600000000000001E-4</v>
      </c>
      <c r="R239" s="154" t="str">
        <f t="shared" si="14"/>
        <v>A0057:(株)サニックスメニューD</v>
      </c>
      <c r="S239" s="182">
        <f t="shared" si="15"/>
        <v>2.7200000000000005E-4</v>
      </c>
    </row>
    <row r="240" spans="2:19">
      <c r="B240" s="124" t="s">
        <v>832</v>
      </c>
      <c r="C240" s="154" t="s">
        <v>1699</v>
      </c>
      <c r="D240" s="154" t="str">
        <f t="shared" si="16"/>
        <v>A0330:香川電力(株)　</v>
      </c>
      <c r="I240" s="124" t="s">
        <v>479</v>
      </c>
      <c r="J240" s="124" t="s">
        <v>480</v>
      </c>
      <c r="K240" s="182" t="s">
        <v>401</v>
      </c>
      <c r="L240" s="182">
        <v>4.2499999999999998E-4</v>
      </c>
      <c r="M240" s="182">
        <v>5.2400000000000005E-4</v>
      </c>
      <c r="N240" s="182">
        <v>5.2400000000000005E-4</v>
      </c>
      <c r="O240" s="182">
        <v>5.2400000000000005E-4</v>
      </c>
      <c r="P240" s="182">
        <v>5.2400000000000005E-4</v>
      </c>
      <c r="R240" s="154" t="str">
        <f t="shared" si="14"/>
        <v>A0057:(株)サニックスメニューE</v>
      </c>
      <c r="S240" s="182">
        <f t="shared" si="15"/>
        <v>4.2499999999999998E-4</v>
      </c>
    </row>
    <row r="241" spans="2:19">
      <c r="B241" s="124" t="s">
        <v>833</v>
      </c>
      <c r="C241" s="154" t="s">
        <v>834</v>
      </c>
      <c r="D241" s="154" t="str">
        <f t="shared" si="16"/>
        <v>A0332:(株)PinT</v>
      </c>
      <c r="I241" s="124" t="s">
        <v>479</v>
      </c>
      <c r="J241" s="124" t="s">
        <v>480</v>
      </c>
      <c r="K241" s="182" t="s">
        <v>2010</v>
      </c>
      <c r="L241" s="182">
        <v>4.2099999999999999E-4</v>
      </c>
      <c r="M241" s="182">
        <v>0</v>
      </c>
      <c r="N241" s="182">
        <v>0</v>
      </c>
      <c r="O241" s="182">
        <v>0</v>
      </c>
      <c r="P241" s="182">
        <v>0</v>
      </c>
      <c r="R241" s="154" t="str">
        <f t="shared" si="14"/>
        <v>A0057:(株)サニックス(参考値)事業者全体</v>
      </c>
      <c r="S241" s="182">
        <f t="shared" si="15"/>
        <v>4.2099999999999999E-4</v>
      </c>
    </row>
    <row r="242" spans="2:19">
      <c r="B242" s="124" t="s">
        <v>835</v>
      </c>
      <c r="C242" s="154" t="s">
        <v>836</v>
      </c>
      <c r="D242" s="154" t="str">
        <f t="shared" si="16"/>
        <v>A0336:(株)沖縄ガスニューパワー</v>
      </c>
      <c r="I242" s="124" t="s">
        <v>481</v>
      </c>
      <c r="J242" s="124" t="s">
        <v>482</v>
      </c>
      <c r="K242" s="182" t="s">
        <v>390</v>
      </c>
      <c r="L242" s="182">
        <v>0</v>
      </c>
      <c r="M242" s="182">
        <v>0</v>
      </c>
      <c r="N242" s="182">
        <v>0</v>
      </c>
      <c r="O242" s="182">
        <v>0</v>
      </c>
      <c r="P242" s="182">
        <v>0</v>
      </c>
      <c r="R242" s="154" t="str">
        <f t="shared" si="14"/>
        <v>A0058:(株)コンシェルジュメニューA</v>
      </c>
      <c r="S242" s="182">
        <f t="shared" si="15"/>
        <v>0</v>
      </c>
    </row>
    <row r="243" spans="2:19">
      <c r="B243" s="124" t="s">
        <v>837</v>
      </c>
      <c r="C243" s="154" t="s">
        <v>838</v>
      </c>
      <c r="D243" s="154" t="str">
        <f t="shared" si="16"/>
        <v>A0337:諏訪瓦斯(株)</v>
      </c>
      <c r="I243" s="124" t="s">
        <v>481</v>
      </c>
      <c r="J243" s="124" t="s">
        <v>482</v>
      </c>
      <c r="K243" s="182" t="s">
        <v>398</v>
      </c>
      <c r="L243" s="182">
        <v>5.9500000000000004E-4</v>
      </c>
      <c r="M243" s="182">
        <v>4.2900000000000002E-4</v>
      </c>
      <c r="N243" s="182">
        <v>4.2900000000000002E-4</v>
      </c>
      <c r="O243" s="182">
        <v>4.2900000000000002E-4</v>
      </c>
      <c r="P243" s="182">
        <v>4.2900000000000002E-4</v>
      </c>
      <c r="R243" s="154" t="str">
        <f t="shared" si="14"/>
        <v>A0058:(株)コンシェルジュメニューB</v>
      </c>
      <c r="S243" s="182">
        <f t="shared" si="15"/>
        <v>5.9500000000000004E-4</v>
      </c>
    </row>
    <row r="244" spans="2:19">
      <c r="B244" s="124" t="s">
        <v>839</v>
      </c>
      <c r="C244" s="154" t="s">
        <v>840</v>
      </c>
      <c r="D244" s="154" t="str">
        <f t="shared" si="16"/>
        <v>A0338:エッセンシャルエナジー(株)</v>
      </c>
      <c r="I244" s="124" t="s">
        <v>481</v>
      </c>
      <c r="J244" s="124" t="s">
        <v>482</v>
      </c>
      <c r="K244" s="182" t="s">
        <v>2010</v>
      </c>
      <c r="L244" s="182">
        <v>1.26E-4</v>
      </c>
      <c r="M244" s="182">
        <v>0</v>
      </c>
      <c r="N244" s="182">
        <v>0</v>
      </c>
      <c r="O244" s="182">
        <v>0</v>
      </c>
      <c r="P244" s="182">
        <v>0</v>
      </c>
      <c r="R244" s="154" t="str">
        <f t="shared" si="14"/>
        <v>A0058:(株)コンシェルジュ(参考値)事業者全体</v>
      </c>
      <c r="S244" s="182">
        <f t="shared" si="15"/>
        <v>1.26E-4</v>
      </c>
    </row>
    <row r="245" spans="2:19">
      <c r="B245" s="124" t="s">
        <v>841</v>
      </c>
      <c r="C245" s="154" t="s">
        <v>842</v>
      </c>
      <c r="D245" s="154" t="str">
        <f t="shared" si="16"/>
        <v>A0342:(株)いちき串木野電力</v>
      </c>
      <c r="I245" s="124" t="s">
        <v>483</v>
      </c>
      <c r="J245" s="124" t="s">
        <v>484</v>
      </c>
      <c r="K245" s="182" t="s">
        <v>390</v>
      </c>
      <c r="L245" s="182">
        <v>0</v>
      </c>
      <c r="M245" s="182">
        <v>0</v>
      </c>
      <c r="N245" s="182">
        <v>0</v>
      </c>
      <c r="O245" s="182">
        <v>0</v>
      </c>
      <c r="P245" s="182">
        <v>0</v>
      </c>
      <c r="R245" s="154" t="str">
        <f t="shared" si="14"/>
        <v>A0060:(株)アイ・グリッド・ソリューションズメニューA</v>
      </c>
      <c r="S245" s="182">
        <f t="shared" si="15"/>
        <v>0</v>
      </c>
    </row>
    <row r="246" spans="2:19">
      <c r="B246" s="124" t="s">
        <v>843</v>
      </c>
      <c r="C246" s="154" t="s">
        <v>844</v>
      </c>
      <c r="D246" s="154" t="str">
        <f t="shared" si="16"/>
        <v>A0343:(株)クローバー・テクノロジーズ</v>
      </c>
      <c r="I246" s="124" t="s">
        <v>483</v>
      </c>
      <c r="J246" s="124" t="s">
        <v>484</v>
      </c>
      <c r="K246" s="182" t="s">
        <v>398</v>
      </c>
      <c r="L246" s="182">
        <v>5.2099999999999998E-4</v>
      </c>
      <c r="M246" s="182">
        <v>7.4899999999999999E-4</v>
      </c>
      <c r="N246" s="182">
        <v>7.4899999999999999E-4</v>
      </c>
      <c r="O246" s="182">
        <v>7.4899999999999999E-4</v>
      </c>
      <c r="P246" s="182">
        <v>7.4899999999999999E-4</v>
      </c>
      <c r="R246" s="154" t="str">
        <f t="shared" si="14"/>
        <v>A0060:(株)アイ・グリッド・ソリューションズメニューB</v>
      </c>
      <c r="S246" s="182">
        <f t="shared" si="15"/>
        <v>5.2099999999999998E-4</v>
      </c>
    </row>
    <row r="247" spans="2:19">
      <c r="B247" s="124" t="s">
        <v>845</v>
      </c>
      <c r="C247" s="154" t="s">
        <v>846</v>
      </c>
      <c r="D247" s="154" t="str">
        <f>B247&amp;":"&amp;C247</f>
        <v>A0344:西武ガス(株)</v>
      </c>
      <c r="I247" s="124" t="s">
        <v>483</v>
      </c>
      <c r="J247" s="124" t="s">
        <v>484</v>
      </c>
      <c r="K247" s="182" t="s">
        <v>2010</v>
      </c>
      <c r="L247" s="182">
        <v>4.5199999999999998E-4</v>
      </c>
      <c r="M247" s="182">
        <v>3.5300000000000002E-4</v>
      </c>
      <c r="N247" s="182">
        <v>3.5300000000000002E-4</v>
      </c>
      <c r="O247" s="182">
        <v>3.5300000000000002E-4</v>
      </c>
      <c r="P247" s="182">
        <v>3.5300000000000002E-4</v>
      </c>
      <c r="R247" s="154" t="str">
        <f t="shared" si="14"/>
        <v>A0060:(株)アイ・グリッド・ソリューションズ(参考値)事業者全体</v>
      </c>
      <c r="S247" s="182">
        <f t="shared" si="15"/>
        <v>4.5199999999999998E-4</v>
      </c>
    </row>
    <row r="248" spans="2:19">
      <c r="B248" s="124" t="s">
        <v>847</v>
      </c>
      <c r="C248" s="154" t="s">
        <v>848</v>
      </c>
      <c r="D248" s="154" t="str">
        <f t="shared" ref="D248:D268" si="17">B248&amp;":"&amp;C248</f>
        <v>A0345:松本ガス(株)</v>
      </c>
      <c r="I248" s="124" t="s">
        <v>485</v>
      </c>
      <c r="J248" s="124" t="s">
        <v>486</v>
      </c>
      <c r="K248" s="182" t="s">
        <v>390</v>
      </c>
      <c r="L248" s="182">
        <v>0</v>
      </c>
      <c r="M248" s="182">
        <v>5.22E-4</v>
      </c>
      <c r="N248" s="182">
        <v>5.22E-4</v>
      </c>
      <c r="O248" s="182">
        <v>5.22E-4</v>
      </c>
      <c r="P248" s="182">
        <v>5.22E-4</v>
      </c>
      <c r="R248" s="154" t="str">
        <f t="shared" si="14"/>
        <v>A0061:サミットエナジー(株)メニューA</v>
      </c>
      <c r="S248" s="182">
        <f t="shared" si="15"/>
        <v>0</v>
      </c>
    </row>
    <row r="249" spans="2:19">
      <c r="B249" s="124" t="s">
        <v>849</v>
      </c>
      <c r="C249" s="154" t="s">
        <v>850</v>
      </c>
      <c r="D249" s="154" t="str">
        <f t="shared" si="17"/>
        <v>A0348:南部だんだんエナジー(株)</v>
      </c>
      <c r="I249" s="124" t="s">
        <v>485</v>
      </c>
      <c r="J249" s="124" t="s">
        <v>486</v>
      </c>
      <c r="K249" s="182" t="s">
        <v>398</v>
      </c>
      <c r="L249" s="182">
        <v>6.1899999999999998E-4</v>
      </c>
      <c r="M249" s="182">
        <v>0</v>
      </c>
      <c r="N249" s="182">
        <v>0</v>
      </c>
      <c r="O249" s="182">
        <v>0</v>
      </c>
      <c r="P249" s="182">
        <v>0</v>
      </c>
      <c r="R249" s="154" t="str">
        <f t="shared" si="14"/>
        <v>A0061:サミットエナジー(株)メニューB</v>
      </c>
      <c r="S249" s="182">
        <f t="shared" si="15"/>
        <v>6.1899999999999998E-4</v>
      </c>
    </row>
    <row r="250" spans="2:19">
      <c r="B250" s="124" t="s">
        <v>851</v>
      </c>
      <c r="C250" s="154" t="s">
        <v>852</v>
      </c>
      <c r="D250" s="154" t="str">
        <f t="shared" si="17"/>
        <v>A0349:(株)エフエネ</v>
      </c>
      <c r="I250" s="124" t="s">
        <v>485</v>
      </c>
      <c r="J250" s="124" t="s">
        <v>486</v>
      </c>
      <c r="K250" s="182" t="s">
        <v>2010</v>
      </c>
      <c r="L250" s="182">
        <v>5.1099999999999995E-4</v>
      </c>
      <c r="M250" s="182">
        <v>0</v>
      </c>
      <c r="N250" s="182">
        <v>0</v>
      </c>
      <c r="O250" s="182">
        <v>0</v>
      </c>
      <c r="P250" s="182">
        <v>0</v>
      </c>
      <c r="R250" s="154" t="str">
        <f t="shared" si="14"/>
        <v>A0061:サミットエナジー(株)(参考値)事業者全体</v>
      </c>
      <c r="S250" s="182">
        <f t="shared" si="15"/>
        <v>5.1099999999999995E-4</v>
      </c>
    </row>
    <row r="251" spans="2:19">
      <c r="B251" s="124" t="s">
        <v>853</v>
      </c>
      <c r="C251" s="154" t="s">
        <v>854</v>
      </c>
      <c r="D251" s="154" t="str">
        <f t="shared" si="17"/>
        <v>A0350:こなんウルトラパワー(株)</v>
      </c>
      <c r="I251" s="124" t="s">
        <v>487</v>
      </c>
      <c r="J251" s="124" t="s">
        <v>488</v>
      </c>
      <c r="K251" s="182" t="s">
        <v>390</v>
      </c>
      <c r="L251" s="182">
        <v>0</v>
      </c>
      <c r="M251" s="182">
        <v>0</v>
      </c>
      <c r="N251" s="182">
        <v>0</v>
      </c>
      <c r="O251" s="182">
        <v>0</v>
      </c>
      <c r="P251" s="182">
        <v>0</v>
      </c>
      <c r="R251" s="154" t="str">
        <f t="shared" si="14"/>
        <v>A0062:リコージャパン(株)メニューA</v>
      </c>
      <c r="S251" s="182">
        <f t="shared" si="15"/>
        <v>0</v>
      </c>
    </row>
    <row r="252" spans="2:19">
      <c r="B252" s="124" t="s">
        <v>855</v>
      </c>
      <c r="C252" s="154" t="s">
        <v>856</v>
      </c>
      <c r="D252" s="154" t="str">
        <f t="shared" si="17"/>
        <v>A0351:(株)CHIBAむつざわエナジー</v>
      </c>
      <c r="I252" s="124" t="s">
        <v>487</v>
      </c>
      <c r="J252" s="124" t="s">
        <v>488</v>
      </c>
      <c r="K252" s="182" t="s">
        <v>398</v>
      </c>
      <c r="L252" s="182">
        <v>0</v>
      </c>
      <c r="M252" s="182">
        <v>0</v>
      </c>
      <c r="N252" s="182">
        <v>0</v>
      </c>
      <c r="O252" s="182">
        <v>0</v>
      </c>
      <c r="P252" s="182">
        <v>0</v>
      </c>
      <c r="R252" s="154" t="str">
        <f t="shared" si="14"/>
        <v>A0062:リコージャパン(株)メニューB</v>
      </c>
      <c r="S252" s="182">
        <f t="shared" si="15"/>
        <v>0</v>
      </c>
    </row>
    <row r="253" spans="2:19">
      <c r="B253" s="124" t="s">
        <v>857</v>
      </c>
      <c r="C253" s="154" t="s">
        <v>858</v>
      </c>
      <c r="D253" s="154" t="str">
        <f t="shared" si="17"/>
        <v>A0352:(株)関西空調　</v>
      </c>
      <c r="I253" s="124" t="s">
        <v>487</v>
      </c>
      <c r="J253" s="124" t="s">
        <v>488</v>
      </c>
      <c r="K253" s="182" t="s">
        <v>399</v>
      </c>
      <c r="L253" s="182">
        <v>3.0699999999999998E-4</v>
      </c>
      <c r="M253" s="182">
        <v>6.2799999999999998E-4</v>
      </c>
      <c r="N253" s="182">
        <v>6.2799999999999998E-4</v>
      </c>
      <c r="O253" s="182">
        <v>6.2799999999999998E-4</v>
      </c>
      <c r="P253" s="182">
        <v>6.2799999999999998E-4</v>
      </c>
      <c r="R253" s="154" t="str">
        <f t="shared" si="14"/>
        <v>A0062:リコージャパン(株)メニューC</v>
      </c>
      <c r="S253" s="182">
        <f t="shared" si="15"/>
        <v>3.0699999999999998E-4</v>
      </c>
    </row>
    <row r="254" spans="2:19">
      <c r="B254" s="124" t="s">
        <v>859</v>
      </c>
      <c r="C254" s="154" t="s">
        <v>860</v>
      </c>
      <c r="D254" s="154" t="str">
        <f t="shared" si="17"/>
        <v>A0353:奥出雲電力(株)</v>
      </c>
      <c r="I254" s="124" t="s">
        <v>487</v>
      </c>
      <c r="J254" s="124" t="s">
        <v>488</v>
      </c>
      <c r="K254" s="182" t="s">
        <v>400</v>
      </c>
      <c r="L254" s="182">
        <v>0</v>
      </c>
      <c r="M254" s="182">
        <v>0</v>
      </c>
      <c r="N254" s="182">
        <v>0</v>
      </c>
      <c r="O254" s="182">
        <v>0</v>
      </c>
      <c r="P254" s="182">
        <v>0</v>
      </c>
      <c r="R254" s="154" t="str">
        <f t="shared" si="14"/>
        <v>A0062:リコージャパン(株)メニューD</v>
      </c>
      <c r="S254" s="182">
        <f t="shared" si="15"/>
        <v>0</v>
      </c>
    </row>
    <row r="255" spans="2:19">
      <c r="B255" s="124" t="s">
        <v>861</v>
      </c>
      <c r="C255" s="154" t="s">
        <v>862</v>
      </c>
      <c r="D255" s="154" t="str">
        <f t="shared" si="17"/>
        <v>A0355:レジル(株)(旧:中央電力(株))</v>
      </c>
      <c r="I255" s="124" t="s">
        <v>487</v>
      </c>
      <c r="J255" s="124" t="s">
        <v>488</v>
      </c>
      <c r="K255" s="182" t="s">
        <v>401</v>
      </c>
      <c r="L255" s="182">
        <v>3.6999999999999999E-4</v>
      </c>
      <c r="M255" s="182">
        <v>0</v>
      </c>
      <c r="N255" s="182">
        <v>0</v>
      </c>
      <c r="O255" s="182">
        <v>0</v>
      </c>
      <c r="P255" s="182">
        <v>0</v>
      </c>
      <c r="R255" s="154" t="str">
        <f t="shared" si="14"/>
        <v>A0062:リコージャパン(株)メニューE</v>
      </c>
      <c r="S255" s="182">
        <f t="shared" si="15"/>
        <v>3.6999999999999999E-4</v>
      </c>
    </row>
    <row r="256" spans="2:19">
      <c r="B256" s="124" t="s">
        <v>863</v>
      </c>
      <c r="C256" s="154" t="s">
        <v>864</v>
      </c>
      <c r="D256" s="154" t="str">
        <f t="shared" si="17"/>
        <v>A0356:(株)成田香取エネルギー</v>
      </c>
      <c r="I256" s="124" t="s">
        <v>487</v>
      </c>
      <c r="J256" s="124" t="s">
        <v>488</v>
      </c>
      <c r="K256" s="182" t="s">
        <v>414</v>
      </c>
      <c r="L256" s="182">
        <v>4.6200000000000001E-4</v>
      </c>
      <c r="M256" s="182">
        <v>5.53E-4</v>
      </c>
      <c r="N256" s="182">
        <v>5.53E-4</v>
      </c>
      <c r="O256" s="182">
        <v>5.53E-4</v>
      </c>
      <c r="P256" s="182">
        <v>5.53E-4</v>
      </c>
      <c r="R256" s="154" t="str">
        <f t="shared" si="14"/>
        <v>A0062:リコージャパン(株)メニューF</v>
      </c>
      <c r="S256" s="182">
        <f t="shared" si="15"/>
        <v>4.6200000000000001E-4</v>
      </c>
    </row>
    <row r="257" spans="2:19">
      <c r="B257" s="124" t="s">
        <v>865</v>
      </c>
      <c r="C257" s="154" t="s">
        <v>866</v>
      </c>
      <c r="D257" s="154" t="str">
        <f t="shared" si="17"/>
        <v>A0360:グローバルソリューションサービス(株)</v>
      </c>
      <c r="I257" s="124" t="s">
        <v>487</v>
      </c>
      <c r="J257" s="124" t="s">
        <v>488</v>
      </c>
      <c r="K257" s="182" t="s">
        <v>2010</v>
      </c>
      <c r="L257" s="182">
        <v>4.3899999999999999E-4</v>
      </c>
      <c r="M257" s="182">
        <v>5.0500000000000002E-4</v>
      </c>
      <c r="N257" s="182">
        <v>5.0500000000000002E-4</v>
      </c>
      <c r="O257" s="182">
        <v>5.0500000000000002E-4</v>
      </c>
      <c r="P257" s="182">
        <v>5.0500000000000002E-4</v>
      </c>
      <c r="R257" s="154" t="str">
        <f t="shared" si="14"/>
        <v>A0062:リコージャパン(株)(参考値)事業者全体</v>
      </c>
      <c r="S257" s="182">
        <f t="shared" si="15"/>
        <v>4.3899999999999999E-4</v>
      </c>
    </row>
    <row r="258" spans="2:19">
      <c r="B258" s="124" t="s">
        <v>867</v>
      </c>
      <c r="C258" s="154" t="s">
        <v>868</v>
      </c>
      <c r="D258" s="154" t="str">
        <f t="shared" si="17"/>
        <v>A0362:(株)CWS</v>
      </c>
      <c r="I258" s="124" t="s">
        <v>489</v>
      </c>
      <c r="J258" s="124" t="s">
        <v>490</v>
      </c>
      <c r="K258" s="182" t="s">
        <v>390</v>
      </c>
      <c r="L258" s="182">
        <v>0</v>
      </c>
      <c r="M258" s="182">
        <v>4.7399999999999997E-4</v>
      </c>
      <c r="N258" s="182">
        <v>4.7399999999999997E-4</v>
      </c>
      <c r="O258" s="182">
        <v>4.7399999999999997E-4</v>
      </c>
      <c r="P258" s="182">
        <v>4.7399999999999997E-4</v>
      </c>
      <c r="R258" s="154" t="str">
        <f t="shared" si="14"/>
        <v>A0063:(株)エネルギア・ソリューション・アンド・サービスメニューA</v>
      </c>
      <c r="S258" s="182">
        <f t="shared" si="15"/>
        <v>0</v>
      </c>
    </row>
    <row r="259" spans="2:19">
      <c r="B259" s="124" t="s">
        <v>869</v>
      </c>
      <c r="C259" s="154" t="s">
        <v>870</v>
      </c>
      <c r="D259" s="154" t="str">
        <f t="shared" si="17"/>
        <v>A0364:ふくしま新電力(株)</v>
      </c>
      <c r="I259" s="124" t="s">
        <v>489</v>
      </c>
      <c r="J259" s="124" t="s">
        <v>490</v>
      </c>
      <c r="K259" s="182" t="s">
        <v>398</v>
      </c>
      <c r="L259" s="182">
        <v>6.0599999999999998E-4</v>
      </c>
      <c r="M259" s="182">
        <v>0</v>
      </c>
      <c r="N259" s="182">
        <v>0</v>
      </c>
      <c r="O259" s="182">
        <v>0</v>
      </c>
      <c r="P259" s="182">
        <v>0</v>
      </c>
      <c r="R259" s="154" t="str">
        <f t="shared" si="14"/>
        <v>A0063:(株)エネルギア・ソリューション・アンド・サービスメニューB</v>
      </c>
      <c r="S259" s="182">
        <f t="shared" si="15"/>
        <v>6.0599999999999998E-4</v>
      </c>
    </row>
    <row r="260" spans="2:19">
      <c r="B260" s="124" t="s">
        <v>871</v>
      </c>
      <c r="C260" s="154" t="s">
        <v>872</v>
      </c>
      <c r="D260" s="154" t="str">
        <f t="shared" si="17"/>
        <v>A0365:ティーダッシュ合同会社</v>
      </c>
      <c r="I260" s="124" t="s">
        <v>489</v>
      </c>
      <c r="J260" s="124" t="s">
        <v>490</v>
      </c>
      <c r="K260" s="182" t="s">
        <v>2010</v>
      </c>
      <c r="L260" s="182">
        <v>5.6200000000000011E-4</v>
      </c>
      <c r="M260" s="182">
        <v>3.8700000000000003E-4</v>
      </c>
      <c r="N260" s="182">
        <v>3.8700000000000003E-4</v>
      </c>
      <c r="O260" s="182">
        <v>3.8700000000000003E-4</v>
      </c>
      <c r="P260" s="182">
        <v>3.8700000000000003E-4</v>
      </c>
      <c r="R260" s="154" t="str">
        <f t="shared" si="14"/>
        <v>A0063:(株)エネルギア・ソリューション・アンド・サービス(参考値)事業者全体</v>
      </c>
      <c r="S260" s="182">
        <f t="shared" si="15"/>
        <v>5.6200000000000011E-4</v>
      </c>
    </row>
    <row r="261" spans="2:19">
      <c r="B261" s="124" t="s">
        <v>873</v>
      </c>
      <c r="C261" s="154" t="s">
        <v>874</v>
      </c>
      <c r="D261" s="154" t="str">
        <f t="shared" si="17"/>
        <v>A0366:(株)エネクスライフサービス</v>
      </c>
      <c r="I261" s="124" t="s">
        <v>493</v>
      </c>
      <c r="J261" s="124" t="s">
        <v>494</v>
      </c>
      <c r="K261" s="182" t="s">
        <v>390</v>
      </c>
      <c r="L261" s="182">
        <v>0</v>
      </c>
      <c r="M261" s="182">
        <v>3.4099999999999999E-4</v>
      </c>
      <c r="N261" s="182">
        <v>3.4099999999999999E-4</v>
      </c>
      <c r="O261" s="182">
        <v>3.4099999999999999E-4</v>
      </c>
      <c r="P261" s="182">
        <v>3.4099999999999999E-4</v>
      </c>
      <c r="R261" s="154" t="str">
        <f t="shared" si="14"/>
        <v>A0065:テス・エンジニアリング(株)メニューA</v>
      </c>
      <c r="S261" s="182">
        <f t="shared" si="15"/>
        <v>0</v>
      </c>
    </row>
    <row r="262" spans="2:19">
      <c r="B262" s="124" t="s">
        <v>875</v>
      </c>
      <c r="C262" s="154" t="s">
        <v>876</v>
      </c>
      <c r="D262" s="154" t="str">
        <f t="shared" si="17"/>
        <v>A0367:ネイチャーエナジー小国(株)</v>
      </c>
      <c r="I262" s="124" t="s">
        <v>493</v>
      </c>
      <c r="J262" s="124" t="s">
        <v>494</v>
      </c>
      <c r="K262" s="182" t="s">
        <v>398</v>
      </c>
      <c r="L262" s="182">
        <v>0</v>
      </c>
      <c r="M262" s="182">
        <v>0</v>
      </c>
      <c r="N262" s="182">
        <v>0</v>
      </c>
      <c r="O262" s="182">
        <v>0</v>
      </c>
      <c r="P262" s="182">
        <v>0</v>
      </c>
      <c r="R262" s="154" t="str">
        <f t="shared" si="14"/>
        <v>A0065:テス・エンジニアリング(株)メニューB</v>
      </c>
      <c r="S262" s="182">
        <f t="shared" si="15"/>
        <v>0</v>
      </c>
    </row>
    <row r="263" spans="2:19">
      <c r="B263" s="124" t="s">
        <v>877</v>
      </c>
      <c r="C263" s="154" t="s">
        <v>878</v>
      </c>
      <c r="D263" s="154" t="str">
        <f t="shared" si="17"/>
        <v>A0368:リエスパワーネクスト(株)</v>
      </c>
      <c r="I263" s="124" t="s">
        <v>493</v>
      </c>
      <c r="J263" s="124" t="s">
        <v>494</v>
      </c>
      <c r="K263" s="182" t="s">
        <v>399</v>
      </c>
      <c r="L263" s="182">
        <v>2.05E-4</v>
      </c>
      <c r="M263" s="182">
        <v>4.1300000000000001E-4</v>
      </c>
      <c r="N263" s="182">
        <v>4.1300000000000001E-4</v>
      </c>
      <c r="O263" s="182">
        <v>4.1300000000000001E-4</v>
      </c>
      <c r="P263" s="182">
        <v>4.1300000000000001E-4</v>
      </c>
      <c r="R263" s="154" t="str">
        <f t="shared" si="14"/>
        <v>A0065:テス・エンジニアリング(株)メニューC</v>
      </c>
      <c r="S263" s="182">
        <f t="shared" si="15"/>
        <v>2.05E-4</v>
      </c>
    </row>
    <row r="264" spans="2:19">
      <c r="B264" s="124" t="s">
        <v>879</v>
      </c>
      <c r="C264" s="154" t="s">
        <v>880</v>
      </c>
      <c r="D264" s="154" t="str">
        <f t="shared" si="17"/>
        <v>A0369:京都生活協同組合</v>
      </c>
      <c r="I264" s="124" t="s">
        <v>493</v>
      </c>
      <c r="J264" s="124" t="s">
        <v>494</v>
      </c>
      <c r="K264" s="182" t="s">
        <v>2010</v>
      </c>
      <c r="L264" s="182">
        <v>1.8799999999999999E-4</v>
      </c>
      <c r="M264" s="182">
        <v>5.6400000000000005E-4</v>
      </c>
      <c r="N264" s="182">
        <v>5.6400000000000005E-4</v>
      </c>
      <c r="O264" s="182">
        <v>5.6400000000000005E-4</v>
      </c>
      <c r="P264" s="182">
        <v>5.6400000000000005E-4</v>
      </c>
      <c r="R264" s="154" t="str">
        <f t="shared" si="14"/>
        <v>A0065:テス・エンジニアリング(株)(参考値)事業者全体</v>
      </c>
      <c r="S264" s="182">
        <f t="shared" si="15"/>
        <v>1.8799999999999999E-4</v>
      </c>
    </row>
    <row r="265" spans="2:19">
      <c r="B265" s="124" t="s">
        <v>881</v>
      </c>
      <c r="C265" s="154" t="s">
        <v>882</v>
      </c>
      <c r="D265" s="154" t="str">
        <f t="shared" si="17"/>
        <v>A0371:エネルギーパワー(株)</v>
      </c>
      <c r="I265" s="124" t="s">
        <v>495</v>
      </c>
      <c r="J265" s="124" t="s">
        <v>496</v>
      </c>
      <c r="K265" s="182" t="s">
        <v>390</v>
      </c>
      <c r="L265" s="182">
        <v>0</v>
      </c>
      <c r="M265" s="182">
        <v>0</v>
      </c>
      <c r="N265" s="182">
        <v>0</v>
      </c>
      <c r="O265" s="182">
        <v>0</v>
      </c>
      <c r="P265" s="182">
        <v>0</v>
      </c>
      <c r="R265" s="154" t="str">
        <f t="shared" si="14"/>
        <v>A0066:青梅ガス(株)メニューA</v>
      </c>
      <c r="S265" s="182">
        <f t="shared" si="15"/>
        <v>0</v>
      </c>
    </row>
    <row r="266" spans="2:19">
      <c r="B266" s="124" t="s">
        <v>883</v>
      </c>
      <c r="C266" s="154" t="s">
        <v>884</v>
      </c>
      <c r="D266" s="154" t="str">
        <f t="shared" si="17"/>
        <v>A0372:(株)グリムスパワー</v>
      </c>
      <c r="I266" s="124" t="s">
        <v>495</v>
      </c>
      <c r="J266" s="124" t="s">
        <v>496</v>
      </c>
      <c r="K266" s="182" t="s">
        <v>398</v>
      </c>
      <c r="L266" s="182">
        <v>3.4099999999999999E-4</v>
      </c>
      <c r="M266" s="182">
        <v>3.2000000000000003E-4</v>
      </c>
      <c r="N266" s="182">
        <v>3.2000000000000003E-4</v>
      </c>
      <c r="O266" s="182">
        <v>3.2000000000000003E-4</v>
      </c>
      <c r="P266" s="182">
        <v>3.2000000000000003E-4</v>
      </c>
      <c r="R266" s="154" t="str">
        <f t="shared" ref="R266:R329" si="18">I266&amp;":"&amp;J266&amp;K266</f>
        <v>A0066:青梅ガス(株)メニューB</v>
      </c>
      <c r="S266" s="182">
        <f t="shared" ref="S266:S329" si="19">HLOOKUP($S$8,$L$8:$P$1500,ROW()-7,FALSE)</f>
        <v>3.4099999999999999E-4</v>
      </c>
    </row>
    <row r="267" spans="2:19">
      <c r="B267" s="124" t="s">
        <v>885</v>
      </c>
      <c r="C267" s="154" t="s">
        <v>886</v>
      </c>
      <c r="D267" s="154" t="str">
        <f t="shared" si="17"/>
        <v>A0373:日本ファシリティ・ソリューション(株)</v>
      </c>
      <c r="I267" s="124" t="s">
        <v>495</v>
      </c>
      <c r="J267" s="124" t="s">
        <v>496</v>
      </c>
      <c r="K267" s="182" t="s">
        <v>2010</v>
      </c>
      <c r="L267" s="182">
        <v>3.4000000000000002E-4</v>
      </c>
      <c r="M267" s="182">
        <v>0</v>
      </c>
      <c r="N267" s="182">
        <v>0</v>
      </c>
      <c r="O267" s="182">
        <v>0</v>
      </c>
      <c r="P267" s="182">
        <v>0</v>
      </c>
      <c r="R267" s="154" t="str">
        <f t="shared" si="18"/>
        <v>A0066:青梅ガス(株)(参考値)事業者全体</v>
      </c>
      <c r="S267" s="182">
        <f t="shared" si="19"/>
        <v>3.4000000000000002E-4</v>
      </c>
    </row>
    <row r="268" spans="2:19">
      <c r="B268" s="124" t="s">
        <v>887</v>
      </c>
      <c r="C268" s="154" t="s">
        <v>888</v>
      </c>
      <c r="D268" s="154" t="str">
        <f t="shared" si="17"/>
        <v>A0377:(株)オノプロックス</v>
      </c>
      <c r="I268" s="124" t="s">
        <v>497</v>
      </c>
      <c r="J268" s="124" t="s">
        <v>498</v>
      </c>
      <c r="K268" s="182" t="s">
        <v>390</v>
      </c>
      <c r="L268" s="182">
        <v>0</v>
      </c>
      <c r="M268" s="182">
        <v>5.0699999999999996E-4</v>
      </c>
      <c r="N268" s="182">
        <v>5.0699999999999996E-4</v>
      </c>
      <c r="O268" s="182">
        <v>5.0699999999999996E-4</v>
      </c>
      <c r="P268" s="182">
        <v>5.0699999999999996E-4</v>
      </c>
      <c r="R268" s="154" t="str">
        <f t="shared" si="18"/>
        <v>A0067:(株)イーネットワークシステムズメニューA</v>
      </c>
      <c r="S268" s="182">
        <f t="shared" si="19"/>
        <v>0</v>
      </c>
    </row>
    <row r="269" spans="2:19">
      <c r="B269" s="124" t="s">
        <v>889</v>
      </c>
      <c r="C269" s="154" t="s">
        <v>890</v>
      </c>
      <c r="D269" s="154" t="str">
        <f>B269&amp;":"&amp;C269</f>
        <v>A0378:本庄ガス(株)</v>
      </c>
      <c r="I269" s="124" t="s">
        <v>497</v>
      </c>
      <c r="J269" s="124" t="s">
        <v>498</v>
      </c>
      <c r="K269" s="182" t="s">
        <v>398</v>
      </c>
      <c r="L269" s="182">
        <v>0</v>
      </c>
      <c r="M269" s="182">
        <v>0</v>
      </c>
      <c r="N269" s="182">
        <v>0</v>
      </c>
      <c r="O269" s="182">
        <v>0</v>
      </c>
      <c r="P269" s="182">
        <v>0</v>
      </c>
      <c r="R269" s="154" t="str">
        <f t="shared" si="18"/>
        <v>A0067:(株)イーネットワークシステムズメニューB</v>
      </c>
      <c r="S269" s="182">
        <f t="shared" si="19"/>
        <v>0</v>
      </c>
    </row>
    <row r="270" spans="2:19">
      <c r="B270" s="124" t="s">
        <v>891</v>
      </c>
      <c r="C270" s="154" t="s">
        <v>892</v>
      </c>
      <c r="D270" s="154" t="str">
        <f t="shared" ref="D270:D300" si="20">B270&amp;":"&amp;C270</f>
        <v>A0380:青森県民エナジー(株)</v>
      </c>
      <c r="I270" s="124" t="s">
        <v>497</v>
      </c>
      <c r="J270" s="124" t="s">
        <v>498</v>
      </c>
      <c r="K270" s="182" t="s">
        <v>399</v>
      </c>
      <c r="L270" s="182">
        <v>0</v>
      </c>
      <c r="M270" s="182">
        <v>1.25E-4</v>
      </c>
      <c r="N270" s="182">
        <v>1.25E-4</v>
      </c>
      <c r="O270" s="182">
        <v>1.25E-4</v>
      </c>
      <c r="P270" s="182">
        <v>1.25E-4</v>
      </c>
      <c r="R270" s="154" t="str">
        <f t="shared" si="18"/>
        <v>A0067:(株)イーネットワークシステムズメニューC</v>
      </c>
      <c r="S270" s="182">
        <f t="shared" si="19"/>
        <v>0</v>
      </c>
    </row>
    <row r="271" spans="2:19">
      <c r="B271" s="124" t="s">
        <v>893</v>
      </c>
      <c r="C271" s="154" t="s">
        <v>894</v>
      </c>
      <c r="D271" s="154" t="str">
        <f t="shared" si="20"/>
        <v>A0381:国際航業(株)</v>
      </c>
      <c r="I271" s="124" t="s">
        <v>497</v>
      </c>
      <c r="J271" s="124" t="s">
        <v>498</v>
      </c>
      <c r="K271" s="182" t="s">
        <v>400</v>
      </c>
      <c r="L271" s="182">
        <v>0</v>
      </c>
      <c r="M271" s="182">
        <v>1.7799999999999999E-4</v>
      </c>
      <c r="N271" s="182">
        <v>1.7799999999999999E-4</v>
      </c>
      <c r="O271" s="182">
        <v>1.7799999999999999E-4</v>
      </c>
      <c r="P271" s="182">
        <v>1.7799999999999999E-4</v>
      </c>
      <c r="R271" s="154" t="str">
        <f t="shared" si="18"/>
        <v>A0067:(株)イーネットワークシステムズメニューD</v>
      </c>
      <c r="S271" s="182">
        <f t="shared" si="19"/>
        <v>0</v>
      </c>
    </row>
    <row r="272" spans="2:19">
      <c r="B272" s="124" t="s">
        <v>895</v>
      </c>
      <c r="C272" s="154" t="s">
        <v>896</v>
      </c>
      <c r="D272" s="154" t="str">
        <f t="shared" si="20"/>
        <v>A0382:ローカルでんき(株)</v>
      </c>
      <c r="I272" s="124" t="s">
        <v>497</v>
      </c>
      <c r="J272" s="124" t="s">
        <v>498</v>
      </c>
      <c r="K272" s="182" t="s">
        <v>401</v>
      </c>
      <c r="L272" s="182">
        <v>6.3299999999999999E-4</v>
      </c>
      <c r="M272" s="182">
        <v>2.4699999999999999E-4</v>
      </c>
      <c r="N272" s="182">
        <v>2.4699999999999999E-4</v>
      </c>
      <c r="O272" s="182">
        <v>2.4699999999999999E-4</v>
      </c>
      <c r="P272" s="182">
        <v>2.4699999999999999E-4</v>
      </c>
      <c r="R272" s="154" t="str">
        <f t="shared" si="18"/>
        <v>A0067:(株)イーネットワークシステムズメニューE</v>
      </c>
      <c r="S272" s="182">
        <f t="shared" si="19"/>
        <v>6.3299999999999999E-4</v>
      </c>
    </row>
    <row r="273" spans="2:19">
      <c r="B273" s="124" t="s">
        <v>897</v>
      </c>
      <c r="C273" s="154" t="s">
        <v>898</v>
      </c>
      <c r="D273" s="154" t="str">
        <f t="shared" si="20"/>
        <v>A0383:(株)明治産業</v>
      </c>
      <c r="I273" s="124" t="s">
        <v>497</v>
      </c>
      <c r="J273" s="124" t="s">
        <v>498</v>
      </c>
      <c r="K273" s="182" t="s">
        <v>2010</v>
      </c>
      <c r="L273" s="182">
        <v>5.2599999999999999E-4</v>
      </c>
      <c r="M273" s="182">
        <v>3.8099999999999999E-4</v>
      </c>
      <c r="N273" s="182">
        <v>3.8099999999999999E-4</v>
      </c>
      <c r="O273" s="182">
        <v>3.8099999999999999E-4</v>
      </c>
      <c r="P273" s="182">
        <v>3.8099999999999999E-4</v>
      </c>
      <c r="R273" s="154" t="str">
        <f t="shared" si="18"/>
        <v>A0067:(株)イーネットワークシステムズ(参考値)事業者全体</v>
      </c>
      <c r="S273" s="182">
        <f t="shared" si="19"/>
        <v>5.2599999999999999E-4</v>
      </c>
    </row>
    <row r="274" spans="2:19">
      <c r="B274" s="124" t="s">
        <v>899</v>
      </c>
      <c r="C274" s="154" t="s">
        <v>900</v>
      </c>
      <c r="D274" s="154" t="str">
        <f t="shared" si="20"/>
        <v>A0385:岡山電力(株)</v>
      </c>
      <c r="I274" s="124" t="s">
        <v>499</v>
      </c>
      <c r="J274" s="124" t="s">
        <v>500</v>
      </c>
      <c r="K274" s="182"/>
      <c r="L274" s="182">
        <v>6.4700000000000001E-4</v>
      </c>
      <c r="M274" s="182">
        <v>2.9E-4</v>
      </c>
      <c r="N274" s="182">
        <v>2.9E-4</v>
      </c>
      <c r="O274" s="182">
        <v>2.9E-4</v>
      </c>
      <c r="P274" s="182">
        <v>2.9E-4</v>
      </c>
      <c r="R274" s="154" t="str">
        <f t="shared" si="18"/>
        <v>A0068:(株)エネアーク関東</v>
      </c>
      <c r="S274" s="182">
        <f t="shared" si="19"/>
        <v>6.4700000000000001E-4</v>
      </c>
    </row>
    <row r="275" spans="2:19">
      <c r="B275" s="124" t="s">
        <v>901</v>
      </c>
      <c r="C275" s="154" t="s">
        <v>902</v>
      </c>
      <c r="D275" s="154" t="str">
        <f t="shared" si="20"/>
        <v>A0386:ミライフ(株)</v>
      </c>
      <c r="I275" s="124" t="s">
        <v>501</v>
      </c>
      <c r="J275" s="124" t="s">
        <v>502</v>
      </c>
      <c r="K275" s="182" t="s">
        <v>390</v>
      </c>
      <c r="L275" s="182">
        <v>0</v>
      </c>
      <c r="M275" s="182">
        <v>3.9000000000000005E-4</v>
      </c>
      <c r="N275" s="182">
        <v>3.9000000000000005E-4</v>
      </c>
      <c r="O275" s="182">
        <v>3.9000000000000005E-4</v>
      </c>
      <c r="P275" s="182">
        <v>3.9000000000000005E-4</v>
      </c>
      <c r="R275" s="154" t="str">
        <f t="shared" si="18"/>
        <v>A0069:(株)東急パワーサプライメニューA</v>
      </c>
      <c r="S275" s="182">
        <f t="shared" si="19"/>
        <v>0</v>
      </c>
    </row>
    <row r="276" spans="2:19">
      <c r="B276" s="124" t="s">
        <v>903</v>
      </c>
      <c r="C276" s="154" t="s">
        <v>1700</v>
      </c>
      <c r="D276" s="154" t="str">
        <f t="shared" si="20"/>
        <v>A0388:楽天モバイル(株)（旧：楽天エナジー(株)）</v>
      </c>
      <c r="I276" s="124" t="s">
        <v>501</v>
      </c>
      <c r="J276" s="124" t="s">
        <v>502</v>
      </c>
      <c r="K276" s="182" t="s">
        <v>398</v>
      </c>
      <c r="L276" s="182">
        <v>0</v>
      </c>
      <c r="M276" s="182">
        <v>4.2900000000000002E-4</v>
      </c>
      <c r="N276" s="182">
        <v>4.2900000000000002E-4</v>
      </c>
      <c r="O276" s="182">
        <v>4.2900000000000002E-4</v>
      </c>
      <c r="P276" s="182">
        <v>4.2900000000000002E-4</v>
      </c>
      <c r="R276" s="154" t="str">
        <f t="shared" si="18"/>
        <v>A0069:(株)東急パワーサプライメニューB</v>
      </c>
      <c r="S276" s="182">
        <f t="shared" si="19"/>
        <v>0</v>
      </c>
    </row>
    <row r="277" spans="2:19">
      <c r="B277" s="124" t="s">
        <v>904</v>
      </c>
      <c r="C277" s="154" t="s">
        <v>905</v>
      </c>
      <c r="D277" s="154" t="str">
        <f t="shared" si="20"/>
        <v>A0389:うすきエネルギー(株)</v>
      </c>
      <c r="I277" s="124" t="s">
        <v>501</v>
      </c>
      <c r="J277" s="124" t="s">
        <v>502</v>
      </c>
      <c r="K277" s="182" t="s">
        <v>399</v>
      </c>
      <c r="L277" s="182">
        <v>0</v>
      </c>
      <c r="M277" s="182">
        <v>0</v>
      </c>
      <c r="N277" s="182">
        <v>0</v>
      </c>
      <c r="O277" s="182">
        <v>0</v>
      </c>
      <c r="P277" s="182">
        <v>0</v>
      </c>
      <c r="R277" s="154" t="str">
        <f t="shared" si="18"/>
        <v>A0069:(株)東急パワーサプライメニューC</v>
      </c>
      <c r="S277" s="182">
        <f t="shared" si="19"/>
        <v>0</v>
      </c>
    </row>
    <row r="278" spans="2:19">
      <c r="B278" s="124" t="s">
        <v>906</v>
      </c>
      <c r="C278" s="154" t="s">
        <v>907</v>
      </c>
      <c r="D278" s="154" t="str">
        <f t="shared" si="20"/>
        <v>A0391:森のエネルギー(株)</v>
      </c>
      <c r="I278" s="124" t="s">
        <v>501</v>
      </c>
      <c r="J278" s="124" t="s">
        <v>502</v>
      </c>
      <c r="K278" s="182" t="s">
        <v>400</v>
      </c>
      <c r="L278" s="182">
        <v>0</v>
      </c>
      <c r="M278" s="182">
        <v>2.9999999999999997E-4</v>
      </c>
      <c r="N278" s="182">
        <v>2.9999999999999997E-4</v>
      </c>
      <c r="O278" s="182">
        <v>2.9999999999999997E-4</v>
      </c>
      <c r="P278" s="182">
        <v>2.9999999999999997E-4</v>
      </c>
      <c r="R278" s="154" t="str">
        <f t="shared" si="18"/>
        <v>A0069:(株)東急パワーサプライメニューD</v>
      </c>
      <c r="S278" s="182">
        <f t="shared" si="19"/>
        <v>0</v>
      </c>
    </row>
    <row r="279" spans="2:19">
      <c r="B279" s="124" t="s">
        <v>908</v>
      </c>
      <c r="C279" s="154" t="s">
        <v>909</v>
      </c>
      <c r="D279" s="154" t="str">
        <f t="shared" si="20"/>
        <v>A0392:岐阜電力(株)</v>
      </c>
      <c r="I279" s="124" t="s">
        <v>501</v>
      </c>
      <c r="J279" s="124" t="s">
        <v>502</v>
      </c>
      <c r="K279" s="182" t="s">
        <v>401</v>
      </c>
      <c r="L279" s="182">
        <v>0</v>
      </c>
      <c r="M279" s="182">
        <v>5.8100000000000003E-4</v>
      </c>
      <c r="N279" s="182">
        <v>5.8100000000000003E-4</v>
      </c>
      <c r="O279" s="182">
        <v>5.8100000000000003E-4</v>
      </c>
      <c r="P279" s="182">
        <v>5.8100000000000003E-4</v>
      </c>
      <c r="R279" s="154" t="str">
        <f t="shared" si="18"/>
        <v>A0069:(株)東急パワーサプライメニューE</v>
      </c>
      <c r="S279" s="182">
        <f t="shared" si="19"/>
        <v>0</v>
      </c>
    </row>
    <row r="280" spans="2:19">
      <c r="B280" s="124" t="s">
        <v>910</v>
      </c>
      <c r="C280" s="154" t="s">
        <v>911</v>
      </c>
      <c r="D280" s="154" t="str">
        <f t="shared" si="20"/>
        <v>A0396:(株)エスケーエナジー</v>
      </c>
      <c r="I280" s="124" t="s">
        <v>501</v>
      </c>
      <c r="J280" s="124" t="s">
        <v>502</v>
      </c>
      <c r="K280" s="182" t="s">
        <v>414</v>
      </c>
      <c r="L280" s="182">
        <v>0</v>
      </c>
      <c r="M280" s="182">
        <v>0</v>
      </c>
      <c r="N280" s="182">
        <v>0</v>
      </c>
      <c r="O280" s="182">
        <v>0</v>
      </c>
      <c r="P280" s="182">
        <v>0</v>
      </c>
      <c r="R280" s="154" t="str">
        <f t="shared" si="18"/>
        <v>A0069:(株)東急パワーサプライメニューF</v>
      </c>
      <c r="S280" s="182">
        <f t="shared" si="19"/>
        <v>0</v>
      </c>
    </row>
    <row r="281" spans="2:19">
      <c r="B281" s="124" t="s">
        <v>912</v>
      </c>
      <c r="C281" s="154" t="s">
        <v>913</v>
      </c>
      <c r="D281" s="154" t="str">
        <f t="shared" si="20"/>
        <v>A0397:名南共同エネルギー(株)</v>
      </c>
      <c r="I281" s="124" t="s">
        <v>501</v>
      </c>
      <c r="J281" s="124" t="s">
        <v>502</v>
      </c>
      <c r="K281" s="182" t="s">
        <v>415</v>
      </c>
      <c r="L281" s="182">
        <v>5.6999999999999998E-4</v>
      </c>
      <c r="M281" s="182">
        <v>4.5700000000000005E-4</v>
      </c>
      <c r="N281" s="182">
        <v>4.5700000000000005E-4</v>
      </c>
      <c r="O281" s="182">
        <v>4.5700000000000005E-4</v>
      </c>
      <c r="P281" s="182">
        <v>4.5700000000000005E-4</v>
      </c>
      <c r="R281" s="154" t="str">
        <f t="shared" si="18"/>
        <v>A0069:(株)東急パワーサプライメニューG</v>
      </c>
      <c r="S281" s="182">
        <f t="shared" si="19"/>
        <v>5.6999999999999998E-4</v>
      </c>
    </row>
    <row r="282" spans="2:19">
      <c r="B282" s="124" t="s">
        <v>914</v>
      </c>
      <c r="C282" s="154" t="s">
        <v>915</v>
      </c>
      <c r="D282" s="154" t="str">
        <f t="shared" si="20"/>
        <v>A0398:Apaman Energy(株)</v>
      </c>
      <c r="I282" s="124" t="s">
        <v>501</v>
      </c>
      <c r="J282" s="124" t="s">
        <v>502</v>
      </c>
      <c r="K282" s="182" t="s">
        <v>2010</v>
      </c>
      <c r="L282" s="182">
        <v>9.5000000000000005E-5</v>
      </c>
      <c r="M282" s="182">
        <v>0</v>
      </c>
      <c r="N282" s="182">
        <v>0</v>
      </c>
      <c r="O282" s="182">
        <v>0</v>
      </c>
      <c r="P282" s="182">
        <v>0</v>
      </c>
      <c r="R282" s="154" t="str">
        <f t="shared" si="18"/>
        <v>A0069:(株)東急パワーサプライ(参考値)事業者全体</v>
      </c>
      <c r="S282" s="182">
        <f t="shared" si="19"/>
        <v>9.5000000000000005E-5</v>
      </c>
    </row>
    <row r="283" spans="2:19">
      <c r="B283" s="124" t="s">
        <v>916</v>
      </c>
      <c r="C283" s="154" t="s">
        <v>917</v>
      </c>
      <c r="D283" s="154" t="str">
        <f t="shared" si="20"/>
        <v>A0403:大分ケーブルテレコム(株)</v>
      </c>
      <c r="I283" s="124" t="s">
        <v>503</v>
      </c>
      <c r="J283" s="124" t="s">
        <v>504</v>
      </c>
      <c r="K283" s="182" t="s">
        <v>390</v>
      </c>
      <c r="L283" s="182">
        <v>0</v>
      </c>
      <c r="M283" s="182">
        <v>0</v>
      </c>
      <c r="N283" s="182">
        <v>0</v>
      </c>
      <c r="O283" s="182">
        <v>0</v>
      </c>
      <c r="P283" s="182">
        <v>0</v>
      </c>
      <c r="R283" s="154" t="str">
        <f t="shared" si="18"/>
        <v>A0070:王子・伊藤忠エネクス電力販売(株)メニューA</v>
      </c>
      <c r="S283" s="182">
        <f t="shared" si="19"/>
        <v>0</v>
      </c>
    </row>
    <row r="284" spans="2:19">
      <c r="B284" s="124" t="s">
        <v>918</v>
      </c>
      <c r="C284" s="154" t="s">
        <v>919</v>
      </c>
      <c r="D284" s="154" t="str">
        <f t="shared" si="20"/>
        <v>A0405:アストマックス・エネルギー(株)</v>
      </c>
      <c r="I284" s="124" t="s">
        <v>503</v>
      </c>
      <c r="J284" s="124" t="s">
        <v>504</v>
      </c>
      <c r="K284" s="182" t="s">
        <v>398</v>
      </c>
      <c r="L284" s="182">
        <v>1.3000000000000002E-4</v>
      </c>
      <c r="M284" s="182">
        <v>4.0000000000000002E-4</v>
      </c>
      <c r="N284" s="182">
        <v>4.0000000000000002E-4</v>
      </c>
      <c r="O284" s="182">
        <v>4.0000000000000002E-4</v>
      </c>
      <c r="P284" s="182">
        <v>4.0000000000000002E-4</v>
      </c>
      <c r="R284" s="154" t="str">
        <f t="shared" si="18"/>
        <v>A0070:王子・伊藤忠エネクス電力販売(株)メニューB</v>
      </c>
      <c r="S284" s="182">
        <f t="shared" si="19"/>
        <v>1.3000000000000002E-4</v>
      </c>
    </row>
    <row r="285" spans="2:19">
      <c r="B285" s="124" t="s">
        <v>920</v>
      </c>
      <c r="C285" s="154" t="s">
        <v>921</v>
      </c>
      <c r="D285" s="154" t="str">
        <f t="shared" si="20"/>
        <v>A0406:生活協同組合コープみらい</v>
      </c>
      <c r="I285" s="124" t="s">
        <v>503</v>
      </c>
      <c r="J285" s="124" t="s">
        <v>504</v>
      </c>
      <c r="K285" s="182" t="s">
        <v>399</v>
      </c>
      <c r="L285" s="182">
        <v>2.3699999999999999E-4</v>
      </c>
      <c r="M285" s="182">
        <v>4.8700000000000002E-4</v>
      </c>
      <c r="N285" s="182">
        <v>4.8700000000000002E-4</v>
      </c>
      <c r="O285" s="182">
        <v>4.8700000000000002E-4</v>
      </c>
      <c r="P285" s="182">
        <v>4.8700000000000002E-4</v>
      </c>
      <c r="R285" s="154" t="str">
        <f t="shared" si="18"/>
        <v>A0070:王子・伊藤忠エネクス電力販売(株)メニューC</v>
      </c>
      <c r="S285" s="182">
        <f t="shared" si="19"/>
        <v>2.3699999999999999E-4</v>
      </c>
    </row>
    <row r="286" spans="2:19">
      <c r="B286" s="124" t="s">
        <v>922</v>
      </c>
      <c r="C286" s="154" t="s">
        <v>923</v>
      </c>
      <c r="D286" s="154" t="str">
        <f t="shared" si="20"/>
        <v>A0407:ALL GREEN POWER(株)</v>
      </c>
      <c r="I286" s="124" t="s">
        <v>503</v>
      </c>
      <c r="J286" s="124" t="s">
        <v>504</v>
      </c>
      <c r="K286" s="182" t="s">
        <v>400</v>
      </c>
      <c r="L286" s="182">
        <v>2.5900000000000001E-4</v>
      </c>
      <c r="M286" s="182">
        <v>0</v>
      </c>
      <c r="N286" s="182">
        <v>0</v>
      </c>
      <c r="O286" s="182">
        <v>0</v>
      </c>
      <c r="P286" s="182">
        <v>0</v>
      </c>
      <c r="R286" s="154" t="str">
        <f t="shared" si="18"/>
        <v>A0070:王子・伊藤忠エネクス電力販売(株)メニューD</v>
      </c>
      <c r="S286" s="182">
        <f t="shared" si="19"/>
        <v>2.5900000000000001E-4</v>
      </c>
    </row>
    <row r="287" spans="2:19">
      <c r="B287" s="124" t="s">
        <v>924</v>
      </c>
      <c r="C287" s="154" t="s">
        <v>925</v>
      </c>
      <c r="D287" s="154" t="str">
        <f t="shared" si="20"/>
        <v>A0411:福井電力(株)</v>
      </c>
      <c r="I287" s="124" t="s">
        <v>503</v>
      </c>
      <c r="J287" s="124" t="s">
        <v>504</v>
      </c>
      <c r="K287" s="182" t="s">
        <v>401</v>
      </c>
      <c r="L287" s="182">
        <v>3.01E-4</v>
      </c>
      <c r="M287" s="182">
        <v>2.8899999999999998E-4</v>
      </c>
      <c r="N287" s="182">
        <v>2.8899999999999998E-4</v>
      </c>
      <c r="O287" s="182">
        <v>2.8899999999999998E-4</v>
      </c>
      <c r="P287" s="182">
        <v>2.8899999999999998E-4</v>
      </c>
      <c r="R287" s="154" t="str">
        <f t="shared" si="18"/>
        <v>A0070:王子・伊藤忠エネクス電力販売(株)メニューE</v>
      </c>
      <c r="S287" s="182">
        <f t="shared" si="19"/>
        <v>3.01E-4</v>
      </c>
    </row>
    <row r="288" spans="2:19">
      <c r="B288" s="124" t="s">
        <v>926</v>
      </c>
      <c r="C288" s="154" t="s">
        <v>927</v>
      </c>
      <c r="D288" s="154" t="str">
        <f t="shared" si="20"/>
        <v>A0413:(株)MKエネルギー</v>
      </c>
      <c r="I288" s="124" t="s">
        <v>503</v>
      </c>
      <c r="J288" s="124" t="s">
        <v>504</v>
      </c>
      <c r="K288" s="182" t="s">
        <v>414</v>
      </c>
      <c r="L288" s="182">
        <v>3.2600000000000001E-4</v>
      </c>
      <c r="M288" s="182">
        <v>5.8799999999999998E-4</v>
      </c>
      <c r="N288" s="182">
        <v>5.8799999999999998E-4</v>
      </c>
      <c r="O288" s="182">
        <v>5.8799999999999998E-4</v>
      </c>
      <c r="P288" s="182">
        <v>5.8799999999999998E-4</v>
      </c>
      <c r="R288" s="154" t="str">
        <f t="shared" si="18"/>
        <v>A0070:王子・伊藤忠エネクス電力販売(株)メニューF</v>
      </c>
      <c r="S288" s="182">
        <f t="shared" si="19"/>
        <v>3.2600000000000001E-4</v>
      </c>
    </row>
    <row r="289" spans="2:19">
      <c r="B289" s="124" t="s">
        <v>928</v>
      </c>
      <c r="C289" s="154" t="s">
        <v>929</v>
      </c>
      <c r="D289" s="154" t="str">
        <f t="shared" si="20"/>
        <v>A0415:エネラボ(株)</v>
      </c>
      <c r="I289" s="124" t="s">
        <v>503</v>
      </c>
      <c r="J289" s="124" t="s">
        <v>504</v>
      </c>
      <c r="K289" s="182" t="s">
        <v>415</v>
      </c>
      <c r="L289" s="182">
        <v>5.2400000000000005E-4</v>
      </c>
      <c r="M289" s="182">
        <v>0</v>
      </c>
      <c r="N289" s="182">
        <v>0</v>
      </c>
      <c r="O289" s="182">
        <v>0</v>
      </c>
      <c r="P289" s="182">
        <v>0</v>
      </c>
      <c r="R289" s="154" t="str">
        <f t="shared" si="18"/>
        <v>A0070:王子・伊藤忠エネクス電力販売(株)メニューG</v>
      </c>
      <c r="S289" s="182">
        <f t="shared" si="19"/>
        <v>5.2400000000000005E-4</v>
      </c>
    </row>
    <row r="290" spans="2:19">
      <c r="B290" s="124" t="s">
        <v>930</v>
      </c>
      <c r="C290" s="154" t="s">
        <v>931</v>
      </c>
      <c r="D290" s="154" t="str">
        <f t="shared" si="20"/>
        <v>A0418:横浜ウォーター(株)</v>
      </c>
      <c r="I290" s="124" t="s">
        <v>503</v>
      </c>
      <c r="J290" s="124" t="s">
        <v>504</v>
      </c>
      <c r="K290" s="182" t="s">
        <v>2010</v>
      </c>
      <c r="L290" s="182">
        <v>3.1300000000000002E-4</v>
      </c>
      <c r="M290" s="182">
        <v>0</v>
      </c>
      <c r="N290" s="182">
        <v>0</v>
      </c>
      <c r="O290" s="182">
        <v>0</v>
      </c>
      <c r="P290" s="182">
        <v>0</v>
      </c>
      <c r="R290" s="154" t="str">
        <f t="shared" si="18"/>
        <v>A0070:王子・伊藤忠エネクス電力販売(株)(参考値)事業者全体</v>
      </c>
      <c r="S290" s="182">
        <f t="shared" si="19"/>
        <v>3.1300000000000002E-4</v>
      </c>
    </row>
    <row r="291" spans="2:19">
      <c r="B291" s="124" t="s">
        <v>932</v>
      </c>
      <c r="C291" s="154" t="s">
        <v>933</v>
      </c>
      <c r="D291" s="154" t="str">
        <f t="shared" si="20"/>
        <v>A0419:スマートエナジー磐田(株)</v>
      </c>
      <c r="I291" s="124" t="s">
        <v>505</v>
      </c>
      <c r="J291" s="124" t="s">
        <v>1677</v>
      </c>
      <c r="K291" s="182" t="s">
        <v>390</v>
      </c>
      <c r="L291" s="182">
        <v>0</v>
      </c>
      <c r="M291" s="182">
        <v>1.142E-3</v>
      </c>
      <c r="N291" s="182">
        <v>1.142E-3</v>
      </c>
      <c r="O291" s="182">
        <v>1.142E-3</v>
      </c>
      <c r="P291" s="182">
        <v>1.142E-3</v>
      </c>
      <c r="R291" s="154" t="str">
        <f t="shared" si="18"/>
        <v>A0071:伊藤忠商事(株)メニューA</v>
      </c>
      <c r="S291" s="182">
        <f t="shared" si="19"/>
        <v>0</v>
      </c>
    </row>
    <row r="292" spans="2:19">
      <c r="B292" s="124" t="s">
        <v>934</v>
      </c>
      <c r="C292" s="154" t="s">
        <v>935</v>
      </c>
      <c r="D292" s="154" t="str">
        <f t="shared" si="20"/>
        <v>A0420:そうまIグリッド合同会社</v>
      </c>
      <c r="I292" s="124" t="s">
        <v>505</v>
      </c>
      <c r="J292" s="124" t="s">
        <v>1677</v>
      </c>
      <c r="K292" s="182" t="s">
        <v>398</v>
      </c>
      <c r="L292" s="182">
        <v>0</v>
      </c>
      <c r="M292" s="182">
        <v>0</v>
      </c>
      <c r="N292" s="182">
        <v>0</v>
      </c>
      <c r="O292" s="182">
        <v>0</v>
      </c>
      <c r="P292" s="182">
        <v>0</v>
      </c>
      <c r="R292" s="154" t="str">
        <f t="shared" si="18"/>
        <v>A0071:伊藤忠商事(株)メニューB</v>
      </c>
      <c r="S292" s="182">
        <f t="shared" si="19"/>
        <v>0</v>
      </c>
    </row>
    <row r="293" spans="2:19">
      <c r="B293" s="124" t="s">
        <v>936</v>
      </c>
      <c r="C293" s="154" t="s">
        <v>937</v>
      </c>
      <c r="D293" s="154" t="str">
        <f t="shared" si="20"/>
        <v>A0425:エネトレード(株)</v>
      </c>
      <c r="I293" s="124" t="s">
        <v>505</v>
      </c>
      <c r="J293" s="124" t="s">
        <v>1677</v>
      </c>
      <c r="K293" s="182" t="s">
        <v>399</v>
      </c>
      <c r="L293" s="182">
        <v>4.2900000000000002E-4</v>
      </c>
      <c r="M293" s="182">
        <v>4.3100000000000001E-4</v>
      </c>
      <c r="N293" s="182">
        <v>4.3100000000000001E-4</v>
      </c>
      <c r="O293" s="182">
        <v>4.3100000000000001E-4</v>
      </c>
      <c r="P293" s="182">
        <v>4.3100000000000001E-4</v>
      </c>
      <c r="R293" s="154" t="str">
        <f t="shared" si="18"/>
        <v>A0071:伊藤忠商事(株)メニューC</v>
      </c>
      <c r="S293" s="182">
        <f t="shared" si="19"/>
        <v>4.2900000000000002E-4</v>
      </c>
    </row>
    <row r="294" spans="2:19">
      <c r="B294" s="124" t="s">
        <v>938</v>
      </c>
      <c r="C294" s="154" t="s">
        <v>939</v>
      </c>
      <c r="D294" s="154" t="str">
        <f t="shared" si="20"/>
        <v>A0429:ニシムラ(株)</v>
      </c>
      <c r="I294" s="124" t="s">
        <v>505</v>
      </c>
      <c r="J294" s="124" t="s">
        <v>1677</v>
      </c>
      <c r="K294" s="182" t="s">
        <v>2010</v>
      </c>
      <c r="L294" s="182">
        <v>4.2900000000000002E-4</v>
      </c>
      <c r="M294" s="182">
        <v>0</v>
      </c>
      <c r="N294" s="182">
        <v>0</v>
      </c>
      <c r="O294" s="182">
        <v>0</v>
      </c>
      <c r="P294" s="182">
        <v>0</v>
      </c>
      <c r="R294" s="154" t="str">
        <f t="shared" si="18"/>
        <v>A0071:伊藤忠商事(株)(参考値)事業者全体</v>
      </c>
      <c r="S294" s="182">
        <f t="shared" si="19"/>
        <v>4.2900000000000002E-4</v>
      </c>
    </row>
    <row r="295" spans="2:19">
      <c r="B295" s="124" t="s">
        <v>940</v>
      </c>
      <c r="C295" s="154" t="s">
        <v>941</v>
      </c>
      <c r="D295" s="154" t="str">
        <f t="shared" si="20"/>
        <v>A0430:(株)さくら新電力</v>
      </c>
      <c r="I295" s="124" t="s">
        <v>506</v>
      </c>
      <c r="J295" s="124" t="s">
        <v>507</v>
      </c>
      <c r="K295" s="182" t="s">
        <v>390</v>
      </c>
      <c r="L295" s="182">
        <v>0</v>
      </c>
      <c r="M295" s="182">
        <v>4.84E-4</v>
      </c>
      <c r="N295" s="182">
        <v>4.84E-4</v>
      </c>
      <c r="O295" s="182">
        <v>4.84E-4</v>
      </c>
      <c r="P295" s="182">
        <v>4.84E-4</v>
      </c>
      <c r="R295" s="154" t="str">
        <f t="shared" si="18"/>
        <v>A0072:(株)エコスタイルメニューA</v>
      </c>
      <c r="S295" s="182">
        <f t="shared" si="19"/>
        <v>0</v>
      </c>
    </row>
    <row r="296" spans="2:19">
      <c r="B296" s="124" t="s">
        <v>942</v>
      </c>
      <c r="C296" s="154" t="s">
        <v>943</v>
      </c>
      <c r="D296" s="154" t="str">
        <f t="shared" si="20"/>
        <v>A0431:(株)グローアップ</v>
      </c>
      <c r="I296" s="124" t="s">
        <v>506</v>
      </c>
      <c r="J296" s="124" t="s">
        <v>507</v>
      </c>
      <c r="K296" s="182" t="s">
        <v>398</v>
      </c>
      <c r="L296" s="182">
        <v>0</v>
      </c>
      <c r="M296" s="182">
        <v>0</v>
      </c>
      <c r="N296" s="182">
        <v>0</v>
      </c>
      <c r="O296" s="182">
        <v>0</v>
      </c>
      <c r="P296" s="182">
        <v>0</v>
      </c>
      <c r="R296" s="154" t="str">
        <f t="shared" si="18"/>
        <v>A0072:(株)エコスタイルメニューB</v>
      </c>
      <c r="S296" s="182">
        <f t="shared" si="19"/>
        <v>0</v>
      </c>
    </row>
    <row r="297" spans="2:19">
      <c r="B297" s="124" t="s">
        <v>944</v>
      </c>
      <c r="C297" s="154" t="s">
        <v>945</v>
      </c>
      <c r="D297" s="154" t="str">
        <f t="shared" si="20"/>
        <v>A0435:いこま市民パワー(株)</v>
      </c>
      <c r="I297" s="124" t="s">
        <v>506</v>
      </c>
      <c r="J297" s="124" t="s">
        <v>507</v>
      </c>
      <c r="K297" s="182" t="s">
        <v>399</v>
      </c>
      <c r="L297" s="182">
        <v>7.4899999999999999E-4</v>
      </c>
      <c r="M297" s="182">
        <v>4.9100000000000001E-4</v>
      </c>
      <c r="N297" s="182">
        <v>4.9100000000000001E-4</v>
      </c>
      <c r="O297" s="182">
        <v>4.9100000000000001E-4</v>
      </c>
      <c r="P297" s="182">
        <v>4.9100000000000001E-4</v>
      </c>
      <c r="R297" s="154" t="str">
        <f t="shared" si="18"/>
        <v>A0072:(株)エコスタイルメニューC</v>
      </c>
      <c r="S297" s="182">
        <f t="shared" si="19"/>
        <v>7.4899999999999999E-4</v>
      </c>
    </row>
    <row r="298" spans="2:19">
      <c r="B298" s="124" t="s">
        <v>946</v>
      </c>
      <c r="C298" s="154" t="s">
        <v>947</v>
      </c>
      <c r="D298" s="154" t="str">
        <f t="shared" si="20"/>
        <v>A0437:おもてなし山形(株)</v>
      </c>
      <c r="I298" s="124" t="s">
        <v>506</v>
      </c>
      <c r="J298" s="124" t="s">
        <v>507</v>
      </c>
      <c r="K298" s="182" t="s">
        <v>2010</v>
      </c>
      <c r="L298" s="182">
        <v>3.8299999999999999E-4</v>
      </c>
      <c r="M298" s="182">
        <v>0</v>
      </c>
      <c r="N298" s="182">
        <v>0</v>
      </c>
      <c r="O298" s="182">
        <v>0</v>
      </c>
      <c r="P298" s="182">
        <v>0</v>
      </c>
      <c r="R298" s="154" t="str">
        <f t="shared" si="18"/>
        <v>A0072:(株)エコスタイル(参考値)事業者全体</v>
      </c>
      <c r="S298" s="182">
        <f t="shared" si="19"/>
        <v>3.8299999999999999E-4</v>
      </c>
    </row>
    <row r="299" spans="2:19">
      <c r="B299" s="124" t="s">
        <v>948</v>
      </c>
      <c r="C299" s="154" t="s">
        <v>949</v>
      </c>
      <c r="D299" s="154" t="str">
        <f t="shared" si="20"/>
        <v>A0438:長野都市ガス(株)</v>
      </c>
      <c r="I299" s="124" t="s">
        <v>510</v>
      </c>
      <c r="J299" s="124" t="s">
        <v>511</v>
      </c>
      <c r="K299" s="182"/>
      <c r="L299" s="182">
        <v>3.5300000000000002E-4</v>
      </c>
      <c r="M299" s="182">
        <v>4.9200000000000003E-4</v>
      </c>
      <c r="N299" s="182">
        <v>4.9200000000000003E-4</v>
      </c>
      <c r="O299" s="182">
        <v>4.9200000000000003E-4</v>
      </c>
      <c r="P299" s="182">
        <v>4.9200000000000003E-4</v>
      </c>
      <c r="R299" s="154" t="str">
        <f t="shared" si="18"/>
        <v>A0074:テプコカスタマーサービス(株)</v>
      </c>
      <c r="S299" s="182">
        <f t="shared" si="19"/>
        <v>3.5300000000000002E-4</v>
      </c>
    </row>
    <row r="300" spans="2:19">
      <c r="B300" s="124" t="s">
        <v>950</v>
      </c>
      <c r="C300" s="154" t="s">
        <v>951</v>
      </c>
      <c r="D300" s="154" t="str">
        <f t="shared" si="20"/>
        <v>A0439:上田ガス(株)</v>
      </c>
      <c r="I300" s="124" t="s">
        <v>512</v>
      </c>
      <c r="J300" s="124" t="s">
        <v>513</v>
      </c>
      <c r="K300" s="182"/>
      <c r="L300" s="182">
        <v>5.22E-4</v>
      </c>
      <c r="M300" s="182">
        <v>0</v>
      </c>
      <c r="N300" s="182">
        <v>0</v>
      </c>
      <c r="O300" s="182">
        <v>0</v>
      </c>
      <c r="P300" s="182">
        <v>0</v>
      </c>
      <c r="R300" s="154" t="str">
        <f t="shared" si="18"/>
        <v>A0075:(株)とんでんホールディングス</v>
      </c>
      <c r="S300" s="182">
        <f t="shared" si="19"/>
        <v>5.22E-4</v>
      </c>
    </row>
    <row r="301" spans="2:19">
      <c r="B301" s="124" t="s">
        <v>952</v>
      </c>
      <c r="C301" s="154" t="s">
        <v>953</v>
      </c>
      <c r="D301" s="154" t="str">
        <f>B301&amp;":"&amp;C301</f>
        <v>A0440:日本瓦斯(株)(旧：東日本ガス(株)、東彩ガス(株)、北日本ガス(株))</v>
      </c>
      <c r="I301" s="124" t="s">
        <v>514</v>
      </c>
      <c r="J301" s="124" t="s">
        <v>515</v>
      </c>
      <c r="K301" s="182" t="s">
        <v>390</v>
      </c>
      <c r="L301" s="182">
        <v>0</v>
      </c>
      <c r="M301" s="182">
        <v>4.8999999999999998E-4</v>
      </c>
      <c r="N301" s="182">
        <v>4.8999999999999998E-4</v>
      </c>
      <c r="O301" s="182">
        <v>4.8999999999999998E-4</v>
      </c>
      <c r="P301" s="182">
        <v>4.8999999999999998E-4</v>
      </c>
      <c r="R301" s="154" t="str">
        <f t="shared" si="18"/>
        <v>A0076:日鉄エンジニアリング(株)メニューA</v>
      </c>
      <c r="S301" s="182">
        <f t="shared" si="19"/>
        <v>0</v>
      </c>
    </row>
    <row r="302" spans="2:19">
      <c r="B302" s="124" t="s">
        <v>954</v>
      </c>
      <c r="C302" s="154" t="s">
        <v>955</v>
      </c>
      <c r="D302" s="154" t="str">
        <f t="shared" ref="D302:D365" si="21">B302&amp;":"&amp;C302</f>
        <v>A0442:(株)シグナストラスト</v>
      </c>
      <c r="I302" s="124" t="s">
        <v>514</v>
      </c>
      <c r="J302" s="124" t="s">
        <v>515</v>
      </c>
      <c r="K302" s="182" t="s">
        <v>398</v>
      </c>
      <c r="L302" s="182">
        <v>0</v>
      </c>
      <c r="M302" s="182">
        <v>0</v>
      </c>
      <c r="N302" s="182">
        <v>0</v>
      </c>
      <c r="O302" s="182">
        <v>0</v>
      </c>
      <c r="P302" s="182">
        <v>0</v>
      </c>
      <c r="R302" s="154" t="str">
        <f t="shared" si="18"/>
        <v>A0076:日鉄エンジニアリング(株)メニューB</v>
      </c>
      <c r="S302" s="182">
        <f t="shared" si="19"/>
        <v>0</v>
      </c>
    </row>
    <row r="303" spans="2:19">
      <c r="B303" s="124" t="s">
        <v>956</v>
      </c>
      <c r="C303" s="154" t="s">
        <v>957</v>
      </c>
      <c r="D303" s="154" t="str">
        <f t="shared" si="21"/>
        <v>A0443:ゲーテハウス(株)</v>
      </c>
      <c r="I303" s="124" t="s">
        <v>514</v>
      </c>
      <c r="J303" s="124" t="s">
        <v>515</v>
      </c>
      <c r="K303" s="182" t="s">
        <v>399</v>
      </c>
      <c r="L303" s="182">
        <v>0</v>
      </c>
      <c r="M303" s="182">
        <v>4.9700000000000005E-4</v>
      </c>
      <c r="N303" s="182">
        <v>4.9700000000000005E-4</v>
      </c>
      <c r="O303" s="182">
        <v>4.9700000000000005E-4</v>
      </c>
      <c r="P303" s="182">
        <v>4.9700000000000005E-4</v>
      </c>
      <c r="R303" s="154" t="str">
        <f t="shared" si="18"/>
        <v>A0076:日鉄エンジニアリング(株)メニューC</v>
      </c>
      <c r="S303" s="182">
        <f t="shared" si="19"/>
        <v>0</v>
      </c>
    </row>
    <row r="304" spans="2:19">
      <c r="B304" s="124" t="s">
        <v>958</v>
      </c>
      <c r="C304" s="154" t="s">
        <v>959</v>
      </c>
      <c r="D304" s="154" t="str">
        <f t="shared" si="21"/>
        <v>A0446:JPエネルギー(株)</v>
      </c>
      <c r="I304" s="124" t="s">
        <v>514</v>
      </c>
      <c r="J304" s="124" t="s">
        <v>515</v>
      </c>
      <c r="K304" s="182" t="s">
        <v>400</v>
      </c>
      <c r="L304" s="182">
        <v>0</v>
      </c>
      <c r="M304" s="182">
        <v>0</v>
      </c>
      <c r="N304" s="182">
        <v>0</v>
      </c>
      <c r="O304" s="182">
        <v>0</v>
      </c>
      <c r="P304" s="182">
        <v>0</v>
      </c>
      <c r="R304" s="154" t="str">
        <f t="shared" si="18"/>
        <v>A0076:日鉄エンジニアリング(株)メニューD</v>
      </c>
      <c r="S304" s="182">
        <f t="shared" si="19"/>
        <v>0</v>
      </c>
    </row>
    <row r="305" spans="2:19">
      <c r="B305" s="124" t="s">
        <v>960</v>
      </c>
      <c r="C305" s="154" t="s">
        <v>961</v>
      </c>
      <c r="D305" s="154" t="str">
        <f t="shared" si="21"/>
        <v>A0447:兵庫電力(株)</v>
      </c>
      <c r="I305" s="124" t="s">
        <v>514</v>
      </c>
      <c r="J305" s="124" t="s">
        <v>515</v>
      </c>
      <c r="K305" s="182" t="s">
        <v>401</v>
      </c>
      <c r="L305" s="182">
        <v>6.2799999999999998E-4</v>
      </c>
      <c r="M305" s="182">
        <v>4.8799999999999999E-4</v>
      </c>
      <c r="N305" s="182">
        <v>4.8799999999999999E-4</v>
      </c>
      <c r="O305" s="182">
        <v>4.8799999999999999E-4</v>
      </c>
      <c r="P305" s="182">
        <v>4.8799999999999999E-4</v>
      </c>
      <c r="R305" s="154" t="str">
        <f t="shared" si="18"/>
        <v>A0076:日鉄エンジニアリング(株)メニューE</v>
      </c>
      <c r="S305" s="182">
        <f t="shared" si="19"/>
        <v>6.2799999999999998E-4</v>
      </c>
    </row>
    <row r="306" spans="2:19">
      <c r="B306" s="124" t="s">
        <v>962</v>
      </c>
      <c r="C306" s="154" t="s">
        <v>963</v>
      </c>
      <c r="D306" s="154" t="str">
        <f t="shared" si="21"/>
        <v>A0448:大和ライフエナジア(株)</v>
      </c>
      <c r="I306" s="124" t="s">
        <v>514</v>
      </c>
      <c r="J306" s="124" t="s">
        <v>515</v>
      </c>
      <c r="K306" s="182" t="s">
        <v>2010</v>
      </c>
      <c r="L306" s="182">
        <v>5.2899999999999996E-4</v>
      </c>
      <c r="M306" s="182">
        <v>4.6200000000000001E-4</v>
      </c>
      <c r="N306" s="182">
        <v>4.6200000000000001E-4</v>
      </c>
      <c r="O306" s="182">
        <v>4.6200000000000001E-4</v>
      </c>
      <c r="P306" s="182">
        <v>4.6200000000000001E-4</v>
      </c>
      <c r="R306" s="154" t="str">
        <f t="shared" si="18"/>
        <v>A0076:日鉄エンジニアリング(株)(参考値)事業者全体</v>
      </c>
      <c r="S306" s="182">
        <f t="shared" si="19"/>
        <v>5.2899999999999996E-4</v>
      </c>
    </row>
    <row r="307" spans="2:19">
      <c r="B307" s="124" t="s">
        <v>964</v>
      </c>
      <c r="C307" s="154" t="s">
        <v>965</v>
      </c>
      <c r="D307" s="154" t="str">
        <f t="shared" si="21"/>
        <v>A0451:Cocoテラスたがわ(株)</v>
      </c>
      <c r="I307" s="124" t="s">
        <v>516</v>
      </c>
      <c r="J307" s="124" t="s">
        <v>517</v>
      </c>
      <c r="K307" s="182" t="s">
        <v>390</v>
      </c>
      <c r="L307" s="182">
        <v>0</v>
      </c>
      <c r="M307" s="182">
        <v>4.7600000000000002E-4</v>
      </c>
      <c r="N307" s="182">
        <v>4.7600000000000002E-4</v>
      </c>
      <c r="O307" s="182">
        <v>4.7600000000000002E-4</v>
      </c>
      <c r="P307" s="182">
        <v>4.7600000000000002E-4</v>
      </c>
      <c r="R307" s="154" t="str">
        <f t="shared" si="18"/>
        <v>A0077:auエネルギー＆ライフ(株)メニューA</v>
      </c>
      <c r="S307" s="182">
        <f t="shared" si="19"/>
        <v>0</v>
      </c>
    </row>
    <row r="308" spans="2:19">
      <c r="B308" s="124" t="s">
        <v>966</v>
      </c>
      <c r="C308" s="154" t="s">
        <v>967</v>
      </c>
      <c r="D308" s="154" t="str">
        <f t="shared" si="21"/>
        <v>A0452:東北電力エナジートレーディング(株)</v>
      </c>
      <c r="I308" s="124" t="s">
        <v>516</v>
      </c>
      <c r="J308" s="124" t="s">
        <v>517</v>
      </c>
      <c r="K308" s="182" t="s">
        <v>398</v>
      </c>
      <c r="L308" s="182">
        <v>0</v>
      </c>
      <c r="M308" s="182">
        <v>0</v>
      </c>
      <c r="N308" s="182">
        <v>0</v>
      </c>
      <c r="O308" s="182">
        <v>0</v>
      </c>
      <c r="P308" s="182">
        <v>0</v>
      </c>
      <c r="R308" s="154" t="str">
        <f t="shared" si="18"/>
        <v>A0077:auエネルギー＆ライフ(株)メニューB</v>
      </c>
      <c r="S308" s="182">
        <f t="shared" si="19"/>
        <v>0</v>
      </c>
    </row>
    <row r="309" spans="2:19">
      <c r="B309" s="124" t="s">
        <v>968</v>
      </c>
      <c r="C309" s="154" t="s">
        <v>969</v>
      </c>
      <c r="D309" s="154" t="str">
        <f t="shared" si="21"/>
        <v>A0453:(株)横浜環境デザイン</v>
      </c>
      <c r="I309" s="124" t="s">
        <v>516</v>
      </c>
      <c r="J309" s="124" t="s">
        <v>517</v>
      </c>
      <c r="K309" s="182" t="s">
        <v>399</v>
      </c>
      <c r="L309" s="182">
        <v>5.53E-4</v>
      </c>
      <c r="M309" s="182">
        <v>2.9E-4</v>
      </c>
      <c r="N309" s="182">
        <v>2.9E-4</v>
      </c>
      <c r="O309" s="182">
        <v>2.9E-4</v>
      </c>
      <c r="P309" s="182">
        <v>2.9E-4</v>
      </c>
      <c r="R309" s="154" t="str">
        <f t="shared" si="18"/>
        <v>A0077:auエネルギー＆ライフ(株)メニューC</v>
      </c>
      <c r="S309" s="182">
        <f t="shared" si="19"/>
        <v>5.53E-4</v>
      </c>
    </row>
    <row r="310" spans="2:19">
      <c r="B310" s="124" t="s">
        <v>970</v>
      </c>
      <c r="C310" s="154" t="s">
        <v>971</v>
      </c>
      <c r="D310" s="154" t="str">
        <f t="shared" si="21"/>
        <v>A0454:(株)まち未来製作所</v>
      </c>
      <c r="I310" s="124" t="s">
        <v>516</v>
      </c>
      <c r="J310" s="124" t="s">
        <v>517</v>
      </c>
      <c r="K310" s="182" t="s">
        <v>2010</v>
      </c>
      <c r="L310" s="182">
        <v>5.31E-4</v>
      </c>
      <c r="M310" s="182">
        <v>3.1599999999999998E-4</v>
      </c>
      <c r="N310" s="182">
        <v>3.1599999999999998E-4</v>
      </c>
      <c r="O310" s="182">
        <v>3.1599999999999998E-4</v>
      </c>
      <c r="P310" s="182">
        <v>3.1599999999999998E-4</v>
      </c>
      <c r="R310" s="154" t="str">
        <f t="shared" si="18"/>
        <v>A0077:auエネルギー＆ライフ(株)(参考値)事業者全体</v>
      </c>
      <c r="S310" s="182">
        <f t="shared" si="19"/>
        <v>5.31E-4</v>
      </c>
    </row>
    <row r="311" spans="2:19">
      <c r="B311" s="124" t="s">
        <v>972</v>
      </c>
      <c r="C311" s="154" t="s">
        <v>973</v>
      </c>
      <c r="D311" s="154" t="str">
        <f t="shared" si="21"/>
        <v>A0455:TRENDE(株)</v>
      </c>
      <c r="I311" s="124" t="s">
        <v>518</v>
      </c>
      <c r="J311" s="124" t="s">
        <v>519</v>
      </c>
      <c r="K311" s="182"/>
      <c r="L311" s="182">
        <v>5.0500000000000002E-4</v>
      </c>
      <c r="M311" s="182">
        <v>2.5500000000000002E-4</v>
      </c>
      <c r="N311" s="182">
        <v>2.5500000000000002E-4</v>
      </c>
      <c r="O311" s="182">
        <v>2.5500000000000002E-4</v>
      </c>
      <c r="P311" s="182">
        <v>2.5500000000000002E-4</v>
      </c>
      <c r="R311" s="154" t="str">
        <f t="shared" si="18"/>
        <v>A0079:イワタニ関東(株)</v>
      </c>
      <c r="S311" s="182">
        <f t="shared" si="19"/>
        <v>5.0500000000000002E-4</v>
      </c>
    </row>
    <row r="312" spans="2:19">
      <c r="B312" s="124" t="s">
        <v>974</v>
      </c>
      <c r="C312" s="154" t="s">
        <v>975</v>
      </c>
      <c r="D312" s="154" t="str">
        <f t="shared" si="21"/>
        <v>A0456:(株)どさんこパワー</v>
      </c>
      <c r="I312" s="124" t="s">
        <v>520</v>
      </c>
      <c r="J312" s="124" t="s">
        <v>521</v>
      </c>
      <c r="K312" s="182"/>
      <c r="L312" s="182">
        <v>4.7399999999999997E-4</v>
      </c>
      <c r="M312" s="182">
        <v>3.7300000000000001E-4</v>
      </c>
      <c r="N312" s="182">
        <v>3.7300000000000001E-4</v>
      </c>
      <c r="O312" s="182">
        <v>3.7300000000000001E-4</v>
      </c>
      <c r="P312" s="182">
        <v>3.7300000000000001E-4</v>
      </c>
      <c r="R312" s="154" t="str">
        <f t="shared" si="18"/>
        <v>A0080:イワタニ首都圏(株)</v>
      </c>
      <c r="S312" s="182">
        <f t="shared" si="19"/>
        <v>4.7399999999999997E-4</v>
      </c>
    </row>
    <row r="313" spans="2:19">
      <c r="B313" s="124" t="s">
        <v>976</v>
      </c>
      <c r="C313" s="154" t="s">
        <v>977</v>
      </c>
      <c r="D313" s="154" t="str">
        <f t="shared" si="21"/>
        <v>A0457:トリニティエナジー(株)</v>
      </c>
      <c r="I313" s="124" t="s">
        <v>522</v>
      </c>
      <c r="J313" s="124" t="s">
        <v>523</v>
      </c>
      <c r="K313" s="182" t="s">
        <v>390</v>
      </c>
      <c r="L313" s="182">
        <v>0</v>
      </c>
      <c r="M313" s="182">
        <v>3.6200000000000002E-4</v>
      </c>
      <c r="N313" s="182">
        <v>3.6200000000000002E-4</v>
      </c>
      <c r="O313" s="182">
        <v>3.6200000000000002E-4</v>
      </c>
      <c r="P313" s="182">
        <v>3.6200000000000002E-4</v>
      </c>
      <c r="R313" s="154" t="str">
        <f t="shared" si="18"/>
        <v>A0081:サーラeエナジー(株)メニューA</v>
      </c>
      <c r="S313" s="182">
        <f t="shared" si="19"/>
        <v>0</v>
      </c>
    </row>
    <row r="314" spans="2:19">
      <c r="B314" s="124" t="s">
        <v>978</v>
      </c>
      <c r="C314" s="154" t="s">
        <v>979</v>
      </c>
      <c r="D314" s="154" t="str">
        <f t="shared" si="21"/>
        <v>A0458:ワンワールドエナジー(株)</v>
      </c>
      <c r="I314" s="124" t="s">
        <v>522</v>
      </c>
      <c r="J314" s="124" t="s">
        <v>523</v>
      </c>
      <c r="K314" s="182" t="s">
        <v>398</v>
      </c>
      <c r="L314" s="182">
        <v>3.8700000000000003E-4</v>
      </c>
      <c r="M314" s="182">
        <v>3.9199999999999999E-4</v>
      </c>
      <c r="N314" s="182">
        <v>3.9199999999999999E-4</v>
      </c>
      <c r="O314" s="182">
        <v>3.9199999999999999E-4</v>
      </c>
      <c r="P314" s="182">
        <v>3.9199999999999999E-4</v>
      </c>
      <c r="R314" s="154" t="str">
        <f t="shared" si="18"/>
        <v>A0081:サーラeエナジー(株)メニューB</v>
      </c>
      <c r="S314" s="182">
        <f t="shared" si="19"/>
        <v>3.8700000000000003E-4</v>
      </c>
    </row>
    <row r="315" spans="2:19">
      <c r="B315" s="124" t="s">
        <v>980</v>
      </c>
      <c r="C315" s="154" t="s">
        <v>981</v>
      </c>
      <c r="D315" s="154" t="str">
        <f t="shared" si="21"/>
        <v>A0461:(株)LIXIL TEPCO スマートパートナーズ</v>
      </c>
      <c r="I315" s="124" t="s">
        <v>522</v>
      </c>
      <c r="J315" s="124" t="s">
        <v>523</v>
      </c>
      <c r="K315" s="182" t="s">
        <v>399</v>
      </c>
      <c r="L315" s="182">
        <v>3.4099999999999999E-4</v>
      </c>
      <c r="M315" s="182">
        <v>4.2900000000000002E-4</v>
      </c>
      <c r="N315" s="182">
        <v>4.2900000000000002E-4</v>
      </c>
      <c r="O315" s="182">
        <v>4.2900000000000002E-4</v>
      </c>
      <c r="P315" s="182">
        <v>4.2900000000000002E-4</v>
      </c>
      <c r="R315" s="154" t="str">
        <f t="shared" si="18"/>
        <v>A0081:サーラeエナジー(株)メニューC</v>
      </c>
      <c r="S315" s="182">
        <f t="shared" si="19"/>
        <v>3.4099999999999999E-4</v>
      </c>
    </row>
    <row r="316" spans="2:19">
      <c r="B316" s="124" t="s">
        <v>982</v>
      </c>
      <c r="C316" s="154" t="s">
        <v>983</v>
      </c>
      <c r="D316" s="154" t="str">
        <f t="shared" si="21"/>
        <v>A0463:(株)NEXT ONE</v>
      </c>
      <c r="I316" s="124" t="s">
        <v>522</v>
      </c>
      <c r="J316" s="124" t="s">
        <v>523</v>
      </c>
      <c r="K316" s="182" t="s">
        <v>2010</v>
      </c>
      <c r="L316" s="182">
        <v>3.3700000000000001E-4</v>
      </c>
      <c r="M316" s="182">
        <v>0</v>
      </c>
      <c r="N316" s="182">
        <v>0</v>
      </c>
      <c r="O316" s="182">
        <v>0</v>
      </c>
      <c r="P316" s="182">
        <v>0</v>
      </c>
      <c r="R316" s="154" t="str">
        <f t="shared" si="18"/>
        <v>A0081:サーラeエナジー(株)(参考値)事業者全体</v>
      </c>
      <c r="S316" s="182">
        <f t="shared" si="19"/>
        <v>3.3700000000000001E-4</v>
      </c>
    </row>
    <row r="317" spans="2:19">
      <c r="B317" s="124" t="s">
        <v>984</v>
      </c>
      <c r="C317" s="154" t="s">
        <v>985</v>
      </c>
      <c r="D317" s="154" t="str">
        <f t="shared" si="21"/>
        <v>A0465:(株)ムダカラ</v>
      </c>
      <c r="I317" s="124" t="s">
        <v>524</v>
      </c>
      <c r="J317" s="124" t="s">
        <v>525</v>
      </c>
      <c r="K317" s="182" t="s">
        <v>390</v>
      </c>
      <c r="L317" s="182">
        <v>0</v>
      </c>
      <c r="M317" s="182">
        <v>0</v>
      </c>
      <c r="N317" s="182">
        <v>0</v>
      </c>
      <c r="O317" s="182">
        <v>0</v>
      </c>
      <c r="P317" s="182">
        <v>0</v>
      </c>
      <c r="R317" s="154" t="str">
        <f t="shared" si="18"/>
        <v>A0082:(株)地球クラブメニューA</v>
      </c>
      <c r="S317" s="182">
        <f t="shared" si="19"/>
        <v>0</v>
      </c>
    </row>
    <row r="318" spans="2:19">
      <c r="B318" s="124" t="s">
        <v>986</v>
      </c>
      <c r="C318" s="154" t="s">
        <v>987</v>
      </c>
      <c r="D318" s="154" t="str">
        <f t="shared" si="21"/>
        <v>A0467:(株)アルファライズ</v>
      </c>
      <c r="I318" s="124" t="s">
        <v>524</v>
      </c>
      <c r="J318" s="124" t="s">
        <v>525</v>
      </c>
      <c r="K318" s="182" t="s">
        <v>398</v>
      </c>
      <c r="L318" s="182">
        <v>4.1300000000000001E-4</v>
      </c>
      <c r="M318" s="182">
        <v>0</v>
      </c>
      <c r="N318" s="182">
        <v>0</v>
      </c>
      <c r="O318" s="182">
        <v>0</v>
      </c>
      <c r="P318" s="182">
        <v>0</v>
      </c>
      <c r="R318" s="154" t="str">
        <f t="shared" si="18"/>
        <v>A0082:(株)地球クラブメニューB</v>
      </c>
      <c r="S318" s="182">
        <f t="shared" si="19"/>
        <v>4.1300000000000001E-4</v>
      </c>
    </row>
    <row r="319" spans="2:19">
      <c r="B319" s="124" t="s">
        <v>988</v>
      </c>
      <c r="C319" s="154" t="s">
        <v>989</v>
      </c>
      <c r="D319" s="154" t="str">
        <f t="shared" si="21"/>
        <v>A0468:おおすみ半島スマートエネルギー(株)</v>
      </c>
      <c r="I319" s="124" t="s">
        <v>524</v>
      </c>
      <c r="J319" s="124" t="s">
        <v>525</v>
      </c>
      <c r="K319" s="182" t="s">
        <v>399</v>
      </c>
      <c r="L319" s="182">
        <v>5.6400000000000005E-4</v>
      </c>
      <c r="M319" s="182">
        <v>0</v>
      </c>
      <c r="N319" s="182">
        <v>0</v>
      </c>
      <c r="O319" s="182">
        <v>0</v>
      </c>
      <c r="P319" s="182">
        <v>0</v>
      </c>
      <c r="R319" s="154" t="str">
        <f t="shared" si="18"/>
        <v>A0082:(株)地球クラブメニューC</v>
      </c>
      <c r="S319" s="182">
        <f t="shared" si="19"/>
        <v>5.6400000000000005E-4</v>
      </c>
    </row>
    <row r="320" spans="2:19">
      <c r="B320" s="124" t="s">
        <v>990</v>
      </c>
      <c r="C320" s="154" t="s">
        <v>991</v>
      </c>
      <c r="D320" s="154" t="str">
        <f t="shared" si="21"/>
        <v>A0470:おきなわコープエナジー(株)</v>
      </c>
      <c r="I320" s="124" t="s">
        <v>524</v>
      </c>
      <c r="J320" s="124" t="s">
        <v>525</v>
      </c>
      <c r="K320" s="182" t="s">
        <v>2010</v>
      </c>
      <c r="L320" s="182">
        <v>4.2700000000000002E-4</v>
      </c>
      <c r="M320" s="182">
        <v>0</v>
      </c>
      <c r="N320" s="182">
        <v>0</v>
      </c>
      <c r="O320" s="182">
        <v>0</v>
      </c>
      <c r="P320" s="182">
        <v>0</v>
      </c>
      <c r="R320" s="154" t="str">
        <f t="shared" si="18"/>
        <v>A0082:(株)地球クラブ(参考値)事業者全体</v>
      </c>
      <c r="S320" s="182">
        <f t="shared" si="19"/>
        <v>4.2700000000000002E-4</v>
      </c>
    </row>
    <row r="321" spans="2:19">
      <c r="B321" s="124" t="s">
        <v>992</v>
      </c>
      <c r="C321" s="154" t="s">
        <v>993</v>
      </c>
      <c r="D321" s="154" t="str">
        <f t="shared" si="21"/>
        <v>A0471:久慈地域エネルギー(株)</v>
      </c>
      <c r="I321" s="124" t="s">
        <v>526</v>
      </c>
      <c r="J321" s="124" t="s">
        <v>527</v>
      </c>
      <c r="K321" s="182" t="s">
        <v>390</v>
      </c>
      <c r="L321" s="182">
        <v>0</v>
      </c>
      <c r="M321" s="182">
        <v>0</v>
      </c>
      <c r="N321" s="182">
        <v>0</v>
      </c>
      <c r="O321" s="182">
        <v>0</v>
      </c>
      <c r="P321" s="182">
        <v>0</v>
      </c>
      <c r="R321" s="154" t="str">
        <f t="shared" si="18"/>
        <v>A0084:西部瓦斯(株)メニューA</v>
      </c>
      <c r="S321" s="182">
        <f t="shared" si="19"/>
        <v>0</v>
      </c>
    </row>
    <row r="322" spans="2:19">
      <c r="B322" s="124" t="s">
        <v>994</v>
      </c>
      <c r="C322" s="154" t="s">
        <v>995</v>
      </c>
      <c r="D322" s="154" t="str">
        <f t="shared" si="21"/>
        <v>A0472:弘前ガス(株)</v>
      </c>
      <c r="I322" s="124" t="s">
        <v>526</v>
      </c>
      <c r="J322" s="124" t="s">
        <v>527</v>
      </c>
      <c r="K322" s="182" t="s">
        <v>2010</v>
      </c>
      <c r="L322" s="182">
        <v>5.5599999999999996E-4</v>
      </c>
      <c r="M322" s="182">
        <v>0</v>
      </c>
      <c r="N322" s="182">
        <v>0</v>
      </c>
      <c r="O322" s="182">
        <v>0</v>
      </c>
      <c r="P322" s="182">
        <v>0</v>
      </c>
      <c r="R322" s="154" t="str">
        <f t="shared" si="18"/>
        <v>A0084:西部瓦斯(株)(参考値)事業者全体</v>
      </c>
      <c r="S322" s="182">
        <f t="shared" si="19"/>
        <v>5.5599999999999996E-4</v>
      </c>
    </row>
    <row r="323" spans="2:19">
      <c r="B323" s="124" t="s">
        <v>996</v>
      </c>
      <c r="C323" s="154" t="s">
        <v>997</v>
      </c>
      <c r="D323" s="154" t="str">
        <f t="shared" si="21"/>
        <v>A0473:(株)フォーバルテレコム　</v>
      </c>
      <c r="I323" s="124" t="s">
        <v>528</v>
      </c>
      <c r="J323" s="124" t="s">
        <v>1678</v>
      </c>
      <c r="K323" s="182" t="s">
        <v>390</v>
      </c>
      <c r="L323" s="182">
        <v>3.2000000000000003E-4</v>
      </c>
      <c r="M323" s="182">
        <v>0</v>
      </c>
      <c r="N323" s="182">
        <v>0</v>
      </c>
      <c r="O323" s="182">
        <v>0</v>
      </c>
      <c r="P323" s="182">
        <v>0</v>
      </c>
      <c r="R323" s="154" t="str">
        <f t="shared" si="18"/>
        <v>A0085:東邦ガス(株)メニューA</v>
      </c>
      <c r="S323" s="182">
        <f t="shared" si="19"/>
        <v>3.2000000000000003E-4</v>
      </c>
    </row>
    <row r="324" spans="2:19">
      <c r="B324" s="124" t="s">
        <v>998</v>
      </c>
      <c r="C324" s="154" t="s">
        <v>999</v>
      </c>
      <c r="D324" s="154" t="str">
        <f t="shared" si="21"/>
        <v>A0476:(株)ストエネ（旧:(株)グランデータ）</v>
      </c>
      <c r="I324" s="124" t="s">
        <v>528</v>
      </c>
      <c r="J324" s="124" t="s">
        <v>1678</v>
      </c>
      <c r="K324" s="182" t="s">
        <v>398</v>
      </c>
      <c r="L324" s="182">
        <v>0</v>
      </c>
      <c r="M324" s="182">
        <v>0</v>
      </c>
      <c r="N324" s="182">
        <v>0</v>
      </c>
      <c r="O324" s="182">
        <v>0</v>
      </c>
      <c r="P324" s="182">
        <v>0</v>
      </c>
      <c r="R324" s="154" t="str">
        <f t="shared" si="18"/>
        <v>A0085:東邦ガス(株)メニューB</v>
      </c>
      <c r="S324" s="182">
        <f t="shared" si="19"/>
        <v>0</v>
      </c>
    </row>
    <row r="325" spans="2:19">
      <c r="B325" s="124" t="s">
        <v>1000</v>
      </c>
      <c r="C325" s="154" t="s">
        <v>1001</v>
      </c>
      <c r="D325" s="154" t="str">
        <f t="shared" si="21"/>
        <v>A0477:くるめエネルギー(株)</v>
      </c>
      <c r="I325" s="124" t="s">
        <v>528</v>
      </c>
      <c r="J325" s="124" t="s">
        <v>1678</v>
      </c>
      <c r="K325" s="182" t="s">
        <v>399</v>
      </c>
      <c r="L325" s="182">
        <v>5.0699999999999996E-4</v>
      </c>
      <c r="M325" s="182">
        <v>0</v>
      </c>
      <c r="N325" s="182">
        <v>0</v>
      </c>
      <c r="O325" s="182">
        <v>0</v>
      </c>
      <c r="P325" s="182">
        <v>0</v>
      </c>
      <c r="R325" s="154" t="str">
        <f t="shared" si="18"/>
        <v>A0085:東邦ガス(株)メニューC</v>
      </c>
      <c r="S325" s="182">
        <f t="shared" si="19"/>
        <v>5.0699999999999996E-4</v>
      </c>
    </row>
    <row r="326" spans="2:19">
      <c r="B326" s="124" t="s">
        <v>1002</v>
      </c>
      <c r="C326" s="154" t="s">
        <v>1003</v>
      </c>
      <c r="D326" s="154" t="str">
        <f t="shared" si="21"/>
        <v>A0480:松阪新電力(株)</v>
      </c>
      <c r="I326" s="124" t="s">
        <v>528</v>
      </c>
      <c r="J326" s="124" t="s">
        <v>1678</v>
      </c>
      <c r="K326" s="182" t="s">
        <v>2010</v>
      </c>
      <c r="L326" s="182">
        <v>4.6999999999999999E-4</v>
      </c>
      <c r="M326" s="182">
        <v>2.1800000000000001E-4</v>
      </c>
      <c r="N326" s="182">
        <v>2.1800000000000001E-4</v>
      </c>
      <c r="O326" s="182">
        <v>2.1800000000000001E-4</v>
      </c>
      <c r="P326" s="182">
        <v>2.1800000000000001E-4</v>
      </c>
      <c r="R326" s="154" t="str">
        <f t="shared" si="18"/>
        <v>A0085:東邦ガス(株)(参考値)事業者全体</v>
      </c>
      <c r="S326" s="182">
        <f t="shared" si="19"/>
        <v>4.6999999999999999E-4</v>
      </c>
    </row>
    <row r="327" spans="2:19">
      <c r="B327" s="124" t="s">
        <v>1004</v>
      </c>
      <c r="C327" s="154" t="s">
        <v>1005</v>
      </c>
      <c r="D327" s="154" t="str">
        <f t="shared" si="21"/>
        <v>A0481:ヒューリックプロパティソリューション(株)</v>
      </c>
      <c r="I327" s="124" t="s">
        <v>529</v>
      </c>
      <c r="J327" s="124" t="s">
        <v>530</v>
      </c>
      <c r="K327" s="182" t="s">
        <v>390</v>
      </c>
      <c r="L327" s="182">
        <v>0</v>
      </c>
      <c r="M327" s="182">
        <v>5.4299999999999997E-4</v>
      </c>
      <c r="N327" s="182">
        <v>5.4299999999999997E-4</v>
      </c>
      <c r="O327" s="182">
        <v>5.4299999999999997E-4</v>
      </c>
      <c r="P327" s="182">
        <v>5.4299999999999997E-4</v>
      </c>
      <c r="R327" s="154" t="str">
        <f t="shared" si="18"/>
        <v>A0086:シナネン(株)メニューA</v>
      </c>
      <c r="S327" s="182">
        <f t="shared" si="19"/>
        <v>0</v>
      </c>
    </row>
    <row r="328" spans="2:19">
      <c r="B328" s="124" t="s">
        <v>1006</v>
      </c>
      <c r="C328" s="154" t="s">
        <v>1007</v>
      </c>
      <c r="D328" s="154" t="str">
        <f t="shared" si="21"/>
        <v>A0482:宮崎電力(株)</v>
      </c>
      <c r="I328" s="124" t="s">
        <v>529</v>
      </c>
      <c r="J328" s="124" t="s">
        <v>530</v>
      </c>
      <c r="K328" s="182" t="s">
        <v>398</v>
      </c>
      <c r="L328" s="182">
        <v>1.25E-4</v>
      </c>
      <c r="M328" s="182">
        <v>5.6599999999999999E-4</v>
      </c>
      <c r="N328" s="182">
        <v>5.6599999999999999E-4</v>
      </c>
      <c r="O328" s="182">
        <v>5.6599999999999999E-4</v>
      </c>
      <c r="P328" s="182">
        <v>5.6599999999999999E-4</v>
      </c>
      <c r="R328" s="154" t="str">
        <f t="shared" si="18"/>
        <v>A0086:シナネン(株)メニューB</v>
      </c>
      <c r="S328" s="182">
        <f t="shared" si="19"/>
        <v>1.25E-4</v>
      </c>
    </row>
    <row r="329" spans="2:19">
      <c r="B329" s="124" t="s">
        <v>1008</v>
      </c>
      <c r="C329" s="154" t="s">
        <v>1009</v>
      </c>
      <c r="D329" s="154" t="str">
        <f t="shared" si="21"/>
        <v>A0490:(株)CDエナジーダイレクト</v>
      </c>
      <c r="I329" s="124" t="s">
        <v>529</v>
      </c>
      <c r="J329" s="124" t="s">
        <v>530</v>
      </c>
      <c r="K329" s="182" t="s">
        <v>399</v>
      </c>
      <c r="L329" s="182">
        <v>1.7799999999999999E-4</v>
      </c>
      <c r="M329" s="182">
        <v>0</v>
      </c>
      <c r="N329" s="182">
        <v>0</v>
      </c>
      <c r="O329" s="182">
        <v>0</v>
      </c>
      <c r="P329" s="182">
        <v>0</v>
      </c>
      <c r="R329" s="154" t="str">
        <f t="shared" si="18"/>
        <v>A0086:シナネン(株)メニューC</v>
      </c>
      <c r="S329" s="182">
        <f t="shared" si="19"/>
        <v>1.7799999999999999E-4</v>
      </c>
    </row>
    <row r="330" spans="2:19">
      <c r="B330" s="124" t="s">
        <v>1010</v>
      </c>
      <c r="C330" s="154" t="s">
        <v>1011</v>
      </c>
      <c r="D330" s="154" t="str">
        <f t="shared" si="21"/>
        <v>A0491:Q.ENESTでんき(株)</v>
      </c>
      <c r="I330" s="124" t="s">
        <v>529</v>
      </c>
      <c r="J330" s="124" t="s">
        <v>530</v>
      </c>
      <c r="K330" s="182" t="s">
        <v>400</v>
      </c>
      <c r="L330" s="182">
        <v>2.4699999999999999E-4</v>
      </c>
      <c r="M330" s="182">
        <v>1.6700000000000002E-4</v>
      </c>
      <c r="N330" s="182">
        <v>1.6700000000000002E-4</v>
      </c>
      <c r="O330" s="182">
        <v>1.6700000000000002E-4</v>
      </c>
      <c r="P330" s="182">
        <v>1.6700000000000002E-4</v>
      </c>
      <c r="R330" s="154" t="str">
        <f t="shared" ref="R330:R393" si="22">I330&amp;":"&amp;J330&amp;K330</f>
        <v>A0086:シナネン(株)メニューD</v>
      </c>
      <c r="S330" s="182">
        <f t="shared" ref="S330:S393" si="23">HLOOKUP($S$8,$L$8:$P$1500,ROW()-7,FALSE)</f>
        <v>2.4699999999999999E-4</v>
      </c>
    </row>
    <row r="331" spans="2:19">
      <c r="B331" s="124" t="s">
        <v>1012</v>
      </c>
      <c r="C331" s="154" t="s">
        <v>1013</v>
      </c>
      <c r="D331" s="154" t="str">
        <f t="shared" si="21"/>
        <v>A0493:(株)ぶんごおおのエナジー</v>
      </c>
      <c r="I331" s="124" t="s">
        <v>529</v>
      </c>
      <c r="J331" s="124" t="s">
        <v>530</v>
      </c>
      <c r="K331" s="182" t="s">
        <v>401</v>
      </c>
      <c r="L331" s="182">
        <v>3.8099999999999999E-4</v>
      </c>
      <c r="M331" s="182">
        <v>2.5300000000000002E-4</v>
      </c>
      <c r="N331" s="182">
        <v>2.5300000000000002E-4</v>
      </c>
      <c r="O331" s="182">
        <v>2.5300000000000002E-4</v>
      </c>
      <c r="P331" s="182">
        <v>2.5300000000000002E-4</v>
      </c>
      <c r="R331" s="154" t="str">
        <f t="shared" si="22"/>
        <v>A0086:シナネン(株)メニューE</v>
      </c>
      <c r="S331" s="182">
        <f t="shared" si="23"/>
        <v>3.8099999999999999E-4</v>
      </c>
    </row>
    <row r="332" spans="2:19">
      <c r="B332" s="124" t="s">
        <v>1014</v>
      </c>
      <c r="C332" s="154" t="s">
        <v>1015</v>
      </c>
      <c r="D332" s="154" t="str">
        <f t="shared" si="21"/>
        <v>A0494:ヴィジョナリーパワー(株)</v>
      </c>
      <c r="I332" s="124" t="s">
        <v>529</v>
      </c>
      <c r="J332" s="124" t="s">
        <v>530</v>
      </c>
      <c r="K332" s="182" t="s">
        <v>414</v>
      </c>
      <c r="L332" s="182">
        <v>2.9E-4</v>
      </c>
      <c r="M332" s="182">
        <v>2.7400000000000005E-4</v>
      </c>
      <c r="N332" s="182">
        <v>2.7400000000000005E-4</v>
      </c>
      <c r="O332" s="182">
        <v>2.7400000000000005E-4</v>
      </c>
      <c r="P332" s="182">
        <v>2.7400000000000005E-4</v>
      </c>
      <c r="R332" s="154" t="str">
        <f t="shared" si="22"/>
        <v>A0086:シナネン(株)メニューF</v>
      </c>
      <c r="S332" s="182">
        <f t="shared" si="23"/>
        <v>2.9E-4</v>
      </c>
    </row>
    <row r="333" spans="2:19">
      <c r="B333" s="124" t="s">
        <v>1016</v>
      </c>
      <c r="C333" s="154" t="s">
        <v>1017</v>
      </c>
      <c r="D333" s="154" t="str">
        <f t="shared" si="21"/>
        <v>A0495:有明エナジー(株)</v>
      </c>
      <c r="I333" s="124" t="s">
        <v>529</v>
      </c>
      <c r="J333" s="124" t="s">
        <v>530</v>
      </c>
      <c r="K333" s="182" t="s">
        <v>415</v>
      </c>
      <c r="L333" s="182">
        <v>3.9000000000000005E-4</v>
      </c>
      <c r="M333" s="182">
        <v>2.9500000000000001E-4</v>
      </c>
      <c r="N333" s="182">
        <v>2.9500000000000001E-4</v>
      </c>
      <c r="O333" s="182">
        <v>2.9500000000000001E-4</v>
      </c>
      <c r="P333" s="182">
        <v>2.9500000000000001E-4</v>
      </c>
      <c r="R333" s="154" t="str">
        <f t="shared" si="22"/>
        <v>A0086:シナネン(株)メニューG</v>
      </c>
      <c r="S333" s="182">
        <f t="shared" si="23"/>
        <v>3.9000000000000005E-4</v>
      </c>
    </row>
    <row r="334" spans="2:19">
      <c r="B334" s="124" t="s">
        <v>1018</v>
      </c>
      <c r="C334" s="154" t="s">
        <v>1019</v>
      </c>
      <c r="D334" s="154" t="str">
        <f t="shared" si="21"/>
        <v>A0499:厚木瓦斯(株)</v>
      </c>
      <c r="I334" s="124" t="s">
        <v>529</v>
      </c>
      <c r="J334" s="124" t="s">
        <v>530</v>
      </c>
      <c r="K334" s="182" t="s">
        <v>416</v>
      </c>
      <c r="L334" s="182">
        <v>4.2900000000000002E-4</v>
      </c>
      <c r="M334" s="182">
        <v>3.8700000000000003E-4</v>
      </c>
      <c r="N334" s="182">
        <v>3.8700000000000003E-4</v>
      </c>
      <c r="O334" s="182">
        <v>3.8700000000000003E-4</v>
      </c>
      <c r="P334" s="182">
        <v>3.8700000000000003E-4</v>
      </c>
      <c r="R334" s="154" t="str">
        <f t="shared" si="22"/>
        <v>A0086:シナネン(株)メニューH</v>
      </c>
      <c r="S334" s="182">
        <f t="shared" si="23"/>
        <v>4.2900000000000002E-4</v>
      </c>
    </row>
    <row r="335" spans="2:19">
      <c r="B335" s="124" t="s">
        <v>1020</v>
      </c>
      <c r="C335" s="154" t="s">
        <v>1021</v>
      </c>
      <c r="D335" s="154" t="str">
        <f t="shared" si="21"/>
        <v>A0500:(株)エネ・ビジョン</v>
      </c>
      <c r="I335" s="124" t="s">
        <v>529</v>
      </c>
      <c r="J335" s="124" t="s">
        <v>530</v>
      </c>
      <c r="K335" s="182" t="s">
        <v>2010</v>
      </c>
      <c r="L335" s="182">
        <v>5.8399999999999999E-4</v>
      </c>
      <c r="M335" s="182">
        <v>0</v>
      </c>
      <c r="N335" s="182">
        <v>0</v>
      </c>
      <c r="O335" s="182">
        <v>0</v>
      </c>
      <c r="P335" s="182">
        <v>0</v>
      </c>
      <c r="R335" s="154" t="str">
        <f t="shared" si="22"/>
        <v>A0086:シナネン(株)(参考値)事業者全体</v>
      </c>
      <c r="S335" s="182">
        <f t="shared" si="23"/>
        <v>5.8399999999999999E-4</v>
      </c>
    </row>
    <row r="336" spans="2:19">
      <c r="B336" s="124" t="s">
        <v>1022</v>
      </c>
      <c r="C336" s="154" t="s">
        <v>1023</v>
      </c>
      <c r="D336" s="154" t="str">
        <f t="shared" si="21"/>
        <v>A0501:イワタニ三重(株)</v>
      </c>
      <c r="I336" s="124" t="s">
        <v>531</v>
      </c>
      <c r="J336" s="124" t="s">
        <v>532</v>
      </c>
      <c r="K336" s="182" t="s">
        <v>390</v>
      </c>
      <c r="L336" s="182">
        <v>0</v>
      </c>
      <c r="M336" s="182">
        <v>0</v>
      </c>
      <c r="N336" s="182">
        <v>0</v>
      </c>
      <c r="O336" s="182">
        <v>0</v>
      </c>
      <c r="P336" s="182">
        <v>0</v>
      </c>
      <c r="R336" s="154" t="str">
        <f t="shared" si="22"/>
        <v>A0088:カワサキグリーンエナジー(株)メニューA</v>
      </c>
      <c r="S336" s="182">
        <f t="shared" si="23"/>
        <v>0</v>
      </c>
    </row>
    <row r="337" spans="2:19">
      <c r="B337" s="124" t="s">
        <v>1024</v>
      </c>
      <c r="C337" s="154" t="s">
        <v>1025</v>
      </c>
      <c r="D337" s="154" t="str">
        <f t="shared" si="21"/>
        <v>A0502:(株)マルヰ</v>
      </c>
      <c r="I337" s="124" t="s">
        <v>531</v>
      </c>
      <c r="J337" s="124" t="s">
        <v>532</v>
      </c>
      <c r="K337" s="182" t="s">
        <v>398</v>
      </c>
      <c r="L337" s="182">
        <v>2.9999999999999997E-4</v>
      </c>
      <c r="M337" s="182">
        <v>3.3E-4</v>
      </c>
      <c r="N337" s="182">
        <v>3.3E-4</v>
      </c>
      <c r="O337" s="182">
        <v>3.3E-4</v>
      </c>
      <c r="P337" s="182">
        <v>3.3E-4</v>
      </c>
      <c r="R337" s="154" t="str">
        <f t="shared" si="22"/>
        <v>A0088:カワサキグリーンエナジー(株)メニューB</v>
      </c>
      <c r="S337" s="182">
        <f t="shared" si="23"/>
        <v>2.9999999999999997E-4</v>
      </c>
    </row>
    <row r="338" spans="2:19">
      <c r="B338" s="124" t="s">
        <v>1026</v>
      </c>
      <c r="C338" s="154" t="s">
        <v>1027</v>
      </c>
      <c r="D338" s="154" t="str">
        <f t="shared" si="21"/>
        <v>A0503:大多喜ガス(株)</v>
      </c>
      <c r="I338" s="124" t="s">
        <v>531</v>
      </c>
      <c r="J338" s="124" t="s">
        <v>532</v>
      </c>
      <c r="K338" s="182" t="s">
        <v>399</v>
      </c>
      <c r="L338" s="182">
        <v>5.8100000000000003E-4</v>
      </c>
      <c r="M338" s="182">
        <v>0</v>
      </c>
      <c r="N338" s="182">
        <v>0</v>
      </c>
      <c r="O338" s="182">
        <v>0</v>
      </c>
      <c r="P338" s="182">
        <v>0</v>
      </c>
      <c r="R338" s="154" t="str">
        <f t="shared" si="22"/>
        <v>A0088:カワサキグリーンエナジー(株)メニューC</v>
      </c>
      <c r="S338" s="182">
        <f t="shared" si="23"/>
        <v>5.8100000000000003E-4</v>
      </c>
    </row>
    <row r="339" spans="2:19">
      <c r="B339" s="124" t="s">
        <v>1028</v>
      </c>
      <c r="C339" s="154" t="s">
        <v>1029</v>
      </c>
      <c r="D339" s="154" t="str">
        <f t="shared" si="21"/>
        <v>A0506:鈴与電力(株)</v>
      </c>
      <c r="I339" s="124" t="s">
        <v>531</v>
      </c>
      <c r="J339" s="124" t="s">
        <v>532</v>
      </c>
      <c r="K339" s="182" t="s">
        <v>2010</v>
      </c>
      <c r="L339" s="182">
        <v>4.6500000000000003E-4</v>
      </c>
      <c r="M339" s="182">
        <v>5.7700000000000004E-4</v>
      </c>
      <c r="N339" s="182">
        <v>5.7700000000000004E-4</v>
      </c>
      <c r="O339" s="182">
        <v>5.7700000000000004E-4</v>
      </c>
      <c r="P339" s="182">
        <v>5.7700000000000004E-4</v>
      </c>
      <c r="R339" s="154" t="str">
        <f t="shared" si="22"/>
        <v>A0088:カワサキグリーンエナジー(株)(参考値)事業者全体</v>
      </c>
      <c r="S339" s="182">
        <f t="shared" si="23"/>
        <v>4.6500000000000003E-4</v>
      </c>
    </row>
    <row r="340" spans="2:19">
      <c r="B340" s="124" t="s">
        <v>1030</v>
      </c>
      <c r="C340" s="154" t="s">
        <v>1031</v>
      </c>
      <c r="D340" s="154" t="str">
        <f t="shared" si="21"/>
        <v>A0507:コープ電力(株)</v>
      </c>
      <c r="I340" s="124" t="s">
        <v>533</v>
      </c>
      <c r="J340" s="124" t="s">
        <v>534</v>
      </c>
      <c r="K340" s="182" t="s">
        <v>390</v>
      </c>
      <c r="L340" s="182">
        <v>0</v>
      </c>
      <c r="M340" s="182">
        <v>5.6899999999999995E-4</v>
      </c>
      <c r="N340" s="182">
        <v>5.6899999999999995E-4</v>
      </c>
      <c r="O340" s="182">
        <v>5.6899999999999995E-4</v>
      </c>
      <c r="P340" s="182">
        <v>5.6899999999999995E-4</v>
      </c>
      <c r="R340" s="154" t="str">
        <f t="shared" si="22"/>
        <v>A0089:大一ガス(株)メニューA</v>
      </c>
      <c r="S340" s="182">
        <f t="shared" si="23"/>
        <v>0</v>
      </c>
    </row>
    <row r="341" spans="2:19">
      <c r="B341" s="124" t="s">
        <v>1032</v>
      </c>
      <c r="C341" s="154" t="s">
        <v>1033</v>
      </c>
      <c r="D341" s="154" t="str">
        <f t="shared" si="21"/>
        <v>A0508:生活協同組合コープぐんま</v>
      </c>
      <c r="I341" s="124" t="s">
        <v>533</v>
      </c>
      <c r="J341" s="124" t="s">
        <v>534</v>
      </c>
      <c r="K341" s="182" t="s">
        <v>398</v>
      </c>
      <c r="L341" s="182">
        <v>4.5700000000000005E-4</v>
      </c>
      <c r="M341" s="182">
        <v>0</v>
      </c>
      <c r="N341" s="182">
        <v>0</v>
      </c>
      <c r="O341" s="182">
        <v>0</v>
      </c>
      <c r="P341" s="182">
        <v>0</v>
      </c>
      <c r="R341" s="154" t="str">
        <f t="shared" si="22"/>
        <v>A0089:大一ガス(株)メニューB</v>
      </c>
      <c r="S341" s="182">
        <f t="shared" si="23"/>
        <v>4.5700000000000005E-4</v>
      </c>
    </row>
    <row r="342" spans="2:19">
      <c r="B342" s="124" t="s">
        <v>1034</v>
      </c>
      <c r="C342" s="154" t="s">
        <v>1035</v>
      </c>
      <c r="D342" s="154" t="str">
        <f t="shared" si="21"/>
        <v>A0509:とちぎコープ生活協同組合</v>
      </c>
      <c r="I342" s="124" t="s">
        <v>533</v>
      </c>
      <c r="J342" s="124" t="s">
        <v>534</v>
      </c>
      <c r="K342" s="182" t="s">
        <v>2010</v>
      </c>
      <c r="L342" s="182">
        <v>5.6099999999999998E-4</v>
      </c>
      <c r="M342" s="182">
        <v>0</v>
      </c>
      <c r="N342" s="182">
        <v>0</v>
      </c>
      <c r="O342" s="182">
        <v>0</v>
      </c>
      <c r="P342" s="182">
        <v>0</v>
      </c>
      <c r="R342" s="154" t="str">
        <f t="shared" si="22"/>
        <v>A0089:大一ガス(株)(参考値)事業者全体</v>
      </c>
      <c r="S342" s="182">
        <f t="shared" si="23"/>
        <v>5.6099999999999998E-4</v>
      </c>
    </row>
    <row r="343" spans="2:19">
      <c r="B343" s="124" t="s">
        <v>1036</v>
      </c>
      <c r="C343" s="154" t="s">
        <v>1037</v>
      </c>
      <c r="D343" s="154" t="str">
        <f t="shared" si="21"/>
        <v>A0510:いばらきコープ生活協同組合</v>
      </c>
      <c r="I343" s="124" t="s">
        <v>535</v>
      </c>
      <c r="J343" s="124" t="s">
        <v>536</v>
      </c>
      <c r="K343" s="182" t="s">
        <v>390</v>
      </c>
      <c r="L343" s="182">
        <v>0</v>
      </c>
      <c r="M343" s="182">
        <v>2.0000000000000001E-4</v>
      </c>
      <c r="N343" s="182">
        <v>2.0000000000000001E-4</v>
      </c>
      <c r="O343" s="182">
        <v>2.0000000000000001E-4</v>
      </c>
      <c r="P343" s="182">
        <v>2.0000000000000001E-4</v>
      </c>
      <c r="R343" s="154" t="str">
        <f t="shared" si="22"/>
        <v>A0090:(株)リミックスポイントメニューA</v>
      </c>
      <c r="S343" s="182">
        <f t="shared" si="23"/>
        <v>0</v>
      </c>
    </row>
    <row r="344" spans="2:19">
      <c r="B344" s="124" t="s">
        <v>1038</v>
      </c>
      <c r="C344" s="154" t="s">
        <v>1039</v>
      </c>
      <c r="D344" s="154" t="str">
        <f t="shared" si="21"/>
        <v>A0511:亀岡ふるさとエナジー(株)</v>
      </c>
      <c r="I344" s="124" t="s">
        <v>535</v>
      </c>
      <c r="J344" s="124" t="s">
        <v>536</v>
      </c>
      <c r="K344" s="182" t="s">
        <v>398</v>
      </c>
      <c r="L344" s="182">
        <v>0</v>
      </c>
      <c r="M344" s="182">
        <v>0</v>
      </c>
      <c r="N344" s="182">
        <v>0</v>
      </c>
      <c r="O344" s="182">
        <v>0</v>
      </c>
      <c r="P344" s="182">
        <v>0</v>
      </c>
      <c r="R344" s="154" t="str">
        <f t="shared" si="22"/>
        <v>A0090:(株)リミックスポイントメニューB</v>
      </c>
      <c r="S344" s="182">
        <f t="shared" si="23"/>
        <v>0</v>
      </c>
    </row>
    <row r="345" spans="2:19">
      <c r="B345" s="124" t="s">
        <v>1040</v>
      </c>
      <c r="C345" s="154" t="s">
        <v>1041</v>
      </c>
      <c r="D345" s="154" t="str">
        <f t="shared" si="21"/>
        <v>A0513:(株)織戸組</v>
      </c>
      <c r="I345" s="124" t="s">
        <v>535</v>
      </c>
      <c r="J345" s="124" t="s">
        <v>536</v>
      </c>
      <c r="K345" s="182" t="s">
        <v>399</v>
      </c>
      <c r="L345" s="182">
        <v>4.0000000000000002E-4</v>
      </c>
      <c r="M345" s="182">
        <v>0</v>
      </c>
      <c r="N345" s="182">
        <v>0</v>
      </c>
      <c r="O345" s="182">
        <v>0</v>
      </c>
      <c r="P345" s="182">
        <v>0</v>
      </c>
      <c r="R345" s="154" t="str">
        <f t="shared" si="22"/>
        <v>A0090:(株)リミックスポイントメニューC</v>
      </c>
      <c r="S345" s="182">
        <f t="shared" si="23"/>
        <v>4.0000000000000002E-4</v>
      </c>
    </row>
    <row r="346" spans="2:19">
      <c r="B346" s="124" t="s">
        <v>1042</v>
      </c>
      <c r="C346" s="154" t="s">
        <v>1043</v>
      </c>
      <c r="D346" s="154" t="str">
        <f t="shared" si="21"/>
        <v>A0514:ふかやeパワー(株)</v>
      </c>
      <c r="I346" s="124" t="s">
        <v>535</v>
      </c>
      <c r="J346" s="124" t="s">
        <v>536</v>
      </c>
      <c r="K346" s="182" t="s">
        <v>400</v>
      </c>
      <c r="L346" s="182">
        <v>4.8700000000000002E-4</v>
      </c>
      <c r="M346" s="182">
        <v>7.7300000000000003E-4</v>
      </c>
      <c r="N346" s="182">
        <v>7.7300000000000003E-4</v>
      </c>
      <c r="O346" s="182">
        <v>7.7300000000000003E-4</v>
      </c>
      <c r="P346" s="182">
        <v>7.7300000000000003E-4</v>
      </c>
      <c r="R346" s="154" t="str">
        <f t="shared" si="22"/>
        <v>A0090:(株)リミックスポイントメニューD</v>
      </c>
      <c r="S346" s="182">
        <f t="shared" si="23"/>
        <v>4.8700000000000002E-4</v>
      </c>
    </row>
    <row r="347" spans="2:19">
      <c r="B347" s="124" t="s">
        <v>1044</v>
      </c>
      <c r="C347" s="154" t="s">
        <v>1045</v>
      </c>
      <c r="D347" s="154" t="str">
        <f t="shared" si="21"/>
        <v>A0515:(株)Link Life</v>
      </c>
      <c r="I347" s="124" t="s">
        <v>535</v>
      </c>
      <c r="J347" s="124" t="s">
        <v>536</v>
      </c>
      <c r="K347" s="182" t="s">
        <v>2010</v>
      </c>
      <c r="L347" s="182">
        <v>4.84E-4</v>
      </c>
      <c r="M347" s="182">
        <v>6.0400000000000004E-4</v>
      </c>
      <c r="N347" s="182">
        <v>6.0400000000000004E-4</v>
      </c>
      <c r="O347" s="182">
        <v>6.0400000000000004E-4</v>
      </c>
      <c r="P347" s="182">
        <v>6.0400000000000004E-4</v>
      </c>
      <c r="R347" s="154" t="str">
        <f t="shared" si="22"/>
        <v>A0090:(株)リミックスポイント(参考値)事業者全体</v>
      </c>
      <c r="S347" s="182">
        <f t="shared" si="23"/>
        <v>4.84E-4</v>
      </c>
    </row>
    <row r="348" spans="2:19">
      <c r="B348" s="124" t="s">
        <v>1046</v>
      </c>
      <c r="C348" s="154" t="s">
        <v>1047</v>
      </c>
      <c r="D348" s="154" t="str">
        <f t="shared" si="21"/>
        <v>A0518:(株)グローバルキャスト</v>
      </c>
      <c r="I348" s="124" t="s">
        <v>537</v>
      </c>
      <c r="J348" s="124" t="s">
        <v>538</v>
      </c>
      <c r="K348" s="182" t="s">
        <v>390</v>
      </c>
      <c r="L348" s="182">
        <v>0</v>
      </c>
      <c r="M348" s="182">
        <v>0</v>
      </c>
      <c r="N348" s="182">
        <v>0</v>
      </c>
      <c r="O348" s="182">
        <v>0</v>
      </c>
      <c r="P348" s="182">
        <v>0</v>
      </c>
      <c r="R348" s="154" t="str">
        <f t="shared" si="22"/>
        <v>A0091:大阪いずみ市民生活協同組合メニューA</v>
      </c>
      <c r="S348" s="182">
        <f t="shared" si="23"/>
        <v>0</v>
      </c>
    </row>
    <row r="349" spans="2:19">
      <c r="B349" s="124" t="s">
        <v>1048</v>
      </c>
      <c r="C349" s="154" t="s">
        <v>1049</v>
      </c>
      <c r="D349" s="154" t="str">
        <f t="shared" si="21"/>
        <v>A0519:日本エネルギー総合システム(株)</v>
      </c>
      <c r="I349" s="124" t="s">
        <v>537</v>
      </c>
      <c r="J349" s="124" t="s">
        <v>538</v>
      </c>
      <c r="K349" s="182" t="s">
        <v>398</v>
      </c>
      <c r="L349" s="182">
        <v>2.8899999999999998E-4</v>
      </c>
      <c r="M349" s="182">
        <v>6.3000000000000003E-4</v>
      </c>
      <c r="N349" s="182">
        <v>6.3000000000000003E-4</v>
      </c>
      <c r="O349" s="182">
        <v>6.3000000000000003E-4</v>
      </c>
      <c r="P349" s="182">
        <v>6.3000000000000003E-4</v>
      </c>
      <c r="R349" s="154" t="str">
        <f t="shared" si="22"/>
        <v>A0091:大阪いずみ市民生活協同組合メニューB</v>
      </c>
      <c r="S349" s="182">
        <f t="shared" si="23"/>
        <v>2.8899999999999998E-4</v>
      </c>
    </row>
    <row r="350" spans="2:19">
      <c r="B350" s="124" t="s">
        <v>1050</v>
      </c>
      <c r="C350" s="154" t="s">
        <v>1051</v>
      </c>
      <c r="D350" s="154" t="str">
        <f t="shared" si="21"/>
        <v>A0520:イワタニ東海(株)</v>
      </c>
      <c r="I350" s="124" t="s">
        <v>537</v>
      </c>
      <c r="J350" s="124" t="s">
        <v>538</v>
      </c>
      <c r="K350" s="182" t="s">
        <v>2010</v>
      </c>
      <c r="L350" s="182">
        <v>2.8800000000000001E-4</v>
      </c>
      <c r="M350" s="182">
        <v>0</v>
      </c>
      <c r="N350" s="182">
        <v>0</v>
      </c>
      <c r="O350" s="182">
        <v>0</v>
      </c>
      <c r="P350" s="182">
        <v>0</v>
      </c>
      <c r="R350" s="154" t="str">
        <f t="shared" si="22"/>
        <v>A0091:大阪いずみ市民生活協同組合(参考値)事業者全体</v>
      </c>
      <c r="S350" s="182">
        <f t="shared" si="23"/>
        <v>2.8800000000000001E-4</v>
      </c>
    </row>
    <row r="351" spans="2:19">
      <c r="B351" s="124" t="s">
        <v>1052</v>
      </c>
      <c r="C351" s="154" t="s">
        <v>1053</v>
      </c>
      <c r="D351" s="154" t="str">
        <f t="shared" si="21"/>
        <v>A0525:(株)ところざわ未来電力</v>
      </c>
      <c r="I351" s="124" t="s">
        <v>539</v>
      </c>
      <c r="J351" s="124" t="s">
        <v>540</v>
      </c>
      <c r="K351" s="182"/>
      <c r="L351" s="182">
        <v>5.8799999999999998E-4</v>
      </c>
      <c r="M351" s="182">
        <v>0</v>
      </c>
      <c r="N351" s="182">
        <v>0</v>
      </c>
      <c r="O351" s="182">
        <v>0</v>
      </c>
      <c r="P351" s="182">
        <v>0</v>
      </c>
      <c r="R351" s="154" t="str">
        <f t="shared" si="22"/>
        <v>A0092:(株)中海テレビ放送</v>
      </c>
      <c r="S351" s="182">
        <f t="shared" si="23"/>
        <v>5.8799999999999998E-4</v>
      </c>
    </row>
    <row r="352" spans="2:19">
      <c r="B352" s="124" t="s">
        <v>1054</v>
      </c>
      <c r="C352" s="154" t="s">
        <v>1055</v>
      </c>
      <c r="D352" s="154" t="str">
        <f t="shared" si="21"/>
        <v>A0526:朝日ガスエナジー(株)</v>
      </c>
      <c r="I352" s="124" t="s">
        <v>541</v>
      </c>
      <c r="J352" s="124" t="s">
        <v>542</v>
      </c>
      <c r="K352" s="182" t="s">
        <v>390</v>
      </c>
      <c r="L352" s="182">
        <v>0</v>
      </c>
      <c r="M352" s="182">
        <v>4.9299999999999995E-4</v>
      </c>
      <c r="N352" s="182">
        <v>4.9299999999999995E-4</v>
      </c>
      <c r="O352" s="182">
        <v>4.9299999999999995E-4</v>
      </c>
      <c r="P352" s="182">
        <v>4.9299999999999995E-4</v>
      </c>
      <c r="R352" s="154" t="str">
        <f t="shared" si="22"/>
        <v>A0093:パシフィックパワー(株)メニューA</v>
      </c>
      <c r="S352" s="182">
        <f t="shared" si="23"/>
        <v>0</v>
      </c>
    </row>
    <row r="353" spans="2:19">
      <c r="B353" s="124" t="s">
        <v>1056</v>
      </c>
      <c r="C353" s="154" t="s">
        <v>1057</v>
      </c>
      <c r="D353" s="154" t="str">
        <f t="shared" si="21"/>
        <v>A0528:(株)エネファント</v>
      </c>
      <c r="I353" s="124" t="s">
        <v>541</v>
      </c>
      <c r="J353" s="124" t="s">
        <v>542</v>
      </c>
      <c r="K353" s="182" t="s">
        <v>398</v>
      </c>
      <c r="L353" s="182">
        <v>0</v>
      </c>
      <c r="M353" s="182">
        <v>0</v>
      </c>
      <c r="N353" s="182">
        <v>0</v>
      </c>
      <c r="O353" s="182">
        <v>0</v>
      </c>
      <c r="P353" s="182">
        <v>0</v>
      </c>
      <c r="R353" s="154" t="str">
        <f t="shared" si="22"/>
        <v>A0093:パシフィックパワー(株)メニューB</v>
      </c>
      <c r="S353" s="182">
        <f t="shared" si="23"/>
        <v>0</v>
      </c>
    </row>
    <row r="354" spans="2:19">
      <c r="B354" s="124" t="s">
        <v>1058</v>
      </c>
      <c r="C354" s="154" t="s">
        <v>1059</v>
      </c>
      <c r="D354" s="154" t="str">
        <f t="shared" si="21"/>
        <v>A0529:(株)エスエナジー</v>
      </c>
      <c r="I354" s="124" t="s">
        <v>541</v>
      </c>
      <c r="J354" s="124" t="s">
        <v>542</v>
      </c>
      <c r="K354" s="182" t="s">
        <v>399</v>
      </c>
      <c r="L354" s="182">
        <v>1.142E-3</v>
      </c>
      <c r="M354" s="182">
        <v>0</v>
      </c>
      <c r="N354" s="182">
        <v>0</v>
      </c>
      <c r="O354" s="182">
        <v>0</v>
      </c>
      <c r="P354" s="182">
        <v>0</v>
      </c>
      <c r="R354" s="154" t="str">
        <f t="shared" si="22"/>
        <v>A0093:パシフィックパワー(株)メニューC</v>
      </c>
      <c r="S354" s="182">
        <f t="shared" si="23"/>
        <v>1.142E-3</v>
      </c>
    </row>
    <row r="355" spans="2:19">
      <c r="B355" s="124" t="s">
        <v>1060</v>
      </c>
      <c r="C355" s="154" t="s">
        <v>1061</v>
      </c>
      <c r="D355" s="154" t="str">
        <f t="shared" si="21"/>
        <v>A0533:秩父新電力(株)</v>
      </c>
      <c r="I355" s="124" t="s">
        <v>541</v>
      </c>
      <c r="J355" s="124" t="s">
        <v>542</v>
      </c>
      <c r="K355" s="182" t="s">
        <v>2010</v>
      </c>
      <c r="L355" s="182">
        <v>7.0999999999999991E-4</v>
      </c>
      <c r="M355" s="182">
        <v>3.1100000000000002E-4</v>
      </c>
      <c r="N355" s="182">
        <v>3.1100000000000002E-4</v>
      </c>
      <c r="O355" s="182">
        <v>3.1100000000000002E-4</v>
      </c>
      <c r="P355" s="182">
        <v>3.1100000000000002E-4</v>
      </c>
      <c r="R355" s="154" t="str">
        <f t="shared" si="22"/>
        <v>A0093:パシフィックパワー(株)(参考値)事業者全体</v>
      </c>
      <c r="S355" s="182">
        <f t="shared" si="23"/>
        <v>7.0999999999999991E-4</v>
      </c>
    </row>
    <row r="356" spans="2:19">
      <c r="B356" s="124" t="s">
        <v>1062</v>
      </c>
      <c r="C356" s="154" t="s">
        <v>1063</v>
      </c>
      <c r="D356" s="154" t="str">
        <f t="shared" si="21"/>
        <v>A0534:みよしエナジー(株)</v>
      </c>
      <c r="I356" s="124" t="s">
        <v>543</v>
      </c>
      <c r="J356" s="124" t="s">
        <v>544</v>
      </c>
      <c r="K356" s="182" t="s">
        <v>390</v>
      </c>
      <c r="L356" s="182">
        <v>0</v>
      </c>
      <c r="M356" s="182">
        <v>0</v>
      </c>
      <c r="N356" s="182">
        <v>0</v>
      </c>
      <c r="O356" s="182">
        <v>0</v>
      </c>
      <c r="P356" s="182">
        <v>0</v>
      </c>
      <c r="R356" s="154" t="str">
        <f t="shared" si="22"/>
        <v>A0098:(株)ジェイコムウエストメニューA</v>
      </c>
      <c r="S356" s="182">
        <f t="shared" si="23"/>
        <v>0</v>
      </c>
    </row>
    <row r="357" spans="2:19">
      <c r="B357" s="124" t="s">
        <v>1064</v>
      </c>
      <c r="C357" s="154" t="s">
        <v>1065</v>
      </c>
      <c r="D357" s="154" t="str">
        <f t="shared" si="21"/>
        <v>A0538:綿半パートナーズ(株)</v>
      </c>
      <c r="I357" s="124" t="s">
        <v>543</v>
      </c>
      <c r="J357" s="124" t="s">
        <v>544</v>
      </c>
      <c r="K357" s="182" t="s">
        <v>398</v>
      </c>
      <c r="L357" s="182">
        <v>4.3100000000000001E-4</v>
      </c>
      <c r="M357" s="182">
        <v>7.36E-4</v>
      </c>
      <c r="N357" s="182">
        <v>7.36E-4</v>
      </c>
      <c r="O357" s="182">
        <v>7.36E-4</v>
      </c>
      <c r="P357" s="182">
        <v>7.36E-4</v>
      </c>
      <c r="R357" s="154" t="str">
        <f t="shared" si="22"/>
        <v>A0098:(株)ジェイコムウエストメニューB</v>
      </c>
      <c r="S357" s="182">
        <f t="shared" si="23"/>
        <v>4.3100000000000001E-4</v>
      </c>
    </row>
    <row r="358" spans="2:19">
      <c r="B358" s="124" t="s">
        <v>1066</v>
      </c>
      <c r="C358" s="154" t="s">
        <v>1067</v>
      </c>
      <c r="D358" s="154" t="str">
        <f t="shared" si="21"/>
        <v>A0539:(株)karch</v>
      </c>
      <c r="I358" s="124" t="s">
        <v>543</v>
      </c>
      <c r="J358" s="124" t="s">
        <v>544</v>
      </c>
      <c r="K358" s="182" t="s">
        <v>2010</v>
      </c>
      <c r="L358" s="182">
        <v>3.7500000000000001E-4</v>
      </c>
      <c r="M358" s="182">
        <v>3.4099999999999999E-4</v>
      </c>
      <c r="N358" s="182">
        <v>3.4099999999999999E-4</v>
      </c>
      <c r="O358" s="182">
        <v>3.4099999999999999E-4</v>
      </c>
      <c r="P358" s="182">
        <v>3.4099999999999999E-4</v>
      </c>
      <c r="R358" s="154" t="str">
        <f t="shared" si="22"/>
        <v>A0098:(株)ジェイコムウエスト(参考値)事業者全体</v>
      </c>
      <c r="S358" s="182">
        <f t="shared" si="23"/>
        <v>3.7500000000000001E-4</v>
      </c>
    </row>
    <row r="359" spans="2:19">
      <c r="B359" s="124" t="s">
        <v>1068</v>
      </c>
      <c r="C359" s="154" t="s">
        <v>1069</v>
      </c>
      <c r="D359" s="154" t="str">
        <f t="shared" si="21"/>
        <v>A0543:(株)かみでん里山公社</v>
      </c>
      <c r="I359" s="124" t="s">
        <v>545</v>
      </c>
      <c r="J359" s="124" t="s">
        <v>546</v>
      </c>
      <c r="K359" s="182" t="s">
        <v>390</v>
      </c>
      <c r="L359" s="182">
        <v>0</v>
      </c>
      <c r="M359" s="182">
        <v>2.0599999999999999E-4</v>
      </c>
      <c r="N359" s="182">
        <v>2.0599999999999999E-4</v>
      </c>
      <c r="O359" s="182">
        <v>2.0599999999999999E-4</v>
      </c>
      <c r="P359" s="182">
        <v>2.0599999999999999E-4</v>
      </c>
      <c r="R359" s="154" t="str">
        <f t="shared" si="22"/>
        <v>A0103:(株)ジェイコム埼玉・東日本メニューA</v>
      </c>
      <c r="S359" s="182">
        <f t="shared" si="23"/>
        <v>0</v>
      </c>
    </row>
    <row r="360" spans="2:19">
      <c r="B360" s="124" t="s">
        <v>1070</v>
      </c>
      <c r="C360" s="154" t="s">
        <v>1071</v>
      </c>
      <c r="D360" s="154" t="str">
        <f t="shared" si="21"/>
        <v>A0546:(株)三郷ひまわりエナジー</v>
      </c>
      <c r="I360" s="124" t="s">
        <v>545</v>
      </c>
      <c r="J360" s="124" t="s">
        <v>546</v>
      </c>
      <c r="K360" s="182" t="s">
        <v>398</v>
      </c>
      <c r="L360" s="182">
        <v>4.84E-4</v>
      </c>
      <c r="M360" s="182">
        <v>3.2500000000000004E-4</v>
      </c>
      <c r="N360" s="182">
        <v>3.2500000000000004E-4</v>
      </c>
      <c r="O360" s="182">
        <v>3.2500000000000004E-4</v>
      </c>
      <c r="P360" s="182">
        <v>3.2500000000000004E-4</v>
      </c>
      <c r="R360" s="154" t="str">
        <f t="shared" si="22"/>
        <v>A0103:(株)ジェイコム埼玉・東日本メニューB</v>
      </c>
      <c r="S360" s="182">
        <f t="shared" si="23"/>
        <v>4.84E-4</v>
      </c>
    </row>
    <row r="361" spans="2:19">
      <c r="B361" s="124" t="s">
        <v>1072</v>
      </c>
      <c r="C361" s="154" t="s">
        <v>1073</v>
      </c>
      <c r="D361" s="154" t="str">
        <f t="shared" si="21"/>
        <v>A0547:(株)球磨村森電力</v>
      </c>
      <c r="I361" s="124" t="s">
        <v>545</v>
      </c>
      <c r="J361" s="124" t="s">
        <v>546</v>
      </c>
      <c r="K361" s="182" t="s">
        <v>2010</v>
      </c>
      <c r="L361" s="182">
        <v>4.15E-4</v>
      </c>
      <c r="M361" s="182">
        <v>5.2400000000000005E-4</v>
      </c>
      <c r="N361" s="182">
        <v>5.2400000000000005E-4</v>
      </c>
      <c r="O361" s="182">
        <v>5.2400000000000005E-4</v>
      </c>
      <c r="P361" s="182">
        <v>5.2400000000000005E-4</v>
      </c>
      <c r="R361" s="154" t="str">
        <f t="shared" si="22"/>
        <v>A0103:(株)ジェイコム埼玉・東日本(参考値)事業者全体</v>
      </c>
      <c r="S361" s="182">
        <f t="shared" si="23"/>
        <v>4.15E-4</v>
      </c>
    </row>
    <row r="362" spans="2:19">
      <c r="B362" s="124" t="s">
        <v>1074</v>
      </c>
      <c r="C362" s="154" t="s">
        <v>1075</v>
      </c>
      <c r="D362" s="154" t="str">
        <f t="shared" si="21"/>
        <v>A0549:くこくエネルギー(株)</v>
      </c>
      <c r="I362" s="124" t="s">
        <v>547</v>
      </c>
      <c r="J362" s="124" t="s">
        <v>548</v>
      </c>
      <c r="K362" s="182" t="s">
        <v>390</v>
      </c>
      <c r="L362" s="182">
        <v>0</v>
      </c>
      <c r="M362" s="182">
        <v>0</v>
      </c>
      <c r="N362" s="182">
        <v>0</v>
      </c>
      <c r="O362" s="182">
        <v>0</v>
      </c>
      <c r="P362" s="182">
        <v>0</v>
      </c>
      <c r="R362" s="154" t="str">
        <f t="shared" si="22"/>
        <v>A0104:(株)ジェイコム札幌メニューA</v>
      </c>
      <c r="S362" s="182">
        <f t="shared" si="23"/>
        <v>0</v>
      </c>
    </row>
    <row r="363" spans="2:19">
      <c r="B363" s="124" t="s">
        <v>1076</v>
      </c>
      <c r="C363" s="154" t="s">
        <v>1077</v>
      </c>
      <c r="D363" s="154" t="str">
        <f t="shared" si="21"/>
        <v>A0550:(株)エコログ</v>
      </c>
      <c r="I363" s="124" t="s">
        <v>547</v>
      </c>
      <c r="J363" s="124" t="s">
        <v>548</v>
      </c>
      <c r="K363" s="182" t="s">
        <v>398</v>
      </c>
      <c r="L363" s="182">
        <v>4.9100000000000001E-4</v>
      </c>
      <c r="M363" s="182">
        <v>4.8999999999999998E-4</v>
      </c>
      <c r="N363" s="182">
        <v>4.8999999999999998E-4</v>
      </c>
      <c r="O363" s="182">
        <v>4.8999999999999998E-4</v>
      </c>
      <c r="P363" s="182">
        <v>4.8999999999999998E-4</v>
      </c>
      <c r="R363" s="154" t="str">
        <f t="shared" si="22"/>
        <v>A0104:(株)ジェイコム札幌メニューB</v>
      </c>
      <c r="S363" s="182">
        <f t="shared" si="23"/>
        <v>4.9100000000000001E-4</v>
      </c>
    </row>
    <row r="364" spans="2:19">
      <c r="B364" s="124" t="s">
        <v>1078</v>
      </c>
      <c r="C364" s="154" t="s">
        <v>1079</v>
      </c>
      <c r="D364" s="154" t="str">
        <f t="shared" si="21"/>
        <v>A0551:飯田まちづくり電力(株)</v>
      </c>
      <c r="I364" s="124" t="s">
        <v>547</v>
      </c>
      <c r="J364" s="124" t="s">
        <v>548</v>
      </c>
      <c r="K364" s="182" t="s">
        <v>2010</v>
      </c>
      <c r="L364" s="182">
        <v>4.8099999999999998E-4</v>
      </c>
      <c r="M364" s="182">
        <v>0</v>
      </c>
      <c r="N364" s="182">
        <v>0</v>
      </c>
      <c r="O364" s="182">
        <v>0</v>
      </c>
      <c r="P364" s="182">
        <v>0</v>
      </c>
      <c r="R364" s="154" t="str">
        <f t="shared" si="22"/>
        <v>A0104:(株)ジェイコム札幌(参考値)事業者全体</v>
      </c>
      <c r="S364" s="182">
        <f t="shared" si="23"/>
        <v>4.8099999999999998E-4</v>
      </c>
    </row>
    <row r="365" spans="2:19">
      <c r="B365" s="124" t="s">
        <v>1080</v>
      </c>
      <c r="C365" s="154" t="s">
        <v>1081</v>
      </c>
      <c r="D365" s="154" t="str">
        <f t="shared" si="21"/>
        <v>A0552:イワタニ長野(株)</v>
      </c>
      <c r="I365" s="124" t="s">
        <v>549</v>
      </c>
      <c r="J365" s="124" t="s">
        <v>550</v>
      </c>
      <c r="K365" s="182" t="s">
        <v>390</v>
      </c>
      <c r="L365" s="182">
        <v>0</v>
      </c>
      <c r="M365" s="182">
        <v>4.6200000000000001E-4</v>
      </c>
      <c r="N365" s="182">
        <v>4.6200000000000001E-4</v>
      </c>
      <c r="O365" s="182">
        <v>4.6200000000000001E-4</v>
      </c>
      <c r="P365" s="182">
        <v>4.6200000000000001E-4</v>
      </c>
      <c r="R365" s="154" t="str">
        <f t="shared" si="22"/>
        <v>A0105:(株)ジェイコム湘南・神奈川メニューA</v>
      </c>
      <c r="S365" s="182">
        <f t="shared" si="23"/>
        <v>0</v>
      </c>
    </row>
    <row r="366" spans="2:19">
      <c r="B366" s="124" t="s">
        <v>1082</v>
      </c>
      <c r="C366" s="154" t="s">
        <v>1083</v>
      </c>
      <c r="D366" s="154" t="str">
        <f t="shared" ref="D366:D369" si="24">B366&amp;":"&amp;C366</f>
        <v>A0553:シェルジャパン(株)</v>
      </c>
      <c r="I366" s="124" t="s">
        <v>549</v>
      </c>
      <c r="J366" s="124" t="s">
        <v>550</v>
      </c>
      <c r="K366" s="182" t="s">
        <v>398</v>
      </c>
      <c r="L366" s="182">
        <v>4.9200000000000003E-4</v>
      </c>
      <c r="M366" s="182">
        <v>0</v>
      </c>
      <c r="N366" s="182">
        <v>0</v>
      </c>
      <c r="O366" s="182">
        <v>0</v>
      </c>
      <c r="P366" s="182">
        <v>0</v>
      </c>
      <c r="R366" s="154" t="str">
        <f t="shared" si="22"/>
        <v>A0105:(株)ジェイコム湘南・神奈川メニューB</v>
      </c>
      <c r="S366" s="182">
        <f t="shared" si="23"/>
        <v>4.9200000000000003E-4</v>
      </c>
    </row>
    <row r="367" spans="2:19">
      <c r="B367" s="124" t="s">
        <v>1084</v>
      </c>
      <c r="C367" s="154" t="s">
        <v>1085</v>
      </c>
      <c r="D367" s="154" t="str">
        <f t="shared" si="24"/>
        <v>A0555:石油資源開発(株)</v>
      </c>
      <c r="I367" s="124" t="s">
        <v>549</v>
      </c>
      <c r="J367" s="124" t="s">
        <v>550</v>
      </c>
      <c r="K367" s="182" t="s">
        <v>2010</v>
      </c>
      <c r="L367" s="182">
        <v>4.2200000000000001E-4</v>
      </c>
      <c r="M367" s="182">
        <v>0</v>
      </c>
      <c r="N367" s="182">
        <v>0</v>
      </c>
      <c r="O367" s="182">
        <v>0</v>
      </c>
      <c r="P367" s="182">
        <v>0</v>
      </c>
      <c r="R367" s="154" t="str">
        <f t="shared" si="22"/>
        <v>A0105:(株)ジェイコム湘南・神奈川(参考値)事業者全体</v>
      </c>
      <c r="S367" s="182">
        <f t="shared" si="23"/>
        <v>4.2200000000000001E-4</v>
      </c>
    </row>
    <row r="368" spans="2:19">
      <c r="B368" s="124" t="s">
        <v>1086</v>
      </c>
      <c r="C368" s="154" t="s">
        <v>1087</v>
      </c>
      <c r="D368" s="154" t="str">
        <f t="shared" si="24"/>
        <v>A0556:越後天然ガス(株)</v>
      </c>
      <c r="I368" s="124" t="s">
        <v>551</v>
      </c>
      <c r="J368" s="124" t="s">
        <v>552</v>
      </c>
      <c r="K368" s="182" t="s">
        <v>390</v>
      </c>
      <c r="L368" s="182">
        <v>0</v>
      </c>
      <c r="M368" s="182">
        <v>5.9199999999999997E-4</v>
      </c>
      <c r="N368" s="182">
        <v>5.9199999999999997E-4</v>
      </c>
      <c r="O368" s="182">
        <v>5.9199999999999997E-4</v>
      </c>
      <c r="P368" s="182">
        <v>5.9199999999999997E-4</v>
      </c>
      <c r="R368" s="154" t="str">
        <f t="shared" si="22"/>
        <v>A0107:(株)ジェイコム千葉メニューA</v>
      </c>
      <c r="S368" s="182">
        <f t="shared" si="23"/>
        <v>0</v>
      </c>
    </row>
    <row r="369" spans="2:19">
      <c r="B369" s="124" t="s">
        <v>1088</v>
      </c>
      <c r="C369" s="154" t="s">
        <v>1089</v>
      </c>
      <c r="D369" s="154" t="str">
        <f t="shared" si="24"/>
        <v>A0558:坂戸ガス(株)</v>
      </c>
      <c r="I369" s="124" t="s">
        <v>551</v>
      </c>
      <c r="J369" s="124" t="s">
        <v>552</v>
      </c>
      <c r="K369" s="182" t="s">
        <v>398</v>
      </c>
      <c r="L369" s="182">
        <v>4.8999999999999998E-4</v>
      </c>
      <c r="M369" s="182">
        <v>0</v>
      </c>
      <c r="N369" s="182">
        <v>0</v>
      </c>
      <c r="O369" s="182">
        <v>0</v>
      </c>
      <c r="P369" s="182">
        <v>0</v>
      </c>
      <c r="R369" s="154" t="str">
        <f t="shared" si="22"/>
        <v>A0107:(株)ジェイコム千葉メニューB</v>
      </c>
      <c r="S369" s="182">
        <f t="shared" si="23"/>
        <v>4.8999999999999998E-4</v>
      </c>
    </row>
    <row r="370" spans="2:19">
      <c r="B370" s="124" t="s">
        <v>1090</v>
      </c>
      <c r="C370" s="154" t="s">
        <v>1091</v>
      </c>
      <c r="D370" s="154" t="str">
        <f t="shared" ref="D370:D393" si="25">B370&amp;":"&amp;C370</f>
        <v>A0559:(株)デベロップ</v>
      </c>
      <c r="I370" s="124" t="s">
        <v>551</v>
      </c>
      <c r="J370" s="124" t="s">
        <v>552</v>
      </c>
      <c r="K370" s="182" t="s">
        <v>2010</v>
      </c>
      <c r="L370" s="182">
        <v>4.17E-4</v>
      </c>
      <c r="M370" s="182">
        <v>3.8499999999999998E-4</v>
      </c>
      <c r="N370" s="182">
        <v>3.8499999999999998E-4</v>
      </c>
      <c r="O370" s="182">
        <v>3.8499999999999998E-4</v>
      </c>
      <c r="P370" s="182">
        <v>3.8499999999999998E-4</v>
      </c>
      <c r="R370" s="154" t="str">
        <f t="shared" si="22"/>
        <v>A0107:(株)ジェイコム千葉(参考値)事業者全体</v>
      </c>
      <c r="S370" s="182">
        <f t="shared" si="23"/>
        <v>4.17E-4</v>
      </c>
    </row>
    <row r="371" spans="2:19">
      <c r="B371" s="124" t="s">
        <v>1092</v>
      </c>
      <c r="C371" s="154" t="s">
        <v>1093</v>
      </c>
      <c r="D371" s="154" t="str">
        <f t="shared" si="25"/>
        <v>A0560:(株)テレ・マーカー</v>
      </c>
      <c r="I371" s="124" t="s">
        <v>553</v>
      </c>
      <c r="J371" s="124" t="s">
        <v>554</v>
      </c>
      <c r="K371" s="182" t="s">
        <v>390</v>
      </c>
      <c r="L371" s="182">
        <v>0</v>
      </c>
      <c r="M371" s="182">
        <v>0</v>
      </c>
      <c r="N371" s="182">
        <v>0</v>
      </c>
      <c r="O371" s="182">
        <v>0</v>
      </c>
      <c r="P371" s="182">
        <v>0</v>
      </c>
      <c r="R371" s="154" t="str">
        <f t="shared" si="22"/>
        <v>A0110:(株)ジェイコム東京メニューA</v>
      </c>
      <c r="S371" s="182">
        <f t="shared" si="23"/>
        <v>0</v>
      </c>
    </row>
    <row r="372" spans="2:19">
      <c r="B372" s="124" t="s">
        <v>1094</v>
      </c>
      <c r="C372" s="154" t="s">
        <v>1095</v>
      </c>
      <c r="D372" s="154" t="str">
        <f t="shared" si="25"/>
        <v>A0562:MGCエネルギー(株)</v>
      </c>
      <c r="I372" s="124" t="s">
        <v>553</v>
      </c>
      <c r="J372" s="124" t="s">
        <v>554</v>
      </c>
      <c r="K372" s="182" t="s">
        <v>398</v>
      </c>
      <c r="L372" s="182">
        <v>4.9700000000000005E-4</v>
      </c>
      <c r="M372" s="182">
        <v>4.6900000000000002E-4</v>
      </c>
      <c r="N372" s="182">
        <v>4.6900000000000002E-4</v>
      </c>
      <c r="O372" s="182">
        <v>4.6900000000000002E-4</v>
      </c>
      <c r="P372" s="182">
        <v>4.6900000000000002E-4</v>
      </c>
      <c r="R372" s="154" t="str">
        <f t="shared" si="22"/>
        <v>A0110:(株)ジェイコム東京メニューB</v>
      </c>
      <c r="S372" s="182">
        <f t="shared" si="23"/>
        <v>4.9700000000000005E-4</v>
      </c>
    </row>
    <row r="373" spans="2:19">
      <c r="B373" s="124" t="s">
        <v>1096</v>
      </c>
      <c r="C373" s="154" t="s">
        <v>1097</v>
      </c>
      <c r="D373" s="154" t="str">
        <f t="shared" si="25"/>
        <v>A0565:福島フェニックス電力(株)</v>
      </c>
      <c r="I373" s="124" t="s">
        <v>553</v>
      </c>
      <c r="J373" s="124" t="s">
        <v>554</v>
      </c>
      <c r="K373" s="182" t="s">
        <v>2010</v>
      </c>
      <c r="L373" s="182">
        <v>4.3399999999999998E-4</v>
      </c>
      <c r="M373" s="182">
        <v>0</v>
      </c>
      <c r="N373" s="182">
        <v>0</v>
      </c>
      <c r="O373" s="182">
        <v>0</v>
      </c>
      <c r="P373" s="182">
        <v>0</v>
      </c>
      <c r="R373" s="154" t="str">
        <f t="shared" si="22"/>
        <v>A0110:(株)ジェイコム東京(参考値)事業者全体</v>
      </c>
      <c r="S373" s="182">
        <f t="shared" si="23"/>
        <v>4.3399999999999998E-4</v>
      </c>
    </row>
    <row r="374" spans="2:19">
      <c r="B374" s="124" t="s">
        <v>1098</v>
      </c>
      <c r="C374" s="154" t="s">
        <v>1099</v>
      </c>
      <c r="D374" s="154" t="str">
        <f t="shared" si="25"/>
        <v>A0566:あんしん電力合同会社</v>
      </c>
      <c r="I374" s="124" t="s">
        <v>555</v>
      </c>
      <c r="J374" s="124" t="s">
        <v>556</v>
      </c>
      <c r="K374" s="182" t="s">
        <v>390</v>
      </c>
      <c r="L374" s="182">
        <v>0</v>
      </c>
      <c r="M374" s="182">
        <v>0</v>
      </c>
      <c r="N374" s="182">
        <v>0</v>
      </c>
      <c r="O374" s="182">
        <v>0</v>
      </c>
      <c r="P374" s="182">
        <v>0</v>
      </c>
      <c r="R374" s="154" t="str">
        <f t="shared" si="22"/>
        <v>A0119:土浦ケーブルテレビ(株)メニューA</v>
      </c>
      <c r="S374" s="182">
        <f t="shared" si="23"/>
        <v>0</v>
      </c>
    </row>
    <row r="375" spans="2:19">
      <c r="B375" s="124" t="s">
        <v>1100</v>
      </c>
      <c r="C375" s="154" t="s">
        <v>1101</v>
      </c>
      <c r="D375" s="154" t="str">
        <f t="shared" si="25"/>
        <v>A0567:(株)美作国電力</v>
      </c>
      <c r="I375" s="124" t="s">
        <v>555</v>
      </c>
      <c r="J375" s="124" t="s">
        <v>556</v>
      </c>
      <c r="K375" s="182" t="s">
        <v>398</v>
      </c>
      <c r="L375" s="182">
        <v>4.8799999999999999E-4</v>
      </c>
      <c r="M375" s="182">
        <v>4.0000000000000002E-4</v>
      </c>
      <c r="N375" s="182">
        <v>4.0000000000000002E-4</v>
      </c>
      <c r="O375" s="182">
        <v>4.0000000000000002E-4</v>
      </c>
      <c r="P375" s="182">
        <v>4.0000000000000002E-4</v>
      </c>
      <c r="R375" s="154" t="str">
        <f t="shared" si="22"/>
        <v>A0119:土浦ケーブルテレビ(株)メニューB</v>
      </c>
      <c r="S375" s="182">
        <f t="shared" si="23"/>
        <v>4.8799999999999999E-4</v>
      </c>
    </row>
    <row r="376" spans="2:19">
      <c r="B376" s="124" t="s">
        <v>1102</v>
      </c>
      <c r="C376" s="154" t="s">
        <v>1103</v>
      </c>
      <c r="D376" s="154" t="str">
        <f t="shared" si="25"/>
        <v>A0570:八幡商事(株)</v>
      </c>
      <c r="I376" s="124" t="s">
        <v>555</v>
      </c>
      <c r="J376" s="124" t="s">
        <v>556</v>
      </c>
      <c r="K376" s="182" t="s">
        <v>2010</v>
      </c>
      <c r="L376" s="182">
        <v>4.8200000000000001E-4</v>
      </c>
      <c r="M376" s="182">
        <v>0</v>
      </c>
      <c r="N376" s="182">
        <v>0</v>
      </c>
      <c r="O376" s="182">
        <v>0</v>
      </c>
      <c r="P376" s="182">
        <v>0</v>
      </c>
      <c r="R376" s="154" t="str">
        <f t="shared" si="22"/>
        <v>A0119:土浦ケーブルテレビ(株)(参考値)事業者全体</v>
      </c>
      <c r="S376" s="182">
        <f t="shared" si="23"/>
        <v>4.8200000000000001E-4</v>
      </c>
    </row>
    <row r="377" spans="2:19">
      <c r="B377" s="124" t="s">
        <v>1104</v>
      </c>
      <c r="C377" s="154" t="s">
        <v>1105</v>
      </c>
      <c r="D377" s="154" t="str">
        <f t="shared" si="25"/>
        <v>A0571:おいでんエネルギー(株)</v>
      </c>
      <c r="I377" s="124" t="s">
        <v>557</v>
      </c>
      <c r="J377" s="124" t="s">
        <v>558</v>
      </c>
      <c r="K377" s="182"/>
      <c r="L377" s="182">
        <v>4.6200000000000001E-4</v>
      </c>
      <c r="M377" s="182">
        <v>7.0500000000000001E-4</v>
      </c>
      <c r="N377" s="182">
        <v>7.0500000000000001E-4</v>
      </c>
      <c r="O377" s="182">
        <v>7.0500000000000001E-4</v>
      </c>
      <c r="P377" s="182">
        <v>7.0500000000000001E-4</v>
      </c>
      <c r="R377" s="154" t="str">
        <f t="shared" si="22"/>
        <v>A0120:鹿児島電力(株)</v>
      </c>
      <c r="S377" s="182">
        <f t="shared" si="23"/>
        <v>4.6200000000000001E-4</v>
      </c>
    </row>
    <row r="378" spans="2:19">
      <c r="B378" s="124" t="s">
        <v>1106</v>
      </c>
      <c r="C378" s="154" t="s">
        <v>1107</v>
      </c>
      <c r="D378" s="154" t="str">
        <f t="shared" si="25"/>
        <v>A0572:(株)イシオ</v>
      </c>
      <c r="I378" s="124" t="s">
        <v>559</v>
      </c>
      <c r="J378" s="124" t="s">
        <v>560</v>
      </c>
      <c r="K378" s="182"/>
      <c r="L378" s="182">
        <v>4.7600000000000002E-4</v>
      </c>
      <c r="M378" s="182">
        <v>5.6700000000000001E-4</v>
      </c>
      <c r="N378" s="182">
        <v>5.6700000000000001E-4</v>
      </c>
      <c r="O378" s="182">
        <v>5.6700000000000001E-4</v>
      </c>
      <c r="P378" s="182">
        <v>5.6700000000000001E-4</v>
      </c>
      <c r="R378" s="154" t="str">
        <f t="shared" si="22"/>
        <v>A0121:太陽ガス(株)</v>
      </c>
      <c r="S378" s="182">
        <f t="shared" si="23"/>
        <v>4.7600000000000002E-4</v>
      </c>
    </row>
    <row r="379" spans="2:19">
      <c r="B379" s="124" t="s">
        <v>1108</v>
      </c>
      <c r="C379" s="154" t="s">
        <v>1701</v>
      </c>
      <c r="D379" s="154" t="str">
        <f t="shared" si="25"/>
        <v>A0573:北陸電力ビズ・エナジーソリューション(株)</v>
      </c>
      <c r="I379" s="124" t="s">
        <v>561</v>
      </c>
      <c r="J379" s="124" t="s">
        <v>562</v>
      </c>
      <c r="K379" s="182" t="s">
        <v>390</v>
      </c>
      <c r="L379" s="182">
        <v>0</v>
      </c>
      <c r="M379" s="182">
        <v>0</v>
      </c>
      <c r="N379" s="182">
        <v>0</v>
      </c>
      <c r="O379" s="182">
        <v>0</v>
      </c>
      <c r="P379" s="182">
        <v>0</v>
      </c>
      <c r="R379" s="154" t="str">
        <f t="shared" si="22"/>
        <v>A0122:アーバンエナジー(株)メニューA</v>
      </c>
      <c r="S379" s="182">
        <f t="shared" si="23"/>
        <v>0</v>
      </c>
    </row>
    <row r="380" spans="2:19">
      <c r="B380" s="124" t="s">
        <v>1109</v>
      </c>
      <c r="C380" s="154" t="s">
        <v>1702</v>
      </c>
      <c r="D380" s="154" t="str">
        <f t="shared" si="25"/>
        <v>A0574:リニューアブルトレード(株)</v>
      </c>
      <c r="I380" s="124" t="s">
        <v>561</v>
      </c>
      <c r="J380" s="124" t="s">
        <v>562</v>
      </c>
      <c r="K380" s="182" t="s">
        <v>398</v>
      </c>
      <c r="L380" s="182">
        <v>2.9E-4</v>
      </c>
      <c r="M380" s="182">
        <v>5.8100000000000003E-4</v>
      </c>
      <c r="N380" s="182">
        <v>5.8100000000000003E-4</v>
      </c>
      <c r="O380" s="182">
        <v>5.8100000000000003E-4</v>
      </c>
      <c r="P380" s="182">
        <v>5.8100000000000003E-4</v>
      </c>
      <c r="R380" s="154" t="str">
        <f t="shared" si="22"/>
        <v>A0122:アーバンエナジー(株)メニューB</v>
      </c>
      <c r="S380" s="182">
        <f t="shared" si="23"/>
        <v>2.9E-4</v>
      </c>
    </row>
    <row r="381" spans="2:19">
      <c r="B381" s="124" t="s">
        <v>1110</v>
      </c>
      <c r="C381" s="154" t="s">
        <v>1703</v>
      </c>
      <c r="D381" s="154" t="str">
        <f t="shared" si="25"/>
        <v>A0577:ICT伊那みらいでんき(株)(旧:丸紅伊那みらいでんき(株))</v>
      </c>
      <c r="I381" s="124" t="s">
        <v>561</v>
      </c>
      <c r="J381" s="124" t="s">
        <v>562</v>
      </c>
      <c r="K381" s="182" t="s">
        <v>399</v>
      </c>
      <c r="L381" s="182">
        <v>3.1599999999999998E-4</v>
      </c>
      <c r="M381" s="182">
        <v>4.2900000000000002E-4</v>
      </c>
      <c r="N381" s="182">
        <v>4.2900000000000002E-4</v>
      </c>
      <c r="O381" s="182">
        <v>4.2900000000000002E-4</v>
      </c>
      <c r="P381" s="182">
        <v>4.2900000000000002E-4</v>
      </c>
      <c r="R381" s="154" t="str">
        <f t="shared" si="22"/>
        <v>A0122:アーバンエナジー(株)メニューC</v>
      </c>
      <c r="S381" s="182">
        <f t="shared" si="23"/>
        <v>3.1599999999999998E-4</v>
      </c>
    </row>
    <row r="382" spans="2:19">
      <c r="B382" s="124" t="s">
        <v>1111</v>
      </c>
      <c r="C382" s="154" t="s">
        <v>1112</v>
      </c>
      <c r="D382" s="154" t="str">
        <f t="shared" si="25"/>
        <v>A0578:富士山エナジー(株)</v>
      </c>
      <c r="I382" s="124" t="s">
        <v>561</v>
      </c>
      <c r="J382" s="124" t="s">
        <v>562</v>
      </c>
      <c r="K382" s="182" t="s">
        <v>400</v>
      </c>
      <c r="L382" s="182">
        <v>2.5500000000000002E-4</v>
      </c>
      <c r="M382" s="182">
        <v>2.8299999999999999E-4</v>
      </c>
      <c r="N382" s="182">
        <v>2.8299999999999999E-4</v>
      </c>
      <c r="O382" s="182">
        <v>2.8299999999999999E-4</v>
      </c>
      <c r="P382" s="182">
        <v>2.8299999999999999E-4</v>
      </c>
      <c r="R382" s="154" t="str">
        <f t="shared" si="22"/>
        <v>A0122:アーバンエナジー(株)メニューD</v>
      </c>
      <c r="S382" s="182">
        <f t="shared" si="23"/>
        <v>2.5500000000000002E-4</v>
      </c>
    </row>
    <row r="383" spans="2:19">
      <c r="B383" s="124" t="s">
        <v>1113</v>
      </c>
      <c r="C383" s="154" t="s">
        <v>1114</v>
      </c>
      <c r="D383" s="154" t="str">
        <f t="shared" si="25"/>
        <v>A0581:WSエナジー(株)</v>
      </c>
      <c r="I383" s="124" t="s">
        <v>561</v>
      </c>
      <c r="J383" s="124" t="s">
        <v>562</v>
      </c>
      <c r="K383" s="182" t="s">
        <v>401</v>
      </c>
      <c r="L383" s="182">
        <v>3.7300000000000001E-4</v>
      </c>
      <c r="M383" s="182">
        <v>0</v>
      </c>
      <c r="N383" s="182">
        <v>0</v>
      </c>
      <c r="O383" s="182">
        <v>0</v>
      </c>
      <c r="P383" s="182">
        <v>0</v>
      </c>
      <c r="R383" s="154" t="str">
        <f t="shared" si="22"/>
        <v>A0122:アーバンエナジー(株)メニューE</v>
      </c>
      <c r="S383" s="182">
        <f t="shared" si="23"/>
        <v>3.7300000000000001E-4</v>
      </c>
    </row>
    <row r="384" spans="2:19">
      <c r="B384" s="124" t="s">
        <v>1115</v>
      </c>
      <c r="C384" s="154" t="s">
        <v>1116</v>
      </c>
      <c r="D384" s="154" t="str">
        <f t="shared" si="25"/>
        <v>A0582:TERA Energy(株)</v>
      </c>
      <c r="I384" s="124" t="s">
        <v>561</v>
      </c>
      <c r="J384" s="124" t="s">
        <v>562</v>
      </c>
      <c r="K384" s="182" t="s">
        <v>414</v>
      </c>
      <c r="L384" s="182">
        <v>3.6200000000000002E-4</v>
      </c>
      <c r="M384" s="182">
        <v>4.3800000000000002E-4</v>
      </c>
      <c r="N384" s="182">
        <v>4.3800000000000002E-4</v>
      </c>
      <c r="O384" s="182">
        <v>4.3800000000000002E-4</v>
      </c>
      <c r="P384" s="182">
        <v>4.3800000000000002E-4</v>
      </c>
      <c r="R384" s="154" t="str">
        <f t="shared" si="22"/>
        <v>A0122:アーバンエナジー(株)メニューF</v>
      </c>
      <c r="S384" s="182">
        <f t="shared" si="23"/>
        <v>3.6200000000000002E-4</v>
      </c>
    </row>
    <row r="385" spans="2:19">
      <c r="B385" s="124" t="s">
        <v>1117</v>
      </c>
      <c r="C385" s="154" t="s">
        <v>1118</v>
      </c>
      <c r="D385" s="154" t="str">
        <f t="shared" si="25"/>
        <v>A0584:MCPD(株)</v>
      </c>
      <c r="I385" s="124" t="s">
        <v>561</v>
      </c>
      <c r="J385" s="124" t="s">
        <v>562</v>
      </c>
      <c r="K385" s="182" t="s">
        <v>415</v>
      </c>
      <c r="L385" s="182">
        <v>3.9199999999999999E-4</v>
      </c>
      <c r="M385" s="182">
        <v>3.8700000000000003E-4</v>
      </c>
      <c r="N385" s="182">
        <v>3.8700000000000003E-4</v>
      </c>
      <c r="O385" s="182">
        <v>3.8700000000000003E-4</v>
      </c>
      <c r="P385" s="182">
        <v>3.8700000000000003E-4</v>
      </c>
      <c r="R385" s="154" t="str">
        <f t="shared" si="22"/>
        <v>A0122:アーバンエナジー(株)メニューG</v>
      </c>
      <c r="S385" s="182">
        <f t="shared" si="23"/>
        <v>3.9199999999999999E-4</v>
      </c>
    </row>
    <row r="386" spans="2:19">
      <c r="B386" s="124" t="s">
        <v>1119</v>
      </c>
      <c r="C386" s="154" t="s">
        <v>1120</v>
      </c>
      <c r="D386" s="154" t="str">
        <f t="shared" si="25"/>
        <v>A0586:グリーンシティこばやし(株)</v>
      </c>
      <c r="I386" s="124" t="s">
        <v>561</v>
      </c>
      <c r="J386" s="124" t="s">
        <v>562</v>
      </c>
      <c r="K386" s="182" t="s">
        <v>2010</v>
      </c>
      <c r="L386" s="182">
        <v>2.7599999999999999E-4</v>
      </c>
      <c r="M386" s="182">
        <v>3.6299999999999999E-4</v>
      </c>
      <c r="N386" s="182">
        <v>3.6299999999999999E-4</v>
      </c>
      <c r="O386" s="182">
        <v>3.6299999999999999E-4</v>
      </c>
      <c r="P386" s="182">
        <v>3.6299999999999999E-4</v>
      </c>
      <c r="R386" s="154" t="str">
        <f t="shared" si="22"/>
        <v>A0122:アーバンエナジー(株)(参考値)事業者全体</v>
      </c>
      <c r="S386" s="182">
        <f t="shared" si="23"/>
        <v>2.7599999999999999E-4</v>
      </c>
    </row>
    <row r="387" spans="2:19">
      <c r="B387" s="124" t="s">
        <v>1121</v>
      </c>
      <c r="C387" s="154" t="s">
        <v>1122</v>
      </c>
      <c r="D387" s="154" t="str">
        <f t="shared" si="25"/>
        <v>A0587:(株)吉田石油店</v>
      </c>
      <c r="I387" s="124" t="s">
        <v>563</v>
      </c>
      <c r="J387" s="124" t="s">
        <v>564</v>
      </c>
      <c r="K387" s="182"/>
      <c r="L387" s="182">
        <v>4.2900000000000002E-4</v>
      </c>
      <c r="M387" s="182">
        <v>3.7599999999999998E-4</v>
      </c>
      <c r="N387" s="182">
        <v>3.7599999999999998E-4</v>
      </c>
      <c r="O387" s="182">
        <v>3.7599999999999998E-4</v>
      </c>
      <c r="P387" s="182">
        <v>3.7599999999999998E-4</v>
      </c>
      <c r="R387" s="154" t="str">
        <f t="shared" si="22"/>
        <v>A0123:パワーネクスト(株)</v>
      </c>
      <c r="S387" s="182">
        <f t="shared" si="23"/>
        <v>4.2900000000000002E-4</v>
      </c>
    </row>
    <row r="388" spans="2:19">
      <c r="B388" s="124" t="s">
        <v>1123</v>
      </c>
      <c r="C388" s="154" t="s">
        <v>1124</v>
      </c>
      <c r="D388" s="154" t="str">
        <f t="shared" si="25"/>
        <v>A0589:スマートエナジー熊本(株)</v>
      </c>
      <c r="I388" s="124" t="s">
        <v>565</v>
      </c>
      <c r="J388" s="124" t="s">
        <v>566</v>
      </c>
      <c r="K388" s="182" t="s">
        <v>390</v>
      </c>
      <c r="L388" s="182">
        <v>0</v>
      </c>
      <c r="M388" s="182">
        <v>3.4099999999999999E-4</v>
      </c>
      <c r="N388" s="182">
        <v>3.4099999999999999E-4</v>
      </c>
      <c r="O388" s="182">
        <v>3.4099999999999999E-4</v>
      </c>
      <c r="P388" s="182">
        <v>3.4099999999999999E-4</v>
      </c>
      <c r="R388" s="154" t="str">
        <f t="shared" si="22"/>
        <v>A0124:合同会社北上新電力メニューA</v>
      </c>
      <c r="S388" s="182">
        <f t="shared" si="23"/>
        <v>0</v>
      </c>
    </row>
    <row r="389" spans="2:19">
      <c r="B389" s="124" t="s">
        <v>1125</v>
      </c>
      <c r="C389" s="154" t="s">
        <v>1126</v>
      </c>
      <c r="D389" s="154" t="str">
        <f t="shared" si="25"/>
        <v>A0590:福山未来エナジー(株)</v>
      </c>
      <c r="I389" s="124" t="s">
        <v>565</v>
      </c>
      <c r="J389" s="124" t="s">
        <v>566</v>
      </c>
      <c r="K389" s="182" t="s">
        <v>2010</v>
      </c>
      <c r="L389" s="182">
        <v>4.46E-4</v>
      </c>
      <c r="M389" s="182">
        <v>0</v>
      </c>
      <c r="N389" s="182">
        <v>0</v>
      </c>
      <c r="O389" s="182">
        <v>0</v>
      </c>
      <c r="P389" s="182">
        <v>0</v>
      </c>
      <c r="R389" s="154" t="str">
        <f t="shared" si="22"/>
        <v>A0124:合同会社北上新電力(参考値)事業者全体</v>
      </c>
      <c r="S389" s="182">
        <f t="shared" si="23"/>
        <v>4.46E-4</v>
      </c>
    </row>
    <row r="390" spans="2:19">
      <c r="B390" s="124" t="s">
        <v>1127</v>
      </c>
      <c r="C390" s="154" t="s">
        <v>1128</v>
      </c>
      <c r="D390" s="154" t="str">
        <f t="shared" si="25"/>
        <v>A0596:五島市民電力(株)</v>
      </c>
      <c r="I390" s="124" t="s">
        <v>567</v>
      </c>
      <c r="J390" s="124" t="s">
        <v>568</v>
      </c>
      <c r="K390" s="182" t="s">
        <v>390</v>
      </c>
      <c r="L390" s="182">
        <v>0</v>
      </c>
      <c r="M390" s="182">
        <v>4.26E-4</v>
      </c>
      <c r="N390" s="182">
        <v>4.26E-4</v>
      </c>
      <c r="O390" s="182">
        <v>4.26E-4</v>
      </c>
      <c r="P390" s="182">
        <v>4.26E-4</v>
      </c>
      <c r="R390" s="154" t="str">
        <f t="shared" si="22"/>
        <v>A0126:(株)タクマエナジーメニューA</v>
      </c>
      <c r="S390" s="182">
        <f t="shared" si="23"/>
        <v>0</v>
      </c>
    </row>
    <row r="391" spans="2:19">
      <c r="B391" s="124" t="s">
        <v>1129</v>
      </c>
      <c r="C391" s="154" t="s">
        <v>1130</v>
      </c>
      <c r="D391" s="154" t="str">
        <f t="shared" si="25"/>
        <v>A0598:リストプロパティーズ(株)</v>
      </c>
      <c r="I391" s="124" t="s">
        <v>567</v>
      </c>
      <c r="J391" s="124" t="s">
        <v>568</v>
      </c>
      <c r="K391" s="182" t="s">
        <v>398</v>
      </c>
      <c r="L391" s="182">
        <v>0</v>
      </c>
      <c r="M391" s="182">
        <v>8.4000000000000009E-5</v>
      </c>
      <c r="N391" s="182">
        <v>8.4000000000000009E-5</v>
      </c>
      <c r="O391" s="182">
        <v>8.4000000000000009E-5</v>
      </c>
      <c r="P391" s="182">
        <v>8.4000000000000009E-5</v>
      </c>
      <c r="R391" s="154" t="str">
        <f t="shared" si="22"/>
        <v>A0126:(株)タクマエナジーメニューB</v>
      </c>
      <c r="S391" s="182">
        <f t="shared" si="23"/>
        <v>0</v>
      </c>
    </row>
    <row r="392" spans="2:19">
      <c r="B392" s="124" t="s">
        <v>1131</v>
      </c>
      <c r="C392" s="154" t="s">
        <v>1132</v>
      </c>
      <c r="D392" s="154" t="str">
        <f t="shared" si="25"/>
        <v>A0602:(株)情熱電力</v>
      </c>
      <c r="I392" s="124" t="s">
        <v>567</v>
      </c>
      <c r="J392" s="124" t="s">
        <v>568</v>
      </c>
      <c r="K392" s="182" t="s">
        <v>399</v>
      </c>
      <c r="L392" s="182">
        <v>0</v>
      </c>
      <c r="M392" s="182">
        <v>1.7199999999999998E-4</v>
      </c>
      <c r="N392" s="182">
        <v>1.7199999999999998E-4</v>
      </c>
      <c r="O392" s="182">
        <v>1.7199999999999998E-4</v>
      </c>
      <c r="P392" s="182">
        <v>1.7199999999999998E-4</v>
      </c>
      <c r="R392" s="154" t="str">
        <f t="shared" si="22"/>
        <v>A0126:(株)タクマエナジーメニューC</v>
      </c>
      <c r="S392" s="182">
        <f t="shared" si="23"/>
        <v>0</v>
      </c>
    </row>
    <row r="393" spans="2:19">
      <c r="B393" s="124" t="s">
        <v>1133</v>
      </c>
      <c r="C393" s="154" t="s">
        <v>1134</v>
      </c>
      <c r="D393" s="154" t="str">
        <f t="shared" si="25"/>
        <v>A0603:バンプーパワートレーディング合同会社</v>
      </c>
      <c r="I393" s="124" t="s">
        <v>567</v>
      </c>
      <c r="J393" s="124" t="s">
        <v>568</v>
      </c>
      <c r="K393" s="182" t="s">
        <v>400</v>
      </c>
      <c r="L393" s="182">
        <v>0</v>
      </c>
      <c r="M393" s="182">
        <v>1.7999999999999998E-4</v>
      </c>
      <c r="N393" s="182">
        <v>1.7999999999999998E-4</v>
      </c>
      <c r="O393" s="182">
        <v>1.7999999999999998E-4</v>
      </c>
      <c r="P393" s="182">
        <v>1.7999999999999998E-4</v>
      </c>
      <c r="R393" s="154" t="str">
        <f t="shared" si="22"/>
        <v>A0126:(株)タクマエナジーメニューD</v>
      </c>
      <c r="S393" s="182">
        <f t="shared" si="23"/>
        <v>0</v>
      </c>
    </row>
    <row r="394" spans="2:19">
      <c r="B394" s="124" t="s">
        <v>1135</v>
      </c>
      <c r="C394" s="154" t="s">
        <v>1136</v>
      </c>
      <c r="D394" s="154" t="str">
        <f t="shared" ref="D394:D457" si="26">B394&amp;":"&amp;C394</f>
        <v>A0605:(株)センカク</v>
      </c>
      <c r="I394" s="124" t="s">
        <v>567</v>
      </c>
      <c r="J394" s="124" t="s">
        <v>568</v>
      </c>
      <c r="K394" s="182" t="s">
        <v>401</v>
      </c>
      <c r="L394" s="182">
        <v>0</v>
      </c>
      <c r="M394" s="182">
        <v>5.2999999999999998E-4</v>
      </c>
      <c r="N394" s="182">
        <v>5.2999999999999998E-4</v>
      </c>
      <c r="O394" s="182">
        <v>5.2999999999999998E-4</v>
      </c>
      <c r="P394" s="182">
        <v>5.2999999999999998E-4</v>
      </c>
      <c r="R394" s="154" t="str">
        <f t="shared" ref="R394:R457" si="27">I394&amp;":"&amp;J394&amp;K394</f>
        <v>A0126:(株)タクマエナジーメニューE</v>
      </c>
      <c r="S394" s="182">
        <f t="shared" ref="S394:S457" si="28">HLOOKUP($S$8,$L$8:$P$1500,ROW()-7,FALSE)</f>
        <v>0</v>
      </c>
    </row>
    <row r="395" spans="2:19">
      <c r="B395" s="124" t="s">
        <v>1137</v>
      </c>
      <c r="C395" s="154" t="s">
        <v>1138</v>
      </c>
      <c r="D395" s="154" t="str">
        <f t="shared" si="26"/>
        <v>A0609:(株)ミナサポ</v>
      </c>
      <c r="I395" s="124" t="s">
        <v>567</v>
      </c>
      <c r="J395" s="124" t="s">
        <v>568</v>
      </c>
      <c r="K395" s="182" t="s">
        <v>414</v>
      </c>
      <c r="L395" s="182">
        <v>0</v>
      </c>
      <c r="M395" s="182">
        <v>0</v>
      </c>
      <c r="N395" s="182">
        <v>0</v>
      </c>
      <c r="O395" s="182">
        <v>0</v>
      </c>
      <c r="P395" s="182">
        <v>0</v>
      </c>
      <c r="R395" s="154" t="str">
        <f t="shared" si="27"/>
        <v>A0126:(株)タクマエナジーメニューF</v>
      </c>
      <c r="S395" s="182">
        <f t="shared" si="28"/>
        <v>0</v>
      </c>
    </row>
    <row r="396" spans="2:19">
      <c r="B396" s="124" t="s">
        <v>1139</v>
      </c>
      <c r="C396" s="154" t="s">
        <v>1140</v>
      </c>
      <c r="D396" s="154" t="str">
        <f t="shared" si="26"/>
        <v>A0610:唐津電力(株)</v>
      </c>
      <c r="I396" s="124" t="s">
        <v>567</v>
      </c>
      <c r="J396" s="124" t="s">
        <v>568</v>
      </c>
      <c r="K396" s="182" t="s">
        <v>415</v>
      </c>
      <c r="L396" s="182">
        <v>0</v>
      </c>
      <c r="M396" s="182">
        <v>3.4099999999999999E-4</v>
      </c>
      <c r="N396" s="182">
        <v>3.4099999999999999E-4</v>
      </c>
      <c r="O396" s="182">
        <v>3.4099999999999999E-4</v>
      </c>
      <c r="P396" s="182">
        <v>3.4099999999999999E-4</v>
      </c>
      <c r="R396" s="154" t="str">
        <f t="shared" si="27"/>
        <v>A0126:(株)タクマエナジーメニューG</v>
      </c>
      <c r="S396" s="182">
        <f t="shared" si="28"/>
        <v>0</v>
      </c>
    </row>
    <row r="397" spans="2:19">
      <c r="B397" s="124" t="s">
        <v>1141</v>
      </c>
      <c r="C397" s="154" t="s">
        <v>1142</v>
      </c>
      <c r="D397" s="154" t="str">
        <f t="shared" si="26"/>
        <v>A0611:RE１００電力(株)</v>
      </c>
      <c r="I397" s="124" t="s">
        <v>567</v>
      </c>
      <c r="J397" s="124" t="s">
        <v>568</v>
      </c>
      <c r="K397" s="182" t="s">
        <v>416</v>
      </c>
      <c r="L397" s="182">
        <v>0</v>
      </c>
      <c r="M397" s="182">
        <v>3.4099999999999999E-4</v>
      </c>
      <c r="N397" s="182">
        <v>3.4099999999999999E-4</v>
      </c>
      <c r="O397" s="182">
        <v>3.4099999999999999E-4</v>
      </c>
      <c r="P397" s="182">
        <v>3.4099999999999999E-4</v>
      </c>
      <c r="R397" s="154" t="str">
        <f t="shared" si="27"/>
        <v>A0126:(株)タクマエナジーメニューH</v>
      </c>
      <c r="S397" s="182">
        <f t="shared" si="28"/>
        <v>0</v>
      </c>
    </row>
    <row r="398" spans="2:19">
      <c r="B398" s="124" t="s">
        <v>1143</v>
      </c>
      <c r="C398" s="154" t="s">
        <v>1144</v>
      </c>
      <c r="D398" s="154" t="str">
        <f t="shared" si="26"/>
        <v>A0612:日本エネルギーファーム(株)</v>
      </c>
      <c r="I398" s="124" t="s">
        <v>567</v>
      </c>
      <c r="J398" s="124" t="s">
        <v>568</v>
      </c>
      <c r="K398" s="182" t="s">
        <v>417</v>
      </c>
      <c r="L398" s="182">
        <v>0</v>
      </c>
      <c r="M398" s="182">
        <v>0</v>
      </c>
      <c r="N398" s="182">
        <v>0</v>
      </c>
      <c r="O398" s="182">
        <v>0</v>
      </c>
      <c r="P398" s="182">
        <v>0</v>
      </c>
      <c r="R398" s="154" t="str">
        <f t="shared" si="27"/>
        <v>A0126:(株)タクマエナジーメニューI</v>
      </c>
      <c r="S398" s="182">
        <f t="shared" si="28"/>
        <v>0</v>
      </c>
    </row>
    <row r="399" spans="2:19">
      <c r="B399" s="124" t="s">
        <v>1145</v>
      </c>
      <c r="C399" s="154" t="s">
        <v>1146</v>
      </c>
      <c r="D399" s="154" t="str">
        <f t="shared" si="26"/>
        <v>A0615:(株)イーネットワーク</v>
      </c>
      <c r="I399" s="124" t="s">
        <v>567</v>
      </c>
      <c r="J399" s="124" t="s">
        <v>568</v>
      </c>
      <c r="K399" s="182" t="s">
        <v>418</v>
      </c>
      <c r="L399" s="182">
        <v>2.1800000000000001E-4</v>
      </c>
      <c r="M399" s="182">
        <v>2.14E-4</v>
      </c>
      <c r="N399" s="182">
        <v>2.14E-4</v>
      </c>
      <c r="O399" s="182">
        <v>2.14E-4</v>
      </c>
      <c r="P399" s="182">
        <v>2.14E-4</v>
      </c>
      <c r="R399" s="154" t="str">
        <f t="shared" si="27"/>
        <v>A0126:(株)タクマエナジーメニューJ</v>
      </c>
      <c r="S399" s="182">
        <f t="shared" si="28"/>
        <v>2.1800000000000001E-4</v>
      </c>
    </row>
    <row r="400" spans="2:19">
      <c r="B400" s="124" t="s">
        <v>1147</v>
      </c>
      <c r="C400" s="154" t="s">
        <v>1148</v>
      </c>
      <c r="D400" s="154" t="str">
        <f t="shared" si="26"/>
        <v>A0617:スマートエコエナジー(株)</v>
      </c>
      <c r="I400" s="124" t="s">
        <v>567</v>
      </c>
      <c r="J400" s="124" t="s">
        <v>568</v>
      </c>
      <c r="K400" s="182" t="s">
        <v>2010</v>
      </c>
      <c r="L400" s="182">
        <v>1.6200000000000001E-4</v>
      </c>
      <c r="M400" s="182">
        <v>6.2799999999999998E-4</v>
      </c>
      <c r="N400" s="182">
        <v>6.2799999999999998E-4</v>
      </c>
      <c r="O400" s="182">
        <v>6.2799999999999998E-4</v>
      </c>
      <c r="P400" s="182">
        <v>6.2799999999999998E-4</v>
      </c>
      <c r="R400" s="154" t="str">
        <f t="shared" si="27"/>
        <v>A0126:(株)タクマエナジー(参考値)事業者全体</v>
      </c>
      <c r="S400" s="182">
        <f t="shared" si="28"/>
        <v>1.6200000000000001E-4</v>
      </c>
    </row>
    <row r="401" spans="2:19">
      <c r="B401" s="124" t="s">
        <v>1149</v>
      </c>
      <c r="C401" s="154" t="s">
        <v>1150</v>
      </c>
      <c r="D401" s="154" t="str">
        <f t="shared" si="26"/>
        <v>A0620:(株)LENETS</v>
      </c>
      <c r="I401" s="124" t="s">
        <v>569</v>
      </c>
      <c r="J401" s="124" t="s">
        <v>570</v>
      </c>
      <c r="K401" s="182"/>
      <c r="L401" s="182">
        <v>5.4299999999999997E-4</v>
      </c>
      <c r="M401" s="182">
        <v>0</v>
      </c>
      <c r="N401" s="182">
        <v>0</v>
      </c>
      <c r="O401" s="182">
        <v>0</v>
      </c>
      <c r="P401" s="182">
        <v>0</v>
      </c>
      <c r="R401" s="154" t="str">
        <f t="shared" si="27"/>
        <v>A0127:(株)スマートテック</v>
      </c>
      <c r="S401" s="182">
        <f t="shared" si="28"/>
        <v>5.4299999999999997E-4</v>
      </c>
    </row>
    <row r="402" spans="2:19">
      <c r="B402" s="124" t="s">
        <v>1151</v>
      </c>
      <c r="C402" s="154" t="s">
        <v>1152</v>
      </c>
      <c r="D402" s="154" t="str">
        <f t="shared" si="26"/>
        <v>A0622:アイエスジー(株)</v>
      </c>
      <c r="I402" s="124" t="s">
        <v>571</v>
      </c>
      <c r="J402" s="124" t="s">
        <v>1679</v>
      </c>
      <c r="K402" s="182"/>
      <c r="L402" s="182">
        <v>5.6599999999999999E-4</v>
      </c>
      <c r="M402" s="182">
        <v>3.4000000000000002E-4</v>
      </c>
      <c r="N402" s="182">
        <v>3.4000000000000002E-4</v>
      </c>
      <c r="O402" s="182">
        <v>3.4000000000000002E-4</v>
      </c>
      <c r="P402" s="182">
        <v>3.4000000000000002E-4</v>
      </c>
      <c r="R402" s="154" t="str">
        <f t="shared" si="27"/>
        <v>A0128:水戸電力(株)</v>
      </c>
      <c r="S402" s="182">
        <f t="shared" si="28"/>
        <v>5.6599999999999999E-4</v>
      </c>
    </row>
    <row r="403" spans="2:19">
      <c r="B403" s="124" t="s">
        <v>1153</v>
      </c>
      <c r="C403" s="154" t="s">
        <v>1154</v>
      </c>
      <c r="D403" s="154" t="str">
        <f t="shared" si="26"/>
        <v>A0624:(株)エネクル</v>
      </c>
      <c r="I403" s="124" t="s">
        <v>572</v>
      </c>
      <c r="J403" s="124" t="s">
        <v>573</v>
      </c>
      <c r="K403" s="182" t="s">
        <v>390</v>
      </c>
      <c r="L403" s="182">
        <v>0</v>
      </c>
      <c r="M403" s="182">
        <v>3.4099999999999999E-4</v>
      </c>
      <c r="N403" s="182">
        <v>3.4099999999999999E-4</v>
      </c>
      <c r="O403" s="182">
        <v>3.4099999999999999E-4</v>
      </c>
      <c r="P403" s="182">
        <v>3.4099999999999999E-4</v>
      </c>
      <c r="R403" s="154" t="str">
        <f t="shared" si="27"/>
        <v>A0130:丸紅新電力(株)メニューA</v>
      </c>
      <c r="S403" s="182">
        <f t="shared" si="28"/>
        <v>0</v>
      </c>
    </row>
    <row r="404" spans="2:19">
      <c r="B404" s="124" t="s">
        <v>1155</v>
      </c>
      <c r="C404" s="154" t="s">
        <v>1156</v>
      </c>
      <c r="D404" s="154" t="str">
        <f t="shared" si="26"/>
        <v>A0627:フィンテックラボ協同組合</v>
      </c>
      <c r="I404" s="124" t="s">
        <v>572</v>
      </c>
      <c r="J404" s="124" t="s">
        <v>573</v>
      </c>
      <c r="K404" s="182" t="s">
        <v>398</v>
      </c>
      <c r="L404" s="182">
        <v>1.6700000000000002E-4</v>
      </c>
      <c r="M404" s="182">
        <v>0</v>
      </c>
      <c r="N404" s="182">
        <v>0</v>
      </c>
      <c r="O404" s="182">
        <v>0</v>
      </c>
      <c r="P404" s="182">
        <v>0</v>
      </c>
      <c r="R404" s="154" t="str">
        <f t="shared" si="27"/>
        <v>A0130:丸紅新電力(株)メニューB</v>
      </c>
      <c r="S404" s="182">
        <f t="shared" si="28"/>
        <v>1.6700000000000002E-4</v>
      </c>
    </row>
    <row r="405" spans="2:19">
      <c r="B405" s="124" t="s">
        <v>1157</v>
      </c>
      <c r="C405" s="154" t="s">
        <v>1158</v>
      </c>
      <c r="D405" s="154" t="str">
        <f t="shared" si="26"/>
        <v>A0629:新電力新潟(株)</v>
      </c>
      <c r="I405" s="124" t="s">
        <v>572</v>
      </c>
      <c r="J405" s="124" t="s">
        <v>573</v>
      </c>
      <c r="K405" s="182" t="s">
        <v>399</v>
      </c>
      <c r="L405" s="182">
        <v>2.5300000000000002E-4</v>
      </c>
      <c r="M405" s="182">
        <v>4.9399999999999997E-4</v>
      </c>
      <c r="N405" s="182">
        <v>4.9399999999999997E-4</v>
      </c>
      <c r="O405" s="182">
        <v>4.9399999999999997E-4</v>
      </c>
      <c r="P405" s="182">
        <v>4.9399999999999997E-4</v>
      </c>
      <c r="R405" s="154" t="str">
        <f t="shared" si="27"/>
        <v>A0130:丸紅新電力(株)メニューC</v>
      </c>
      <c r="S405" s="182">
        <f t="shared" si="28"/>
        <v>2.5300000000000002E-4</v>
      </c>
    </row>
    <row r="406" spans="2:19">
      <c r="B406" s="124" t="s">
        <v>1159</v>
      </c>
      <c r="C406" s="154" t="s">
        <v>1160</v>
      </c>
      <c r="D406" s="154" t="str">
        <f t="shared" si="26"/>
        <v>A0630:(株)タケエイでんき</v>
      </c>
      <c r="I406" s="124" t="s">
        <v>572</v>
      </c>
      <c r="J406" s="124" t="s">
        <v>573</v>
      </c>
      <c r="K406" s="182" t="s">
        <v>400</v>
      </c>
      <c r="L406" s="182">
        <v>2.7400000000000005E-4</v>
      </c>
      <c r="M406" s="182">
        <v>0</v>
      </c>
      <c r="N406" s="182">
        <v>0</v>
      </c>
      <c r="O406" s="182">
        <v>0</v>
      </c>
      <c r="P406" s="182">
        <v>0</v>
      </c>
      <c r="R406" s="154" t="str">
        <f t="shared" si="27"/>
        <v>A0130:丸紅新電力(株)メニューD</v>
      </c>
      <c r="S406" s="182">
        <f t="shared" si="28"/>
        <v>2.7400000000000005E-4</v>
      </c>
    </row>
    <row r="407" spans="2:19">
      <c r="B407" s="124" t="s">
        <v>1161</v>
      </c>
      <c r="C407" s="154" t="s">
        <v>1162</v>
      </c>
      <c r="D407" s="154" t="str">
        <f t="shared" si="26"/>
        <v>A0631:気仙沼グリーンエナジー(株)</v>
      </c>
      <c r="I407" s="124" t="s">
        <v>572</v>
      </c>
      <c r="J407" s="124" t="s">
        <v>573</v>
      </c>
      <c r="K407" s="182" t="s">
        <v>401</v>
      </c>
      <c r="L407" s="182">
        <v>2.9500000000000001E-4</v>
      </c>
      <c r="M407" s="182">
        <v>0</v>
      </c>
      <c r="N407" s="182">
        <v>0</v>
      </c>
      <c r="O407" s="182">
        <v>0</v>
      </c>
      <c r="P407" s="182">
        <v>0</v>
      </c>
      <c r="R407" s="154" t="str">
        <f t="shared" si="27"/>
        <v>A0130:丸紅新電力(株)メニューE</v>
      </c>
      <c r="S407" s="182">
        <f t="shared" si="28"/>
        <v>2.9500000000000001E-4</v>
      </c>
    </row>
    <row r="408" spans="2:19">
      <c r="B408" s="124" t="s">
        <v>1163</v>
      </c>
      <c r="C408" s="154" t="s">
        <v>1164</v>
      </c>
      <c r="D408" s="154" t="str">
        <f t="shared" si="26"/>
        <v>A0632:(株)ユーラスグリーンエナジー</v>
      </c>
      <c r="I408" s="124" t="s">
        <v>572</v>
      </c>
      <c r="J408" s="124" t="s">
        <v>573</v>
      </c>
      <c r="K408" s="182" t="s">
        <v>414</v>
      </c>
      <c r="L408" s="182">
        <v>3.8700000000000003E-4</v>
      </c>
      <c r="M408" s="182">
        <v>7.8999999999999996E-5</v>
      </c>
      <c r="N408" s="182">
        <v>7.8999999999999996E-5</v>
      </c>
      <c r="O408" s="182">
        <v>7.8999999999999996E-5</v>
      </c>
      <c r="P408" s="182">
        <v>7.8999999999999996E-5</v>
      </c>
      <c r="R408" s="154" t="str">
        <f t="shared" si="27"/>
        <v>A0130:丸紅新電力(株)メニューF</v>
      </c>
      <c r="S408" s="182">
        <f t="shared" si="28"/>
        <v>3.8700000000000003E-4</v>
      </c>
    </row>
    <row r="409" spans="2:19">
      <c r="B409" s="124" t="s">
        <v>1165</v>
      </c>
      <c r="C409" s="154" t="s">
        <v>1166</v>
      </c>
      <c r="D409" s="154" t="str">
        <f t="shared" si="26"/>
        <v>A0636:生活協同組合コープながの</v>
      </c>
      <c r="I409" s="124" t="s">
        <v>572</v>
      </c>
      <c r="J409" s="124" t="s">
        <v>573</v>
      </c>
      <c r="K409" s="182" t="s">
        <v>415</v>
      </c>
      <c r="L409" s="182">
        <v>0</v>
      </c>
      <c r="M409" s="182">
        <v>2.5500000000000002E-4</v>
      </c>
      <c r="N409" s="182">
        <v>2.5500000000000002E-4</v>
      </c>
      <c r="O409" s="182">
        <v>2.5500000000000002E-4</v>
      </c>
      <c r="P409" s="182">
        <v>2.5500000000000002E-4</v>
      </c>
      <c r="R409" s="154" t="str">
        <f t="shared" si="27"/>
        <v>A0130:丸紅新電力(株)メニューG</v>
      </c>
      <c r="S409" s="182">
        <f t="shared" si="28"/>
        <v>0</v>
      </c>
    </row>
    <row r="410" spans="2:19">
      <c r="B410" s="124" t="s">
        <v>1167</v>
      </c>
      <c r="C410" s="154" t="s">
        <v>1168</v>
      </c>
      <c r="D410" s="154" t="str">
        <f t="shared" si="26"/>
        <v>A0637:京セラ関電エナジー合同会社</v>
      </c>
      <c r="I410" s="124" t="s">
        <v>572</v>
      </c>
      <c r="J410" s="124" t="s">
        <v>573</v>
      </c>
      <c r="K410" s="182" t="s">
        <v>416</v>
      </c>
      <c r="L410" s="182">
        <v>0</v>
      </c>
      <c r="M410" s="182">
        <v>2.7500000000000002E-4</v>
      </c>
      <c r="N410" s="182">
        <v>2.7500000000000002E-4</v>
      </c>
      <c r="O410" s="182">
        <v>2.7500000000000002E-4</v>
      </c>
      <c r="P410" s="182">
        <v>2.7500000000000002E-4</v>
      </c>
      <c r="R410" s="154" t="str">
        <f t="shared" si="27"/>
        <v>A0130:丸紅新電力(株)メニューH</v>
      </c>
      <c r="S410" s="182">
        <f t="shared" si="28"/>
        <v>0</v>
      </c>
    </row>
    <row r="411" spans="2:19">
      <c r="B411" s="124" t="s">
        <v>1169</v>
      </c>
      <c r="C411" s="154" t="s">
        <v>1170</v>
      </c>
      <c r="D411" s="154" t="str">
        <f t="shared" si="26"/>
        <v>A0639:酒田天然瓦斯(株)</v>
      </c>
      <c r="I411" s="124" t="s">
        <v>572</v>
      </c>
      <c r="J411" s="124" t="s">
        <v>573</v>
      </c>
      <c r="K411" s="182" t="s">
        <v>417</v>
      </c>
      <c r="L411" s="182">
        <v>3.3E-4</v>
      </c>
      <c r="M411" s="182">
        <v>4.2000000000000002E-4</v>
      </c>
      <c r="N411" s="182">
        <v>4.2000000000000002E-4</v>
      </c>
      <c r="O411" s="182">
        <v>4.2000000000000002E-4</v>
      </c>
      <c r="P411" s="182">
        <v>4.2000000000000002E-4</v>
      </c>
      <c r="R411" s="154" t="str">
        <f t="shared" si="27"/>
        <v>A0130:丸紅新電力(株)メニューI</v>
      </c>
      <c r="S411" s="182">
        <f t="shared" si="28"/>
        <v>3.3E-4</v>
      </c>
    </row>
    <row r="412" spans="2:19">
      <c r="B412" s="124" t="s">
        <v>1171</v>
      </c>
      <c r="C412" s="154" t="s">
        <v>1172</v>
      </c>
      <c r="D412" s="154" t="str">
        <f t="shared" si="26"/>
        <v>A0640:東亜ガス(株)</v>
      </c>
      <c r="I412" s="124" t="s">
        <v>572</v>
      </c>
      <c r="J412" s="124" t="s">
        <v>573</v>
      </c>
      <c r="K412" s="182" t="s">
        <v>418</v>
      </c>
      <c r="L412" s="182">
        <v>0</v>
      </c>
      <c r="M412" s="182">
        <v>0</v>
      </c>
      <c r="N412" s="182">
        <v>0</v>
      </c>
      <c r="O412" s="182">
        <v>0</v>
      </c>
      <c r="P412" s="182">
        <v>0</v>
      </c>
      <c r="R412" s="154" t="str">
        <f t="shared" si="27"/>
        <v>A0130:丸紅新電力(株)メニューJ</v>
      </c>
      <c r="S412" s="182">
        <f t="shared" si="28"/>
        <v>0</v>
      </c>
    </row>
    <row r="413" spans="2:19">
      <c r="B413" s="124" t="s">
        <v>1173</v>
      </c>
      <c r="C413" s="154" t="s">
        <v>1174</v>
      </c>
      <c r="D413" s="154" t="str">
        <f t="shared" si="26"/>
        <v>A0641:(株)三河の山里コミュニティパワー</v>
      </c>
      <c r="I413" s="124" t="s">
        <v>572</v>
      </c>
      <c r="J413" s="124" t="s">
        <v>573</v>
      </c>
      <c r="K413" s="182" t="s">
        <v>432</v>
      </c>
      <c r="L413" s="182">
        <v>5.7700000000000004E-4</v>
      </c>
      <c r="M413" s="182">
        <v>3.3599999999999998E-4</v>
      </c>
      <c r="N413" s="182">
        <v>3.3599999999999998E-4</v>
      </c>
      <c r="O413" s="182">
        <v>3.3599999999999998E-4</v>
      </c>
      <c r="P413" s="182">
        <v>3.3599999999999998E-4</v>
      </c>
      <c r="R413" s="154" t="str">
        <f t="shared" si="27"/>
        <v>A0130:丸紅新電力(株)メニューK</v>
      </c>
      <c r="S413" s="182">
        <f t="shared" si="28"/>
        <v>5.7700000000000004E-4</v>
      </c>
    </row>
    <row r="414" spans="2:19">
      <c r="B414" s="124" t="s">
        <v>1175</v>
      </c>
      <c r="C414" s="154" t="s">
        <v>1176</v>
      </c>
      <c r="D414" s="154" t="str">
        <f t="shared" si="26"/>
        <v>A0642:新潟スワンエナジー(株)</v>
      </c>
      <c r="I414" s="124" t="s">
        <v>572</v>
      </c>
      <c r="J414" s="124" t="s">
        <v>573</v>
      </c>
      <c r="K414" s="182" t="s">
        <v>2010</v>
      </c>
      <c r="L414" s="182">
        <v>4.5199999999999998E-4</v>
      </c>
      <c r="M414" s="182">
        <v>5.8299999999999997E-4</v>
      </c>
      <c r="N414" s="182">
        <v>5.8299999999999997E-4</v>
      </c>
      <c r="O414" s="182">
        <v>5.8299999999999997E-4</v>
      </c>
      <c r="P414" s="182">
        <v>5.8299999999999997E-4</v>
      </c>
      <c r="R414" s="154" t="str">
        <f t="shared" si="27"/>
        <v>A0130:丸紅新電力(株)(参考値)事業者全体</v>
      </c>
      <c r="S414" s="182">
        <f t="shared" si="28"/>
        <v>4.5199999999999998E-4</v>
      </c>
    </row>
    <row r="415" spans="2:19">
      <c r="B415" s="124" t="s">
        <v>1177</v>
      </c>
      <c r="C415" s="154" t="s">
        <v>1178</v>
      </c>
      <c r="D415" s="154" t="str">
        <f t="shared" si="26"/>
        <v>A0644:グリーンピープルズパワー(株)</v>
      </c>
      <c r="I415" s="124" t="s">
        <v>574</v>
      </c>
      <c r="J415" s="124" t="s">
        <v>575</v>
      </c>
      <c r="K415" s="182"/>
      <c r="L415" s="182">
        <v>5.6899999999999995E-4</v>
      </c>
      <c r="M415" s="182">
        <v>6.0099999999999997E-4</v>
      </c>
      <c r="N415" s="182">
        <v>6.0099999999999997E-4</v>
      </c>
      <c r="O415" s="182">
        <v>6.0099999999999997E-4</v>
      </c>
      <c r="P415" s="182">
        <v>6.0099999999999997E-4</v>
      </c>
      <c r="R415" s="154" t="str">
        <f t="shared" si="27"/>
        <v>A0133:奈良電力(株)</v>
      </c>
      <c r="S415" s="182">
        <f t="shared" si="28"/>
        <v>5.6899999999999995E-4</v>
      </c>
    </row>
    <row r="416" spans="2:19">
      <c r="B416" s="124" t="s">
        <v>1179</v>
      </c>
      <c r="C416" s="154" t="s">
        <v>1180</v>
      </c>
      <c r="D416" s="154" t="str">
        <f t="shared" si="26"/>
        <v>A0648:(株)マルイファシリティーズ</v>
      </c>
      <c r="I416" s="124" t="s">
        <v>576</v>
      </c>
      <c r="J416" s="124" t="s">
        <v>1680</v>
      </c>
      <c r="K416" s="182" t="s">
        <v>390</v>
      </c>
      <c r="L416" s="182">
        <v>0</v>
      </c>
      <c r="M416" s="182">
        <v>0</v>
      </c>
      <c r="N416" s="182">
        <v>0</v>
      </c>
      <c r="O416" s="182">
        <v>0</v>
      </c>
      <c r="P416" s="182">
        <v>0</v>
      </c>
      <c r="R416" s="154" t="str">
        <f t="shared" si="27"/>
        <v>A0134:カナデビア(株)（旧:日立造船(株)）メニューA</v>
      </c>
      <c r="S416" s="182">
        <f t="shared" si="28"/>
        <v>0</v>
      </c>
    </row>
    <row r="417" spans="2:19">
      <c r="B417" s="124" t="s">
        <v>1181</v>
      </c>
      <c r="C417" s="154" t="s">
        <v>1182</v>
      </c>
      <c r="D417" s="154" t="str">
        <f t="shared" si="26"/>
        <v>A0649:(株)デンケン</v>
      </c>
      <c r="I417" s="124" t="s">
        <v>576</v>
      </c>
      <c r="J417" s="124" t="s">
        <v>1680</v>
      </c>
      <c r="K417" s="182" t="s">
        <v>398</v>
      </c>
      <c r="L417" s="182">
        <v>0</v>
      </c>
      <c r="M417" s="182">
        <v>4.0999999999999999E-4</v>
      </c>
      <c r="N417" s="182">
        <v>4.0999999999999999E-4</v>
      </c>
      <c r="O417" s="182">
        <v>4.0999999999999999E-4</v>
      </c>
      <c r="P417" s="182">
        <v>4.0999999999999999E-4</v>
      </c>
      <c r="R417" s="154" t="str">
        <f t="shared" si="27"/>
        <v>A0134:カナデビア(株)（旧:日立造船(株)）メニューB</v>
      </c>
      <c r="S417" s="182">
        <f t="shared" si="28"/>
        <v>0</v>
      </c>
    </row>
    <row r="418" spans="2:19">
      <c r="B418" s="124" t="s">
        <v>1183</v>
      </c>
      <c r="C418" s="154" t="s">
        <v>1184</v>
      </c>
      <c r="D418" s="154" t="str">
        <f t="shared" si="26"/>
        <v>A0650:(株)東名</v>
      </c>
      <c r="I418" s="124" t="s">
        <v>576</v>
      </c>
      <c r="J418" s="124" t="s">
        <v>1680</v>
      </c>
      <c r="K418" s="182" t="s">
        <v>399</v>
      </c>
      <c r="L418" s="182">
        <v>2.0000000000000001E-4</v>
      </c>
      <c r="M418" s="182">
        <v>5.8600000000000004E-4</v>
      </c>
      <c r="N418" s="182">
        <v>5.8600000000000004E-4</v>
      </c>
      <c r="O418" s="182">
        <v>5.8600000000000004E-4</v>
      </c>
      <c r="P418" s="182">
        <v>5.8600000000000004E-4</v>
      </c>
      <c r="R418" s="154" t="str">
        <f t="shared" si="27"/>
        <v>A0134:カナデビア(株)（旧:日立造船(株)）メニューC</v>
      </c>
      <c r="S418" s="182">
        <f t="shared" si="28"/>
        <v>2.0000000000000001E-4</v>
      </c>
    </row>
    <row r="419" spans="2:19">
      <c r="B419" s="124" t="s">
        <v>1185</v>
      </c>
      <c r="C419" s="154" t="s">
        <v>1186</v>
      </c>
      <c r="D419" s="154" t="str">
        <f t="shared" si="26"/>
        <v>A0653:NTTアノードエナジー(株)</v>
      </c>
      <c r="I419" s="124" t="s">
        <v>576</v>
      </c>
      <c r="J419" s="124" t="s">
        <v>1680</v>
      </c>
      <c r="K419" s="182" t="s">
        <v>2010</v>
      </c>
      <c r="L419" s="182">
        <v>1.47E-4</v>
      </c>
      <c r="M419" s="182">
        <v>0</v>
      </c>
      <c r="N419" s="182">
        <v>0</v>
      </c>
      <c r="O419" s="182">
        <v>0</v>
      </c>
      <c r="P419" s="182">
        <v>0</v>
      </c>
      <c r="R419" s="154" t="str">
        <f t="shared" si="27"/>
        <v>A0134:カナデビア(株)（旧:日立造船(株)）(参考値)事業者全体</v>
      </c>
      <c r="S419" s="182">
        <f t="shared" si="28"/>
        <v>1.47E-4</v>
      </c>
    </row>
    <row r="420" spans="2:19">
      <c r="B420" s="124" t="s">
        <v>1187</v>
      </c>
      <c r="C420" s="154" t="s">
        <v>1188</v>
      </c>
      <c r="D420" s="154" t="str">
        <f t="shared" si="26"/>
        <v>A0654:スマート電気(株)</v>
      </c>
      <c r="I420" s="124" t="s">
        <v>579</v>
      </c>
      <c r="J420" s="124" t="s">
        <v>580</v>
      </c>
      <c r="K420" s="182" t="s">
        <v>390</v>
      </c>
      <c r="L420" s="182">
        <v>0</v>
      </c>
      <c r="M420" s="182">
        <v>3.7300000000000001E-4</v>
      </c>
      <c r="N420" s="182">
        <v>3.7300000000000001E-4</v>
      </c>
      <c r="O420" s="182">
        <v>3.7300000000000001E-4</v>
      </c>
      <c r="P420" s="182">
        <v>3.7300000000000001E-4</v>
      </c>
      <c r="R420" s="154" t="str">
        <f t="shared" si="27"/>
        <v>A0136:パナソニックオペレーショナルエクセレンス(株)メニューA</v>
      </c>
      <c r="S420" s="182">
        <f t="shared" si="28"/>
        <v>0</v>
      </c>
    </row>
    <row r="421" spans="2:19">
      <c r="B421" s="124" t="s">
        <v>1189</v>
      </c>
      <c r="C421" s="154" t="s">
        <v>1190</v>
      </c>
      <c r="D421" s="154" t="str">
        <f t="shared" si="26"/>
        <v>A0655:(株)唐津パワーホールディングス</v>
      </c>
      <c r="I421" s="124" t="s">
        <v>579</v>
      </c>
      <c r="J421" s="124" t="s">
        <v>580</v>
      </c>
      <c r="K421" s="182" t="s">
        <v>398</v>
      </c>
      <c r="L421" s="182">
        <v>0</v>
      </c>
      <c r="M421" s="182">
        <v>4.2499999999999998E-4</v>
      </c>
      <c r="N421" s="182">
        <v>4.2499999999999998E-4</v>
      </c>
      <c r="O421" s="182">
        <v>4.2499999999999998E-4</v>
      </c>
      <c r="P421" s="182">
        <v>4.2499999999999998E-4</v>
      </c>
      <c r="R421" s="154" t="str">
        <f t="shared" si="27"/>
        <v>A0136:パナソニックオペレーショナルエクセレンス(株)メニューB</v>
      </c>
      <c r="S421" s="182">
        <f t="shared" si="28"/>
        <v>0</v>
      </c>
    </row>
    <row r="422" spans="2:19">
      <c r="B422" s="124" t="s">
        <v>1191</v>
      </c>
      <c r="C422" s="154" t="s">
        <v>1192</v>
      </c>
      <c r="D422" s="154" t="str">
        <f t="shared" si="26"/>
        <v>A0656:(株)クリーンエネルギー総合研究所</v>
      </c>
      <c r="I422" s="124" t="s">
        <v>579</v>
      </c>
      <c r="J422" s="124" t="s">
        <v>580</v>
      </c>
      <c r="K422" s="182" t="s">
        <v>399</v>
      </c>
      <c r="L422" s="182">
        <v>7.7300000000000003E-4</v>
      </c>
      <c r="M422" s="182">
        <v>2.9599999999999998E-4</v>
      </c>
      <c r="N422" s="182">
        <v>2.9599999999999998E-4</v>
      </c>
      <c r="O422" s="182">
        <v>2.9599999999999998E-4</v>
      </c>
      <c r="P422" s="182">
        <v>2.9599999999999998E-4</v>
      </c>
      <c r="R422" s="154" t="str">
        <f t="shared" si="27"/>
        <v>A0136:パナソニックオペレーショナルエクセレンス(株)メニューC</v>
      </c>
      <c r="S422" s="182">
        <f t="shared" si="28"/>
        <v>7.7300000000000003E-4</v>
      </c>
    </row>
    <row r="423" spans="2:19">
      <c r="B423" s="124" t="s">
        <v>1193</v>
      </c>
      <c r="C423" s="154" t="s">
        <v>1194</v>
      </c>
      <c r="D423" s="154" t="str">
        <f t="shared" si="26"/>
        <v>A0659:(株)かづのパワー</v>
      </c>
      <c r="I423" s="124" t="s">
        <v>579</v>
      </c>
      <c r="J423" s="124" t="s">
        <v>580</v>
      </c>
      <c r="K423" s="182" t="s">
        <v>2010</v>
      </c>
      <c r="L423" s="182">
        <v>3.8900000000000002E-4</v>
      </c>
      <c r="M423" s="182">
        <v>0</v>
      </c>
      <c r="N423" s="182">
        <v>0</v>
      </c>
      <c r="O423" s="182">
        <v>0</v>
      </c>
      <c r="P423" s="182">
        <v>0</v>
      </c>
      <c r="R423" s="154" t="str">
        <f t="shared" si="27"/>
        <v>A0136:パナソニックオペレーショナルエクセレンス(株)(参考値)事業者全体</v>
      </c>
      <c r="S423" s="182">
        <f t="shared" si="28"/>
        <v>3.8900000000000002E-4</v>
      </c>
    </row>
    <row r="424" spans="2:19">
      <c r="B424" s="124" t="s">
        <v>1195</v>
      </c>
      <c r="C424" s="154" t="s">
        <v>1196</v>
      </c>
      <c r="D424" s="154" t="str">
        <f t="shared" si="26"/>
        <v>A0660:UNIVERGY(株)</v>
      </c>
      <c r="I424" s="124" t="s">
        <v>581</v>
      </c>
      <c r="J424" s="124" t="s">
        <v>582</v>
      </c>
      <c r="K424" s="182"/>
      <c r="L424" s="182">
        <v>6.0400000000000004E-4</v>
      </c>
      <c r="M424" s="182">
        <v>0</v>
      </c>
      <c r="N424" s="182">
        <v>0</v>
      </c>
      <c r="O424" s="182">
        <v>0</v>
      </c>
      <c r="P424" s="182">
        <v>0</v>
      </c>
      <c r="R424" s="154" t="str">
        <f t="shared" si="27"/>
        <v>A0137:アストモスエネルギー(株)</v>
      </c>
      <c r="S424" s="182">
        <f t="shared" si="28"/>
        <v>6.0400000000000004E-4</v>
      </c>
    </row>
    <row r="425" spans="2:19">
      <c r="B425" s="124" t="s">
        <v>1197</v>
      </c>
      <c r="C425" s="154" t="s">
        <v>1198</v>
      </c>
      <c r="D425" s="154" t="str">
        <f t="shared" si="26"/>
        <v>A0661:JR西日本住宅サービス(株)</v>
      </c>
      <c r="I425" s="124" t="s">
        <v>583</v>
      </c>
      <c r="J425" s="124" t="s">
        <v>584</v>
      </c>
      <c r="K425" s="182" t="s">
        <v>390</v>
      </c>
      <c r="L425" s="182">
        <v>0</v>
      </c>
      <c r="M425" s="182">
        <v>5.3000000000000009E-4</v>
      </c>
      <c r="N425" s="182">
        <v>5.3000000000000009E-4</v>
      </c>
      <c r="O425" s="182">
        <v>5.3000000000000009E-4</v>
      </c>
      <c r="P425" s="182">
        <v>5.3000000000000009E-4</v>
      </c>
      <c r="R425" s="154" t="str">
        <f t="shared" si="27"/>
        <v>A0138:(株)関電エネルギーソリューションメニューA</v>
      </c>
      <c r="S425" s="182">
        <f t="shared" si="28"/>
        <v>0</v>
      </c>
    </row>
    <row r="426" spans="2:19">
      <c r="B426" s="124" t="s">
        <v>1199</v>
      </c>
      <c r="C426" s="154" t="s">
        <v>1200</v>
      </c>
      <c r="D426" s="154" t="str">
        <f t="shared" si="26"/>
        <v>A0664:デジタルグリッド(株)</v>
      </c>
      <c r="I426" s="124" t="s">
        <v>583</v>
      </c>
      <c r="J426" s="124" t="s">
        <v>584</v>
      </c>
      <c r="K426" s="182" t="s">
        <v>398</v>
      </c>
      <c r="L426" s="182">
        <v>6.3000000000000003E-4</v>
      </c>
      <c r="M426" s="182">
        <v>5.2000000000000006E-4</v>
      </c>
      <c r="N426" s="182">
        <v>5.2000000000000006E-4</v>
      </c>
      <c r="O426" s="182">
        <v>5.2000000000000006E-4</v>
      </c>
      <c r="P426" s="182">
        <v>5.2000000000000006E-4</v>
      </c>
      <c r="R426" s="154" t="str">
        <f t="shared" si="27"/>
        <v>A0138:(株)関電エネルギーソリューションメニューB</v>
      </c>
      <c r="S426" s="182">
        <f t="shared" si="28"/>
        <v>6.3000000000000003E-4</v>
      </c>
    </row>
    <row r="427" spans="2:19">
      <c r="B427" s="124" t="s">
        <v>1201</v>
      </c>
      <c r="C427" s="154" t="s">
        <v>1202</v>
      </c>
      <c r="D427" s="154" t="str">
        <f t="shared" si="26"/>
        <v>A0666:(株)西九州させぼパワーズ</v>
      </c>
      <c r="I427" s="124" t="s">
        <v>583</v>
      </c>
      <c r="J427" s="124" t="s">
        <v>584</v>
      </c>
      <c r="K427" s="182" t="s">
        <v>2010</v>
      </c>
      <c r="L427" s="182">
        <v>6.0400000000000004E-4</v>
      </c>
      <c r="M427" s="182">
        <v>4.6999999999999999E-4</v>
      </c>
      <c r="N427" s="182">
        <v>4.6999999999999999E-4</v>
      </c>
      <c r="O427" s="182">
        <v>4.6999999999999999E-4</v>
      </c>
      <c r="P427" s="182">
        <v>4.6999999999999999E-4</v>
      </c>
      <c r="R427" s="154" t="str">
        <f t="shared" si="27"/>
        <v>A0138:(株)関電エネルギーソリューション(参考値)事業者全体</v>
      </c>
      <c r="S427" s="182">
        <f t="shared" si="28"/>
        <v>6.0400000000000004E-4</v>
      </c>
    </row>
    <row r="428" spans="2:19">
      <c r="B428" s="124" t="s">
        <v>1203</v>
      </c>
      <c r="C428" s="154" t="s">
        <v>1204</v>
      </c>
      <c r="D428" s="154" t="str">
        <f t="shared" si="26"/>
        <v>A0667:たんたんエナジー(株)</v>
      </c>
      <c r="I428" s="124" t="s">
        <v>585</v>
      </c>
      <c r="J428" s="124" t="s">
        <v>586</v>
      </c>
      <c r="K428" s="182" t="s">
        <v>390</v>
      </c>
      <c r="L428" s="182">
        <v>0</v>
      </c>
      <c r="M428" s="182">
        <v>0</v>
      </c>
      <c r="N428" s="182">
        <v>0</v>
      </c>
      <c r="O428" s="182">
        <v>0</v>
      </c>
      <c r="P428" s="182">
        <v>0</v>
      </c>
      <c r="R428" s="154" t="str">
        <f t="shared" si="27"/>
        <v>A0140:MCリテールエナジー(株)メニューA</v>
      </c>
      <c r="S428" s="182">
        <f t="shared" si="28"/>
        <v>0</v>
      </c>
    </row>
    <row r="429" spans="2:19">
      <c r="B429" s="124" t="s">
        <v>1205</v>
      </c>
      <c r="C429" s="154" t="s">
        <v>1206</v>
      </c>
      <c r="D429" s="154" t="str">
        <f t="shared" si="26"/>
        <v>A0668:(株)能勢・豊能まちづくり</v>
      </c>
      <c r="I429" s="124" t="s">
        <v>585</v>
      </c>
      <c r="J429" s="124" t="s">
        <v>586</v>
      </c>
      <c r="K429" s="182" t="s">
        <v>398</v>
      </c>
      <c r="L429" s="182">
        <v>0</v>
      </c>
      <c r="M429" s="182">
        <v>5.3799999999999996E-4</v>
      </c>
      <c r="N429" s="182">
        <v>5.3799999999999996E-4</v>
      </c>
      <c r="O429" s="182">
        <v>5.3799999999999996E-4</v>
      </c>
      <c r="P429" s="182">
        <v>5.3799999999999996E-4</v>
      </c>
      <c r="R429" s="154" t="str">
        <f t="shared" si="27"/>
        <v>A0140:MCリテールエナジー(株)メニューB</v>
      </c>
      <c r="S429" s="182">
        <f t="shared" si="28"/>
        <v>0</v>
      </c>
    </row>
    <row r="430" spans="2:19">
      <c r="B430" s="124" t="s">
        <v>1207</v>
      </c>
      <c r="C430" s="154" t="s">
        <v>1208</v>
      </c>
      <c r="D430" s="154" t="str">
        <f t="shared" si="26"/>
        <v>A0670:(株)再エネ思考電力</v>
      </c>
      <c r="I430" s="124" t="s">
        <v>585</v>
      </c>
      <c r="J430" s="124" t="s">
        <v>586</v>
      </c>
      <c r="K430" s="182" t="s">
        <v>399</v>
      </c>
      <c r="L430" s="182">
        <v>4.9299999999999995E-4</v>
      </c>
      <c r="M430" s="182">
        <v>0</v>
      </c>
      <c r="N430" s="182">
        <v>0</v>
      </c>
      <c r="O430" s="182">
        <v>0</v>
      </c>
      <c r="P430" s="182">
        <v>0</v>
      </c>
      <c r="R430" s="154" t="str">
        <f t="shared" si="27"/>
        <v>A0140:MCリテールエナジー(株)メニューC</v>
      </c>
      <c r="S430" s="182">
        <f t="shared" si="28"/>
        <v>4.9299999999999995E-4</v>
      </c>
    </row>
    <row r="431" spans="2:19">
      <c r="B431" s="124" t="s">
        <v>1209</v>
      </c>
      <c r="C431" s="154" t="s">
        <v>1210</v>
      </c>
      <c r="D431" s="154" t="str">
        <f t="shared" si="26"/>
        <v>A0673:(株)ジャパネットサービスイノベーション</v>
      </c>
      <c r="I431" s="124" t="s">
        <v>585</v>
      </c>
      <c r="J431" s="124" t="s">
        <v>586</v>
      </c>
      <c r="K431" s="182" t="s">
        <v>2010</v>
      </c>
      <c r="L431" s="182">
        <v>4.8799999999999999E-4</v>
      </c>
      <c r="M431" s="182">
        <v>5.5099999999999995E-4</v>
      </c>
      <c r="N431" s="182">
        <v>5.5099999999999995E-4</v>
      </c>
      <c r="O431" s="182">
        <v>5.5099999999999995E-4</v>
      </c>
      <c r="P431" s="182">
        <v>5.5099999999999995E-4</v>
      </c>
      <c r="R431" s="154" t="str">
        <f t="shared" si="27"/>
        <v>A0140:MCリテールエナジー(株)(参考値)事業者全体</v>
      </c>
      <c r="S431" s="182">
        <f t="shared" si="28"/>
        <v>4.8799999999999999E-4</v>
      </c>
    </row>
    <row r="432" spans="2:19">
      <c r="B432" s="124" t="s">
        <v>1211</v>
      </c>
      <c r="C432" s="154" t="s">
        <v>1212</v>
      </c>
      <c r="D432" s="154" t="str">
        <f t="shared" si="26"/>
        <v>A0676:KBN(株)</v>
      </c>
      <c r="I432" s="124" t="s">
        <v>587</v>
      </c>
      <c r="J432" s="124" t="s">
        <v>588</v>
      </c>
      <c r="K432" s="182" t="s">
        <v>390</v>
      </c>
      <c r="L432" s="182">
        <v>0</v>
      </c>
      <c r="M432" s="182">
        <v>4.7399999999999997E-4</v>
      </c>
      <c r="N432" s="182">
        <v>4.7399999999999997E-4</v>
      </c>
      <c r="O432" s="182">
        <v>4.7399999999999997E-4</v>
      </c>
      <c r="P432" s="182">
        <v>4.7399999999999997E-4</v>
      </c>
      <c r="R432" s="154" t="str">
        <f t="shared" si="27"/>
        <v>A0141:(株)北九州パワーメニューA</v>
      </c>
      <c r="S432" s="182">
        <f t="shared" si="28"/>
        <v>0</v>
      </c>
    </row>
    <row r="433" spans="2:19">
      <c r="B433" s="124" t="s">
        <v>1213</v>
      </c>
      <c r="C433" s="154" t="s">
        <v>1214</v>
      </c>
      <c r="D433" s="154" t="str">
        <f t="shared" si="26"/>
        <v>A0677:(株)しおさい電力</v>
      </c>
      <c r="I433" s="124" t="s">
        <v>587</v>
      </c>
      <c r="J433" s="124" t="s">
        <v>588</v>
      </c>
      <c r="K433" s="182" t="s">
        <v>398</v>
      </c>
      <c r="L433" s="182">
        <v>0</v>
      </c>
      <c r="M433" s="182">
        <v>0</v>
      </c>
      <c r="N433" s="182">
        <v>0</v>
      </c>
      <c r="O433" s="182">
        <v>0</v>
      </c>
      <c r="P433" s="182">
        <v>0</v>
      </c>
      <c r="R433" s="154" t="str">
        <f t="shared" si="27"/>
        <v>A0141:(株)北九州パワーメニューB</v>
      </c>
      <c r="S433" s="182">
        <f t="shared" si="28"/>
        <v>0</v>
      </c>
    </row>
    <row r="434" spans="2:19">
      <c r="B434" s="124" t="s">
        <v>1215</v>
      </c>
      <c r="C434" s="154" t="s">
        <v>1216</v>
      </c>
      <c r="D434" s="154" t="str">
        <f t="shared" si="26"/>
        <v>A0680:会津エナジー(株)</v>
      </c>
      <c r="I434" s="124" t="s">
        <v>587</v>
      </c>
      <c r="J434" s="124" t="s">
        <v>588</v>
      </c>
      <c r="K434" s="182" t="s">
        <v>399</v>
      </c>
      <c r="L434" s="182">
        <v>3.1100000000000002E-4</v>
      </c>
      <c r="M434" s="182">
        <v>0</v>
      </c>
      <c r="N434" s="182">
        <v>0</v>
      </c>
      <c r="O434" s="182">
        <v>0</v>
      </c>
      <c r="P434" s="182">
        <v>0</v>
      </c>
      <c r="R434" s="154" t="str">
        <f t="shared" si="27"/>
        <v>A0141:(株)北九州パワーメニューC</v>
      </c>
      <c r="S434" s="182">
        <f t="shared" si="28"/>
        <v>3.1100000000000002E-4</v>
      </c>
    </row>
    <row r="435" spans="2:19">
      <c r="B435" s="124" t="s">
        <v>1217</v>
      </c>
      <c r="C435" s="154" t="s">
        <v>1218</v>
      </c>
      <c r="D435" s="154" t="str">
        <f t="shared" si="26"/>
        <v>A0681:うべ未来エネルギー(株)</v>
      </c>
      <c r="I435" s="124" t="s">
        <v>587</v>
      </c>
      <c r="J435" s="124" t="s">
        <v>588</v>
      </c>
      <c r="K435" s="182" t="s">
        <v>2010</v>
      </c>
      <c r="L435" s="182">
        <v>2.1599999999999999E-4</v>
      </c>
      <c r="M435" s="182">
        <v>1.6600000000000002E-4</v>
      </c>
      <c r="N435" s="182">
        <v>1.6600000000000002E-4</v>
      </c>
      <c r="O435" s="182">
        <v>1.6600000000000002E-4</v>
      </c>
      <c r="P435" s="182">
        <v>1.6600000000000002E-4</v>
      </c>
      <c r="R435" s="154" t="str">
        <f t="shared" si="27"/>
        <v>A0141:(株)北九州パワー(参考値)事業者全体</v>
      </c>
      <c r="S435" s="182">
        <f t="shared" si="28"/>
        <v>2.1599999999999999E-4</v>
      </c>
    </row>
    <row r="436" spans="2:19">
      <c r="B436" s="124" t="s">
        <v>1219</v>
      </c>
      <c r="C436" s="154" t="s">
        <v>1220</v>
      </c>
      <c r="D436" s="154" t="str">
        <f t="shared" si="26"/>
        <v>A0683:永井自動車工業(株)</v>
      </c>
      <c r="I436" s="124" t="s">
        <v>591</v>
      </c>
      <c r="J436" s="124" t="s">
        <v>1681</v>
      </c>
      <c r="K436" s="182" t="s">
        <v>390</v>
      </c>
      <c r="L436" s="182">
        <v>0</v>
      </c>
      <c r="M436" s="182">
        <v>3.9000000000000005E-4</v>
      </c>
      <c r="N436" s="182">
        <v>3.9000000000000005E-4</v>
      </c>
      <c r="O436" s="182">
        <v>3.9000000000000005E-4</v>
      </c>
      <c r="P436" s="182">
        <v>3.9000000000000005E-4</v>
      </c>
      <c r="R436" s="154" t="str">
        <f t="shared" si="27"/>
        <v>A0143:リニューアブル・ジャパン(株)メニューA</v>
      </c>
      <c r="S436" s="182">
        <f t="shared" si="28"/>
        <v>0</v>
      </c>
    </row>
    <row r="437" spans="2:19">
      <c r="B437" s="124" t="s">
        <v>1221</v>
      </c>
      <c r="C437" s="154" t="s">
        <v>1222</v>
      </c>
      <c r="D437" s="154" t="str">
        <f t="shared" si="26"/>
        <v>A0685:陸前高田しみんエネルギー(株)</v>
      </c>
      <c r="I437" s="124" t="s">
        <v>591</v>
      </c>
      <c r="J437" s="124" t="s">
        <v>1681</v>
      </c>
      <c r="K437" s="182" t="s">
        <v>398</v>
      </c>
      <c r="L437" s="182">
        <v>7.36E-4</v>
      </c>
      <c r="M437" s="182">
        <v>5.4799999999999998E-4</v>
      </c>
      <c r="N437" s="182">
        <v>5.4799999999999998E-4</v>
      </c>
      <c r="O437" s="182">
        <v>5.4799999999999998E-4</v>
      </c>
      <c r="P437" s="182">
        <v>5.4799999999999998E-4</v>
      </c>
      <c r="R437" s="154" t="str">
        <f t="shared" si="27"/>
        <v>A0143:リニューアブル・ジャパン(株)メニューB</v>
      </c>
      <c r="S437" s="182">
        <f t="shared" si="28"/>
        <v>7.36E-4</v>
      </c>
    </row>
    <row r="438" spans="2:19">
      <c r="B438" s="124" t="s">
        <v>1223</v>
      </c>
      <c r="C438" s="154" t="s">
        <v>1224</v>
      </c>
      <c r="D438" s="154" t="str">
        <f t="shared" si="26"/>
        <v>A0687:(株)チャームドライフ</v>
      </c>
      <c r="I438" s="124" t="s">
        <v>591</v>
      </c>
      <c r="J438" s="124" t="s">
        <v>1681</v>
      </c>
      <c r="K438" s="182" t="s">
        <v>2010</v>
      </c>
      <c r="L438" s="182">
        <v>0</v>
      </c>
      <c r="M438" s="182">
        <v>0</v>
      </c>
      <c r="N438" s="182">
        <v>0</v>
      </c>
      <c r="O438" s="182">
        <v>0</v>
      </c>
      <c r="P438" s="182">
        <v>0</v>
      </c>
      <c r="R438" s="154" t="str">
        <f t="shared" si="27"/>
        <v>A0143:リニューアブル・ジャパン(株)(参考値)事業者全体</v>
      </c>
      <c r="S438" s="182">
        <f t="shared" si="28"/>
        <v>0</v>
      </c>
    </row>
    <row r="439" spans="2:19">
      <c r="B439" s="124" t="s">
        <v>1225</v>
      </c>
      <c r="C439" s="154" t="s">
        <v>1226</v>
      </c>
      <c r="D439" s="154" t="str">
        <f t="shared" si="26"/>
        <v>A0689:スターティア(株)</v>
      </c>
      <c r="I439" s="124" t="s">
        <v>592</v>
      </c>
      <c r="J439" s="124" t="s">
        <v>593</v>
      </c>
      <c r="K439" s="182"/>
      <c r="L439" s="182">
        <v>3.4099999999999999E-4</v>
      </c>
      <c r="M439" s="182">
        <v>3.7100000000000002E-4</v>
      </c>
      <c r="N439" s="182">
        <v>3.7100000000000002E-4</v>
      </c>
      <c r="O439" s="182">
        <v>3.7100000000000002E-4</v>
      </c>
      <c r="P439" s="182">
        <v>3.7100000000000002E-4</v>
      </c>
      <c r="R439" s="154" t="str">
        <f t="shared" si="27"/>
        <v>A0144:大垣ガス(株)</v>
      </c>
      <c r="S439" s="182">
        <f t="shared" si="28"/>
        <v>3.4099999999999999E-4</v>
      </c>
    </row>
    <row r="440" spans="2:19">
      <c r="B440" s="124" t="s">
        <v>1227</v>
      </c>
      <c r="C440" s="154" t="s">
        <v>1228</v>
      </c>
      <c r="D440" s="154" t="str">
        <f t="shared" si="26"/>
        <v>A0690:東広島スマートエネルギー(株)</v>
      </c>
      <c r="I440" s="124" t="s">
        <v>594</v>
      </c>
      <c r="J440" s="124" t="s">
        <v>595</v>
      </c>
      <c r="K440" s="182" t="s">
        <v>390</v>
      </c>
      <c r="L440" s="182">
        <v>2.0599999999999999E-4</v>
      </c>
      <c r="M440" s="182">
        <v>2.9299999999999997E-4</v>
      </c>
      <c r="N440" s="182">
        <v>2.9299999999999997E-4</v>
      </c>
      <c r="O440" s="182">
        <v>2.9299999999999997E-4</v>
      </c>
      <c r="P440" s="182">
        <v>2.9299999999999997E-4</v>
      </c>
      <c r="R440" s="154" t="str">
        <f t="shared" si="27"/>
        <v>A0145:(株)藤田商店メニューA</v>
      </c>
      <c r="S440" s="182">
        <f t="shared" si="28"/>
        <v>2.0599999999999999E-4</v>
      </c>
    </row>
    <row r="441" spans="2:19">
      <c r="B441" s="124" t="s">
        <v>1229</v>
      </c>
      <c r="C441" s="154" t="s">
        <v>1230</v>
      </c>
      <c r="D441" s="154" t="str">
        <f t="shared" si="26"/>
        <v>A0692:旭化成(株)</v>
      </c>
      <c r="I441" s="124" t="s">
        <v>594</v>
      </c>
      <c r="J441" s="124" t="s">
        <v>595</v>
      </c>
      <c r="K441" s="182" t="s">
        <v>398</v>
      </c>
      <c r="L441" s="182">
        <v>3.2500000000000004E-4</v>
      </c>
      <c r="M441" s="182">
        <v>3.4000000000000002E-4</v>
      </c>
      <c r="N441" s="182">
        <v>3.4000000000000002E-4</v>
      </c>
      <c r="O441" s="182">
        <v>3.4000000000000002E-4</v>
      </c>
      <c r="P441" s="182">
        <v>3.4000000000000002E-4</v>
      </c>
      <c r="R441" s="154" t="str">
        <f t="shared" si="27"/>
        <v>A0145:(株)藤田商店メニューB</v>
      </c>
      <c r="S441" s="182">
        <f t="shared" si="28"/>
        <v>3.2500000000000004E-4</v>
      </c>
    </row>
    <row r="442" spans="2:19">
      <c r="B442" s="124" t="s">
        <v>1231</v>
      </c>
      <c r="C442" s="154" t="s">
        <v>1232</v>
      </c>
      <c r="D442" s="154" t="str">
        <f t="shared" si="26"/>
        <v>A0693:京和ガス(株)</v>
      </c>
      <c r="I442" s="124" t="s">
        <v>594</v>
      </c>
      <c r="J442" s="124" t="s">
        <v>595</v>
      </c>
      <c r="K442" s="182" t="s">
        <v>399</v>
      </c>
      <c r="L442" s="182">
        <v>5.2400000000000005E-4</v>
      </c>
      <c r="M442" s="182">
        <v>2.0599999999999999E-4</v>
      </c>
      <c r="N442" s="182">
        <v>2.0599999999999999E-4</v>
      </c>
      <c r="O442" s="182">
        <v>2.0599999999999999E-4</v>
      </c>
      <c r="P442" s="182">
        <v>2.0599999999999999E-4</v>
      </c>
      <c r="R442" s="154" t="str">
        <f t="shared" si="27"/>
        <v>A0145:(株)藤田商店メニューC</v>
      </c>
      <c r="S442" s="182">
        <f t="shared" si="28"/>
        <v>5.2400000000000005E-4</v>
      </c>
    </row>
    <row r="443" spans="2:19">
      <c r="B443" s="124" t="s">
        <v>1233</v>
      </c>
      <c r="C443" s="154" t="s">
        <v>1234</v>
      </c>
      <c r="D443" s="154" t="str">
        <f t="shared" si="26"/>
        <v>A0695:KMパワー(株)</v>
      </c>
      <c r="I443" s="124" t="s">
        <v>594</v>
      </c>
      <c r="J443" s="124" t="s">
        <v>595</v>
      </c>
      <c r="K443" s="182" t="s">
        <v>2010</v>
      </c>
      <c r="L443" s="182">
        <v>5.1099999999999995E-4</v>
      </c>
      <c r="M443" s="182">
        <v>0</v>
      </c>
      <c r="N443" s="182">
        <v>0</v>
      </c>
      <c r="O443" s="182">
        <v>0</v>
      </c>
      <c r="P443" s="182">
        <v>0</v>
      </c>
      <c r="R443" s="154" t="str">
        <f t="shared" si="27"/>
        <v>A0145:(株)藤田商店(参考値)事業者全体</v>
      </c>
      <c r="S443" s="182">
        <f t="shared" si="28"/>
        <v>5.1099999999999995E-4</v>
      </c>
    </row>
    <row r="444" spans="2:19">
      <c r="B444" s="124" t="s">
        <v>1235</v>
      </c>
      <c r="C444" s="154" t="s">
        <v>1236</v>
      </c>
      <c r="D444" s="154" t="str">
        <f t="shared" si="26"/>
        <v>A0696:(株)Okazaki</v>
      </c>
      <c r="I444" s="124" t="s">
        <v>596</v>
      </c>
      <c r="J444" s="124" t="s">
        <v>597</v>
      </c>
      <c r="K444" s="182" t="s">
        <v>390</v>
      </c>
      <c r="L444" s="182">
        <v>0</v>
      </c>
      <c r="M444" s="182">
        <v>5.1099999999999995E-4</v>
      </c>
      <c r="N444" s="182">
        <v>5.1099999999999995E-4</v>
      </c>
      <c r="O444" s="182">
        <v>5.1099999999999995E-4</v>
      </c>
      <c r="P444" s="182">
        <v>5.1099999999999995E-4</v>
      </c>
      <c r="R444" s="154" t="str">
        <f t="shared" si="27"/>
        <v>A0146:(株)ケーブルネット下関メニューA</v>
      </c>
      <c r="S444" s="182">
        <f t="shared" si="28"/>
        <v>0</v>
      </c>
    </row>
    <row r="445" spans="2:19">
      <c r="B445" s="124" t="s">
        <v>1237</v>
      </c>
      <c r="C445" s="154" t="s">
        <v>1238</v>
      </c>
      <c r="D445" s="154" t="str">
        <f t="shared" si="26"/>
        <v>A0698:(株)エフオン</v>
      </c>
      <c r="I445" s="124" t="s">
        <v>596</v>
      </c>
      <c r="J445" s="124" t="s">
        <v>597</v>
      </c>
      <c r="K445" s="182" t="s">
        <v>398</v>
      </c>
      <c r="L445" s="182">
        <v>4.8999999999999998E-4</v>
      </c>
      <c r="M445" s="182">
        <v>5.5199999999999997E-4</v>
      </c>
      <c r="N445" s="182">
        <v>5.5199999999999997E-4</v>
      </c>
      <c r="O445" s="182">
        <v>5.5199999999999997E-4</v>
      </c>
      <c r="P445" s="182">
        <v>5.5199999999999997E-4</v>
      </c>
      <c r="R445" s="154" t="str">
        <f t="shared" si="27"/>
        <v>A0146:(株)ケーブルネット下関メニューB</v>
      </c>
      <c r="S445" s="182">
        <f t="shared" si="28"/>
        <v>4.8999999999999998E-4</v>
      </c>
    </row>
    <row r="446" spans="2:19">
      <c r="B446" s="124" t="s">
        <v>1239</v>
      </c>
      <c r="C446" s="154" t="s">
        <v>1240</v>
      </c>
      <c r="D446" s="154" t="str">
        <f t="shared" si="26"/>
        <v>A0699:(株)岡崎さくら電力</v>
      </c>
      <c r="I446" s="124" t="s">
        <v>596</v>
      </c>
      <c r="J446" s="124" t="s">
        <v>597</v>
      </c>
      <c r="K446" s="182" t="s">
        <v>2010</v>
      </c>
      <c r="L446" s="182">
        <v>4.8799999999999999E-4</v>
      </c>
      <c r="M446" s="182">
        <v>4.5199999999999998E-4</v>
      </c>
      <c r="N446" s="182">
        <v>4.5199999999999998E-4</v>
      </c>
      <c r="O446" s="182">
        <v>4.5199999999999998E-4</v>
      </c>
      <c r="P446" s="182">
        <v>4.5199999999999998E-4</v>
      </c>
      <c r="R446" s="154" t="str">
        <f t="shared" si="27"/>
        <v>A0146:(株)ケーブルネット下関(参考値)事業者全体</v>
      </c>
      <c r="S446" s="182">
        <f t="shared" si="28"/>
        <v>4.8799999999999999E-4</v>
      </c>
    </row>
    <row r="447" spans="2:19">
      <c r="B447" s="124" t="s">
        <v>1241</v>
      </c>
      <c r="C447" s="154" t="s">
        <v>1242</v>
      </c>
      <c r="D447" s="154" t="str">
        <f t="shared" si="26"/>
        <v>A0702:旭マルヰガス(株)</v>
      </c>
      <c r="I447" s="124" t="s">
        <v>598</v>
      </c>
      <c r="J447" s="124" t="s">
        <v>599</v>
      </c>
      <c r="K447" s="182" t="s">
        <v>390</v>
      </c>
      <c r="L447" s="182">
        <v>0</v>
      </c>
      <c r="M447" s="182">
        <v>0</v>
      </c>
      <c r="N447" s="182">
        <v>0</v>
      </c>
      <c r="O447" s="182">
        <v>0</v>
      </c>
      <c r="P447" s="182">
        <v>0</v>
      </c>
      <c r="R447" s="154" t="str">
        <f t="shared" si="27"/>
        <v>A0147:(株)ジェイコム九州メニューA</v>
      </c>
      <c r="S447" s="182">
        <f t="shared" si="28"/>
        <v>0</v>
      </c>
    </row>
    <row r="448" spans="2:19">
      <c r="B448" s="124" t="s">
        <v>1243</v>
      </c>
      <c r="C448" s="154" t="s">
        <v>1244</v>
      </c>
      <c r="D448" s="154" t="str">
        <f t="shared" si="26"/>
        <v>A0703:JREトレーディング(株)</v>
      </c>
      <c r="I448" s="124" t="s">
        <v>598</v>
      </c>
      <c r="J448" s="124" t="s">
        <v>599</v>
      </c>
      <c r="K448" s="182" t="s">
        <v>398</v>
      </c>
      <c r="L448" s="182">
        <v>4.6200000000000001E-4</v>
      </c>
      <c r="M448" s="182">
        <v>3.4099999999999999E-4</v>
      </c>
      <c r="N448" s="182">
        <v>3.4099999999999999E-4</v>
      </c>
      <c r="O448" s="182">
        <v>3.4099999999999999E-4</v>
      </c>
      <c r="P448" s="182">
        <v>3.4099999999999999E-4</v>
      </c>
      <c r="R448" s="154" t="str">
        <f t="shared" si="27"/>
        <v>A0147:(株)ジェイコム九州メニューB</v>
      </c>
      <c r="S448" s="182">
        <f t="shared" si="28"/>
        <v>4.6200000000000001E-4</v>
      </c>
    </row>
    <row r="449" spans="2:19">
      <c r="B449" s="124" t="s">
        <v>1245</v>
      </c>
      <c r="C449" s="154" t="s">
        <v>1246</v>
      </c>
      <c r="D449" s="154" t="str">
        <f t="shared" si="26"/>
        <v>A0704:Castleton Commodities Japan合同会社</v>
      </c>
      <c r="I449" s="124" t="s">
        <v>598</v>
      </c>
      <c r="J449" s="124" t="s">
        <v>599</v>
      </c>
      <c r="K449" s="182" t="s">
        <v>2010</v>
      </c>
      <c r="L449" s="182">
        <v>4.57E-4</v>
      </c>
      <c r="M449" s="182">
        <v>0</v>
      </c>
      <c r="N449" s="182">
        <v>0</v>
      </c>
      <c r="O449" s="182">
        <v>0</v>
      </c>
      <c r="P449" s="182">
        <v>0</v>
      </c>
      <c r="R449" s="154" t="str">
        <f t="shared" si="27"/>
        <v>A0147:(株)ジェイコム九州(参考値)事業者全体</v>
      </c>
      <c r="S449" s="182">
        <f t="shared" si="28"/>
        <v>4.57E-4</v>
      </c>
    </row>
    <row r="450" spans="2:19">
      <c r="B450" s="124" t="s">
        <v>1247</v>
      </c>
      <c r="C450" s="154" t="s">
        <v>1248</v>
      </c>
      <c r="D450" s="154" t="str">
        <f t="shared" si="26"/>
        <v>A0705:神戸電力(株)</v>
      </c>
      <c r="I450" s="124" t="s">
        <v>600</v>
      </c>
      <c r="J450" s="124" t="s">
        <v>601</v>
      </c>
      <c r="K450" s="182" t="s">
        <v>390</v>
      </c>
      <c r="L450" s="182">
        <v>0</v>
      </c>
      <c r="M450" s="182">
        <v>4.95E-4</v>
      </c>
      <c r="N450" s="182">
        <v>4.95E-4</v>
      </c>
      <c r="O450" s="182">
        <v>4.95E-4</v>
      </c>
      <c r="P450" s="182">
        <v>4.95E-4</v>
      </c>
      <c r="R450" s="154" t="str">
        <f t="shared" si="27"/>
        <v>A0149:(株)グローバルエンジニアリングメニューA</v>
      </c>
      <c r="S450" s="182">
        <f t="shared" si="28"/>
        <v>0</v>
      </c>
    </row>
    <row r="451" spans="2:19">
      <c r="B451" s="124" t="s">
        <v>1249</v>
      </c>
      <c r="C451" s="154" t="s">
        <v>1250</v>
      </c>
      <c r="D451" s="154" t="str">
        <f t="shared" si="26"/>
        <v>A0708:エア・ウォーター・ライフソリューション(株)</v>
      </c>
      <c r="I451" s="124" t="s">
        <v>600</v>
      </c>
      <c r="J451" s="124" t="s">
        <v>601</v>
      </c>
      <c r="K451" s="182" t="s">
        <v>398</v>
      </c>
      <c r="L451" s="182">
        <v>0</v>
      </c>
      <c r="M451" s="182">
        <v>8.4000000000000003E-4</v>
      </c>
      <c r="N451" s="182">
        <v>8.4000000000000003E-4</v>
      </c>
      <c r="O451" s="182">
        <v>8.4000000000000003E-4</v>
      </c>
      <c r="P451" s="182">
        <v>8.4000000000000003E-4</v>
      </c>
      <c r="R451" s="154" t="str">
        <f t="shared" si="27"/>
        <v>A0149:(株)グローバルエンジニアリングメニューB</v>
      </c>
      <c r="S451" s="182">
        <f t="shared" si="28"/>
        <v>0</v>
      </c>
    </row>
    <row r="452" spans="2:19">
      <c r="B452" s="124" t="s">
        <v>1251</v>
      </c>
      <c r="C452" s="154" t="s">
        <v>1252</v>
      </c>
      <c r="D452" s="154" t="str">
        <f t="shared" si="26"/>
        <v>A0709:生活協同組合ひろしま</v>
      </c>
      <c r="I452" s="124" t="s">
        <v>600</v>
      </c>
      <c r="J452" s="124" t="s">
        <v>601</v>
      </c>
      <c r="K452" s="182" t="s">
        <v>399</v>
      </c>
      <c r="L452" s="182">
        <v>5.9199999999999997E-4</v>
      </c>
      <c r="M452" s="182">
        <v>4.2000000000000002E-4</v>
      </c>
      <c r="N452" s="182">
        <v>4.2000000000000002E-4</v>
      </c>
      <c r="O452" s="182">
        <v>4.2000000000000002E-4</v>
      </c>
      <c r="P452" s="182">
        <v>4.2000000000000002E-4</v>
      </c>
      <c r="R452" s="154" t="str">
        <f t="shared" si="27"/>
        <v>A0149:(株)グローバルエンジニアリングメニューC</v>
      </c>
      <c r="S452" s="182">
        <f t="shared" si="28"/>
        <v>5.9199999999999997E-4</v>
      </c>
    </row>
    <row r="453" spans="2:19">
      <c r="B453" s="124" t="s">
        <v>1253</v>
      </c>
      <c r="C453" s="154" t="s">
        <v>1254</v>
      </c>
      <c r="D453" s="154" t="str">
        <f t="shared" si="26"/>
        <v>A0711:(株)RenoLAbo</v>
      </c>
      <c r="I453" s="124" t="s">
        <v>600</v>
      </c>
      <c r="J453" s="124" t="s">
        <v>601</v>
      </c>
      <c r="K453" s="182" t="s">
        <v>2010</v>
      </c>
      <c r="L453" s="182">
        <v>5.7700000000000004E-4</v>
      </c>
      <c r="M453" s="182">
        <v>0</v>
      </c>
      <c r="N453" s="182">
        <v>0</v>
      </c>
      <c r="O453" s="182">
        <v>0</v>
      </c>
      <c r="P453" s="182">
        <v>0</v>
      </c>
      <c r="R453" s="154" t="str">
        <f t="shared" si="27"/>
        <v>A0149:(株)グローバルエンジニアリング(参考値)事業者全体</v>
      </c>
      <c r="S453" s="182">
        <f t="shared" si="28"/>
        <v>5.7700000000000004E-4</v>
      </c>
    </row>
    <row r="454" spans="2:19">
      <c r="B454" s="124" t="s">
        <v>1255</v>
      </c>
      <c r="C454" s="154" t="s">
        <v>1256</v>
      </c>
      <c r="D454" s="154" t="str">
        <f t="shared" si="26"/>
        <v>A0712:アークエルテクノロジーズ(株)</v>
      </c>
      <c r="I454" s="124" t="s">
        <v>602</v>
      </c>
      <c r="J454" s="124" t="s">
        <v>603</v>
      </c>
      <c r="K454" s="182" t="s">
        <v>390</v>
      </c>
      <c r="L454" s="182">
        <v>0</v>
      </c>
      <c r="M454" s="182">
        <v>0</v>
      </c>
      <c r="N454" s="182">
        <v>0</v>
      </c>
      <c r="O454" s="182">
        <v>0</v>
      </c>
      <c r="P454" s="182">
        <v>0</v>
      </c>
      <c r="R454" s="154" t="str">
        <f t="shared" si="27"/>
        <v>A0150:九州エナジー(株)メニューA</v>
      </c>
      <c r="S454" s="182">
        <f t="shared" si="28"/>
        <v>0</v>
      </c>
    </row>
    <row r="455" spans="2:19">
      <c r="B455" s="124" t="s">
        <v>1257</v>
      </c>
      <c r="C455" s="154" t="s">
        <v>1258</v>
      </c>
      <c r="D455" s="154" t="str">
        <f t="shared" si="26"/>
        <v>A0714:エルメック(株)</v>
      </c>
      <c r="I455" s="124" t="s">
        <v>602</v>
      </c>
      <c r="J455" s="124" t="s">
        <v>603</v>
      </c>
      <c r="K455" s="182" t="s">
        <v>398</v>
      </c>
      <c r="L455" s="182">
        <v>3.8499999999999998E-4</v>
      </c>
      <c r="M455" s="182">
        <v>5.3899999999999998E-4</v>
      </c>
      <c r="N455" s="182">
        <v>5.3899999999999998E-4</v>
      </c>
      <c r="O455" s="182">
        <v>5.3899999999999998E-4</v>
      </c>
      <c r="P455" s="182">
        <v>5.3899999999999998E-4</v>
      </c>
      <c r="R455" s="154" t="str">
        <f t="shared" si="27"/>
        <v>A0150:九州エナジー(株)メニューB</v>
      </c>
      <c r="S455" s="182">
        <f t="shared" si="28"/>
        <v>3.8499999999999998E-4</v>
      </c>
    </row>
    <row r="456" spans="2:19">
      <c r="B456" s="124" t="s">
        <v>1259</v>
      </c>
      <c r="C456" s="154" t="s">
        <v>1260</v>
      </c>
      <c r="D456" s="154" t="str">
        <f t="shared" si="26"/>
        <v>A0715:(株)オズエナジー</v>
      </c>
      <c r="I456" s="124" t="s">
        <v>602</v>
      </c>
      <c r="J456" s="124" t="s">
        <v>603</v>
      </c>
      <c r="K456" s="182" t="s">
        <v>2010</v>
      </c>
      <c r="L456" s="182">
        <v>3.8299999999999999E-4</v>
      </c>
      <c r="M456" s="182">
        <v>0</v>
      </c>
      <c r="N456" s="182">
        <v>0</v>
      </c>
      <c r="O456" s="182">
        <v>0</v>
      </c>
      <c r="P456" s="182">
        <v>0</v>
      </c>
      <c r="R456" s="154" t="str">
        <f t="shared" si="27"/>
        <v>A0150:九州エナジー(株)(参考値)事業者全体</v>
      </c>
      <c r="S456" s="182">
        <f t="shared" si="28"/>
        <v>3.8299999999999999E-4</v>
      </c>
    </row>
    <row r="457" spans="2:19">
      <c r="B457" s="124" t="s">
        <v>1261</v>
      </c>
      <c r="C457" s="154" t="s">
        <v>1262</v>
      </c>
      <c r="D457" s="154" t="str">
        <f t="shared" si="26"/>
        <v>A0716:レモンガス(株)</v>
      </c>
      <c r="I457" s="124" t="s">
        <v>604</v>
      </c>
      <c r="J457" s="124" t="s">
        <v>605</v>
      </c>
      <c r="K457" s="182" t="s">
        <v>390</v>
      </c>
      <c r="L457" s="182">
        <v>0</v>
      </c>
      <c r="M457" s="182">
        <v>4.3800000000000002E-4</v>
      </c>
      <c r="N457" s="182">
        <v>4.3800000000000002E-4</v>
      </c>
      <c r="O457" s="182">
        <v>4.3800000000000002E-4</v>
      </c>
      <c r="P457" s="182">
        <v>4.3800000000000002E-4</v>
      </c>
      <c r="R457" s="154" t="str">
        <f t="shared" si="27"/>
        <v>A0151:(株)トヨタエナジーソリューションズメニューA</v>
      </c>
      <c r="S457" s="182">
        <f t="shared" si="28"/>
        <v>0</v>
      </c>
    </row>
    <row r="458" spans="2:19">
      <c r="B458" s="124" t="s">
        <v>1263</v>
      </c>
      <c r="C458" s="154" t="s">
        <v>1264</v>
      </c>
      <c r="D458" s="154" t="str">
        <f t="shared" ref="D458:D521" si="29">B458&amp;":"&amp;C458</f>
        <v>A0718:(株)日本海水</v>
      </c>
      <c r="I458" s="124" t="s">
        <v>604</v>
      </c>
      <c r="J458" s="124" t="s">
        <v>605</v>
      </c>
      <c r="K458" s="182" t="s">
        <v>398</v>
      </c>
      <c r="L458" s="182">
        <v>4.6900000000000002E-4</v>
      </c>
      <c r="M458" s="182">
        <v>4.0999999999999999E-4</v>
      </c>
      <c r="N458" s="182">
        <v>4.0999999999999999E-4</v>
      </c>
      <c r="O458" s="182">
        <v>4.0999999999999999E-4</v>
      </c>
      <c r="P458" s="182">
        <v>4.0999999999999999E-4</v>
      </c>
      <c r="R458" s="154" t="str">
        <f t="shared" ref="R458:R521" si="30">I458&amp;":"&amp;J458&amp;K458</f>
        <v>A0151:(株)トヨタエナジーソリューションズメニューB</v>
      </c>
      <c r="S458" s="182">
        <f t="shared" ref="S458:S521" si="31">HLOOKUP($S$8,$L$8:$P$1500,ROW()-7,FALSE)</f>
        <v>4.6900000000000002E-4</v>
      </c>
    </row>
    <row r="459" spans="2:19">
      <c r="B459" s="124" t="s">
        <v>1265</v>
      </c>
      <c r="C459" s="154" t="s">
        <v>1266</v>
      </c>
      <c r="D459" s="154" t="str">
        <f t="shared" si="29"/>
        <v>A0720:しろくま電力(株)(旧:(株)afterFIT)</v>
      </c>
      <c r="I459" s="124" t="s">
        <v>604</v>
      </c>
      <c r="J459" s="124" t="s">
        <v>605</v>
      </c>
      <c r="K459" s="182" t="s">
        <v>2010</v>
      </c>
      <c r="L459" s="182">
        <v>4.64E-4</v>
      </c>
      <c r="M459" s="182">
        <v>5.0199999999999995E-4</v>
      </c>
      <c r="N459" s="182">
        <v>5.0199999999999995E-4</v>
      </c>
      <c r="O459" s="182">
        <v>5.0199999999999995E-4</v>
      </c>
      <c r="P459" s="182">
        <v>5.0199999999999995E-4</v>
      </c>
      <c r="R459" s="154" t="str">
        <f t="shared" si="30"/>
        <v>A0151:(株)トヨタエナジーソリューションズ(参考値)事業者全体</v>
      </c>
      <c r="S459" s="182">
        <f t="shared" si="31"/>
        <v>4.64E-4</v>
      </c>
    </row>
    <row r="460" spans="2:19">
      <c r="B460" s="124" t="s">
        <v>1267</v>
      </c>
      <c r="C460" s="154" t="s">
        <v>1268</v>
      </c>
      <c r="D460" s="154" t="str">
        <f t="shared" si="29"/>
        <v>A0721:中小企業支援(株)</v>
      </c>
      <c r="I460" s="124" t="s">
        <v>606</v>
      </c>
      <c r="J460" s="124" t="s">
        <v>607</v>
      </c>
      <c r="K460" s="182" t="s">
        <v>390</v>
      </c>
      <c r="L460" s="182">
        <v>0</v>
      </c>
      <c r="M460" s="182">
        <v>0</v>
      </c>
      <c r="N460" s="182">
        <v>0</v>
      </c>
      <c r="O460" s="182">
        <v>0</v>
      </c>
      <c r="P460" s="182">
        <v>0</v>
      </c>
      <c r="R460" s="154" t="str">
        <f t="shared" si="30"/>
        <v>A0153:(株)エナリス・パワー・マーケティングメニューA</v>
      </c>
      <c r="S460" s="182">
        <f t="shared" si="31"/>
        <v>0</v>
      </c>
    </row>
    <row r="461" spans="2:19">
      <c r="B461" s="124" t="s">
        <v>1269</v>
      </c>
      <c r="C461" s="154" t="s">
        <v>1270</v>
      </c>
      <c r="D461" s="154" t="str">
        <f t="shared" si="29"/>
        <v>A0722:サントラベラーズサービス有限会社</v>
      </c>
      <c r="I461" s="124" t="s">
        <v>606</v>
      </c>
      <c r="J461" s="124" t="s">
        <v>607</v>
      </c>
      <c r="K461" s="182" t="s">
        <v>398</v>
      </c>
      <c r="L461" s="182">
        <v>0</v>
      </c>
      <c r="M461" s="182">
        <v>0</v>
      </c>
      <c r="N461" s="182">
        <v>0</v>
      </c>
      <c r="O461" s="182">
        <v>0</v>
      </c>
      <c r="P461" s="182">
        <v>0</v>
      </c>
      <c r="R461" s="154" t="str">
        <f t="shared" si="30"/>
        <v>A0153:(株)エナリス・パワー・マーケティングメニューB</v>
      </c>
      <c r="S461" s="182">
        <f t="shared" si="31"/>
        <v>0</v>
      </c>
    </row>
    <row r="462" spans="2:19">
      <c r="B462" s="124" t="s">
        <v>1271</v>
      </c>
      <c r="C462" s="154" t="s">
        <v>1272</v>
      </c>
      <c r="D462" s="154" t="str">
        <f t="shared" si="29"/>
        <v>A0726:八千代エンジニヤリング(株)</v>
      </c>
      <c r="I462" s="124" t="s">
        <v>606</v>
      </c>
      <c r="J462" s="124" t="s">
        <v>607</v>
      </c>
      <c r="K462" s="182" t="s">
        <v>399</v>
      </c>
      <c r="L462" s="182">
        <v>4.0000000000000002E-4</v>
      </c>
      <c r="M462" s="182">
        <v>4.2700000000000002E-4</v>
      </c>
      <c r="N462" s="182">
        <v>4.2700000000000002E-4</v>
      </c>
      <c r="O462" s="182">
        <v>4.2700000000000002E-4</v>
      </c>
      <c r="P462" s="182">
        <v>4.2700000000000002E-4</v>
      </c>
      <c r="R462" s="154" t="str">
        <f t="shared" si="30"/>
        <v>A0153:(株)エナリス・パワー・マーケティングメニューC</v>
      </c>
      <c r="S462" s="182">
        <f t="shared" si="31"/>
        <v>4.0000000000000002E-4</v>
      </c>
    </row>
    <row r="463" spans="2:19">
      <c r="B463" s="124" t="s">
        <v>1273</v>
      </c>
      <c r="C463" s="154" t="s">
        <v>1274</v>
      </c>
      <c r="D463" s="154" t="str">
        <f t="shared" si="29"/>
        <v>A0729:神楽電力(株)</v>
      </c>
      <c r="I463" s="124" t="s">
        <v>606</v>
      </c>
      <c r="J463" s="124" t="s">
        <v>607</v>
      </c>
      <c r="K463" s="182" t="s">
        <v>400</v>
      </c>
      <c r="L463" s="182">
        <v>0</v>
      </c>
      <c r="M463" s="182">
        <v>4.2400000000000001E-4</v>
      </c>
      <c r="N463" s="182">
        <v>4.2400000000000001E-4</v>
      </c>
      <c r="O463" s="182">
        <v>4.2400000000000001E-4</v>
      </c>
      <c r="P463" s="182">
        <v>4.2400000000000001E-4</v>
      </c>
      <c r="R463" s="154" t="str">
        <f t="shared" si="30"/>
        <v>A0153:(株)エナリス・パワー・マーケティングメニューD</v>
      </c>
      <c r="S463" s="182">
        <f t="shared" si="31"/>
        <v>0</v>
      </c>
    </row>
    <row r="464" spans="2:19">
      <c r="B464" s="124" t="s">
        <v>1275</v>
      </c>
      <c r="C464" s="154" t="s">
        <v>1276</v>
      </c>
      <c r="D464" s="154" t="str">
        <f t="shared" si="29"/>
        <v>A0730:ゆきぐに新電力(株)</v>
      </c>
      <c r="I464" s="124" t="s">
        <v>606</v>
      </c>
      <c r="J464" s="124" t="s">
        <v>607</v>
      </c>
      <c r="K464" s="182" t="s">
        <v>401</v>
      </c>
      <c r="L464" s="182">
        <v>7.0500000000000001E-4</v>
      </c>
      <c r="M464" s="182">
        <v>4.37E-4</v>
      </c>
      <c r="N464" s="182">
        <v>4.37E-4</v>
      </c>
      <c r="O464" s="182">
        <v>4.37E-4</v>
      </c>
      <c r="P464" s="182">
        <v>4.37E-4</v>
      </c>
      <c r="R464" s="154" t="str">
        <f t="shared" si="30"/>
        <v>A0153:(株)エナリス・パワー・マーケティングメニューE</v>
      </c>
      <c r="S464" s="182">
        <f t="shared" si="31"/>
        <v>7.0500000000000001E-4</v>
      </c>
    </row>
    <row r="465" spans="2:19">
      <c r="B465" s="124" t="s">
        <v>1277</v>
      </c>
      <c r="C465" s="154" t="s">
        <v>1278</v>
      </c>
      <c r="D465" s="154" t="str">
        <f t="shared" si="29"/>
        <v>A0732:(株)ながさきサステナエナジー</v>
      </c>
      <c r="I465" s="124" t="s">
        <v>606</v>
      </c>
      <c r="J465" s="124" t="s">
        <v>607</v>
      </c>
      <c r="K465" s="182" t="s">
        <v>2010</v>
      </c>
      <c r="L465" s="182">
        <v>4.1599999999999997E-4</v>
      </c>
      <c r="M465" s="182">
        <v>0</v>
      </c>
      <c r="N465" s="182">
        <v>0</v>
      </c>
      <c r="O465" s="182">
        <v>0</v>
      </c>
      <c r="P465" s="182">
        <v>0</v>
      </c>
      <c r="R465" s="154" t="str">
        <f t="shared" si="30"/>
        <v>A0153:(株)エナリス・パワー・マーケティング(参考値)事業者全体</v>
      </c>
      <c r="S465" s="182">
        <f t="shared" si="31"/>
        <v>4.1599999999999997E-4</v>
      </c>
    </row>
    <row r="466" spans="2:19">
      <c r="B466" s="124" t="s">
        <v>1279</v>
      </c>
      <c r="C466" s="154" t="s">
        <v>1280</v>
      </c>
      <c r="D466" s="154" t="str">
        <f t="shared" si="29"/>
        <v>A0733:葛尾創生電力(株)</v>
      </c>
      <c r="I466" s="124" t="s">
        <v>608</v>
      </c>
      <c r="J466" s="124" t="s">
        <v>609</v>
      </c>
      <c r="K466" s="182"/>
      <c r="L466" s="182">
        <v>5.6700000000000001E-4</v>
      </c>
      <c r="M466" s="182">
        <v>4.9600000000000002E-4</v>
      </c>
      <c r="N466" s="182">
        <v>4.9600000000000002E-4</v>
      </c>
      <c r="O466" s="182">
        <v>4.9600000000000002E-4</v>
      </c>
      <c r="P466" s="182">
        <v>4.9600000000000002E-4</v>
      </c>
      <c r="R466" s="154" t="str">
        <f t="shared" si="30"/>
        <v>A0154:歌舞伎エナジー(株)</v>
      </c>
      <c r="S466" s="182">
        <f t="shared" si="31"/>
        <v>5.6700000000000001E-4</v>
      </c>
    </row>
    <row r="467" spans="2:19">
      <c r="B467" s="124" t="s">
        <v>1281</v>
      </c>
      <c r="C467" s="154" t="s">
        <v>1282</v>
      </c>
      <c r="D467" s="154" t="str">
        <f t="shared" si="29"/>
        <v>A0737:(株)ライフエナジー</v>
      </c>
      <c r="I467" s="124" t="s">
        <v>610</v>
      </c>
      <c r="J467" s="124" t="s">
        <v>1682</v>
      </c>
      <c r="K467" s="182" t="s">
        <v>390</v>
      </c>
      <c r="L467" s="182">
        <v>0</v>
      </c>
      <c r="M467" s="182">
        <v>5.4100000000000003E-4</v>
      </c>
      <c r="N467" s="182">
        <v>5.4100000000000003E-4</v>
      </c>
      <c r="O467" s="182">
        <v>5.4100000000000003E-4</v>
      </c>
      <c r="P467" s="182">
        <v>5.4100000000000003E-4</v>
      </c>
      <c r="R467" s="154" t="str">
        <f t="shared" si="30"/>
        <v>A0155:みやまスマートエネルギー(株)メニューA</v>
      </c>
      <c r="S467" s="182">
        <f t="shared" si="31"/>
        <v>0</v>
      </c>
    </row>
    <row r="468" spans="2:19">
      <c r="B468" s="124" t="s">
        <v>1283</v>
      </c>
      <c r="C468" s="154" t="s">
        <v>1284</v>
      </c>
      <c r="D468" s="154" t="str">
        <f t="shared" si="29"/>
        <v>A0738:(株)グルーヴエナジー</v>
      </c>
      <c r="I468" s="124" t="s">
        <v>610</v>
      </c>
      <c r="J468" s="124" t="s">
        <v>1682</v>
      </c>
      <c r="K468" s="182" t="s">
        <v>398</v>
      </c>
      <c r="L468" s="182">
        <v>5.8100000000000003E-4</v>
      </c>
      <c r="M468" s="182">
        <v>0</v>
      </c>
      <c r="N468" s="182">
        <v>0</v>
      </c>
      <c r="O468" s="182">
        <v>0</v>
      </c>
      <c r="P468" s="182">
        <v>0</v>
      </c>
      <c r="R468" s="154" t="str">
        <f t="shared" si="30"/>
        <v>A0155:みやまスマートエネルギー(株)メニューB</v>
      </c>
      <c r="S468" s="182">
        <f t="shared" si="31"/>
        <v>5.8100000000000003E-4</v>
      </c>
    </row>
    <row r="469" spans="2:19">
      <c r="B469" s="124" t="s">
        <v>1285</v>
      </c>
      <c r="C469" s="154" t="s">
        <v>1286</v>
      </c>
      <c r="D469" s="154" t="str">
        <f t="shared" si="29"/>
        <v>A0739:高知ニューエナジー(株)</v>
      </c>
      <c r="I469" s="124" t="s">
        <v>610</v>
      </c>
      <c r="J469" s="124" t="s">
        <v>1682</v>
      </c>
      <c r="K469" s="182" t="s">
        <v>2010</v>
      </c>
      <c r="L469" s="182">
        <v>5.71E-4</v>
      </c>
      <c r="M469" s="182">
        <v>7.0100000000000002E-4</v>
      </c>
      <c r="N469" s="182">
        <v>7.0100000000000002E-4</v>
      </c>
      <c r="O469" s="182">
        <v>7.0100000000000002E-4</v>
      </c>
      <c r="P469" s="182">
        <v>7.0100000000000002E-4</v>
      </c>
      <c r="R469" s="154" t="str">
        <f t="shared" si="30"/>
        <v>A0155:みやまスマートエネルギー(株)(参考値)事業者全体</v>
      </c>
      <c r="S469" s="182">
        <f t="shared" si="31"/>
        <v>5.71E-4</v>
      </c>
    </row>
    <row r="470" spans="2:19">
      <c r="B470" s="124" t="s">
        <v>1287</v>
      </c>
      <c r="C470" s="154" t="s">
        <v>1288</v>
      </c>
      <c r="D470" s="154" t="str">
        <f t="shared" si="29"/>
        <v>A0740:もみじ電力(株)</v>
      </c>
      <c r="I470" s="124" t="s">
        <v>611</v>
      </c>
      <c r="J470" s="124" t="s">
        <v>612</v>
      </c>
      <c r="K470" s="182"/>
      <c r="L470" s="182">
        <v>4.2900000000000002E-4</v>
      </c>
      <c r="M470" s="182">
        <v>4.7100000000000001E-4</v>
      </c>
      <c r="N470" s="182">
        <v>4.7100000000000001E-4</v>
      </c>
      <c r="O470" s="182">
        <v>4.7100000000000001E-4</v>
      </c>
      <c r="P470" s="182">
        <v>4.7100000000000001E-4</v>
      </c>
      <c r="R470" s="154" t="str">
        <f t="shared" si="30"/>
        <v>A0156:エフィシエント(株)</v>
      </c>
      <c r="S470" s="182">
        <f t="shared" si="31"/>
        <v>4.2900000000000002E-4</v>
      </c>
    </row>
    <row r="471" spans="2:19">
      <c r="B471" s="124" t="s">
        <v>1289</v>
      </c>
      <c r="C471" s="154" t="s">
        <v>1290</v>
      </c>
      <c r="D471" s="154" t="str">
        <f t="shared" si="29"/>
        <v>A0742:(株)縁人</v>
      </c>
      <c r="I471" s="124" t="s">
        <v>613</v>
      </c>
      <c r="J471" s="124" t="s">
        <v>614</v>
      </c>
      <c r="K471" s="182" t="s">
        <v>390</v>
      </c>
      <c r="L471" s="182">
        <v>2.8299999999999999E-4</v>
      </c>
      <c r="M471" s="182">
        <v>0</v>
      </c>
      <c r="N471" s="182">
        <v>0</v>
      </c>
      <c r="O471" s="182">
        <v>0</v>
      </c>
      <c r="P471" s="182">
        <v>0</v>
      </c>
      <c r="R471" s="154" t="str">
        <f t="shared" si="30"/>
        <v>A0157:(株)生活クラブエナジーメニューA</v>
      </c>
      <c r="S471" s="182">
        <f t="shared" si="31"/>
        <v>2.8299999999999999E-4</v>
      </c>
    </row>
    <row r="472" spans="2:19">
      <c r="B472" s="124" t="s">
        <v>1291</v>
      </c>
      <c r="C472" s="154" t="s">
        <v>1292</v>
      </c>
      <c r="D472" s="154" t="str">
        <f t="shared" si="29"/>
        <v>A0743:T＆Tエナジー(株)</v>
      </c>
      <c r="I472" s="124" t="s">
        <v>613</v>
      </c>
      <c r="J472" s="124" t="s">
        <v>614</v>
      </c>
      <c r="K472" s="182" t="s">
        <v>398</v>
      </c>
      <c r="L472" s="182">
        <v>0</v>
      </c>
      <c r="M472" s="182">
        <v>0</v>
      </c>
      <c r="N472" s="182">
        <v>0</v>
      </c>
      <c r="O472" s="182">
        <v>0</v>
      </c>
      <c r="P472" s="182">
        <v>0</v>
      </c>
      <c r="R472" s="154" t="str">
        <f t="shared" si="30"/>
        <v>A0157:(株)生活クラブエナジーメニューB</v>
      </c>
      <c r="S472" s="182">
        <f t="shared" si="31"/>
        <v>0</v>
      </c>
    </row>
    <row r="473" spans="2:19">
      <c r="B473" s="124" t="s">
        <v>1293</v>
      </c>
      <c r="C473" s="154" t="s">
        <v>1294</v>
      </c>
      <c r="D473" s="154" t="str">
        <f t="shared" si="29"/>
        <v>A0744:(株)ルーク</v>
      </c>
      <c r="I473" s="124" t="s">
        <v>613</v>
      </c>
      <c r="J473" s="124" t="s">
        <v>614</v>
      </c>
      <c r="K473" s="182" t="s">
        <v>399</v>
      </c>
      <c r="L473" s="182">
        <v>4.3800000000000002E-4</v>
      </c>
      <c r="M473" s="182">
        <v>0</v>
      </c>
      <c r="N473" s="182">
        <v>0</v>
      </c>
      <c r="O473" s="182">
        <v>0</v>
      </c>
      <c r="P473" s="182">
        <v>0</v>
      </c>
      <c r="R473" s="154" t="str">
        <f t="shared" si="30"/>
        <v>A0157:(株)生活クラブエナジーメニューC</v>
      </c>
      <c r="S473" s="182">
        <f t="shared" si="31"/>
        <v>4.3800000000000002E-4</v>
      </c>
    </row>
    <row r="474" spans="2:19">
      <c r="B474" s="124" t="s">
        <v>1295</v>
      </c>
      <c r="C474" s="154" t="s">
        <v>1296</v>
      </c>
      <c r="D474" s="154" t="str">
        <f t="shared" si="29"/>
        <v>A0746:かけがわ報徳パワー(株)</v>
      </c>
      <c r="I474" s="124" t="s">
        <v>613</v>
      </c>
      <c r="J474" s="124" t="s">
        <v>614</v>
      </c>
      <c r="K474" s="182" t="s">
        <v>2010</v>
      </c>
      <c r="L474" s="182">
        <v>4.1800000000000002E-4</v>
      </c>
      <c r="M474" s="182">
        <v>3.5300000000000002E-4</v>
      </c>
      <c r="N474" s="182">
        <v>3.5300000000000002E-4</v>
      </c>
      <c r="O474" s="182">
        <v>3.5300000000000002E-4</v>
      </c>
      <c r="P474" s="182">
        <v>3.5300000000000002E-4</v>
      </c>
      <c r="R474" s="154" t="str">
        <f t="shared" si="30"/>
        <v>A0157:(株)生活クラブエナジー(参考値)事業者全体</v>
      </c>
      <c r="S474" s="182">
        <f t="shared" si="31"/>
        <v>4.1800000000000002E-4</v>
      </c>
    </row>
    <row r="475" spans="2:19">
      <c r="B475" s="124" t="s">
        <v>1297</v>
      </c>
      <c r="C475" s="154" t="s">
        <v>1298</v>
      </c>
      <c r="D475" s="154" t="str">
        <f t="shared" si="29"/>
        <v>A0747:SustainableEnergy(株)</v>
      </c>
      <c r="I475" s="124" t="s">
        <v>615</v>
      </c>
      <c r="J475" s="124" t="s">
        <v>616</v>
      </c>
      <c r="K475" s="182" t="s">
        <v>390</v>
      </c>
      <c r="L475" s="182">
        <v>3.8700000000000003E-4</v>
      </c>
      <c r="M475" s="182">
        <v>0</v>
      </c>
      <c r="N475" s="182">
        <v>0</v>
      </c>
      <c r="O475" s="182">
        <v>0</v>
      </c>
      <c r="P475" s="182">
        <v>0</v>
      </c>
      <c r="R475" s="154" t="str">
        <f t="shared" si="30"/>
        <v>A0158:生活協同組合コープこうべメニューA</v>
      </c>
      <c r="S475" s="182">
        <f t="shared" si="31"/>
        <v>3.8700000000000003E-4</v>
      </c>
    </row>
    <row r="476" spans="2:19">
      <c r="B476" s="124" t="s">
        <v>1299</v>
      </c>
      <c r="C476" s="154" t="s">
        <v>1300</v>
      </c>
      <c r="D476" s="154" t="str">
        <f t="shared" si="29"/>
        <v>A0748:穂の国とよはし電力(株)</v>
      </c>
      <c r="I476" s="124" t="s">
        <v>615</v>
      </c>
      <c r="J476" s="124" t="s">
        <v>616</v>
      </c>
      <c r="K476" s="182" t="s">
        <v>398</v>
      </c>
      <c r="L476" s="182">
        <v>3.6299999999999999E-4</v>
      </c>
      <c r="M476" s="182">
        <v>1.0950000000000001E-3</v>
      </c>
      <c r="N476" s="182">
        <v>1.0950000000000001E-3</v>
      </c>
      <c r="O476" s="182">
        <v>1.0950000000000001E-3</v>
      </c>
      <c r="P476" s="182">
        <v>1.0950000000000001E-3</v>
      </c>
      <c r="R476" s="154" t="str">
        <f t="shared" si="30"/>
        <v>A0158:生活協同組合コープこうべメニューB</v>
      </c>
      <c r="S476" s="182">
        <f t="shared" si="31"/>
        <v>3.6299999999999999E-4</v>
      </c>
    </row>
    <row r="477" spans="2:19">
      <c r="B477" s="124" t="s">
        <v>1301</v>
      </c>
      <c r="C477" s="154" t="s">
        <v>1302</v>
      </c>
      <c r="D477" s="154" t="str">
        <f t="shared" si="29"/>
        <v>A0752:イワタニセントラル北海道(株)</v>
      </c>
      <c r="I477" s="124" t="s">
        <v>615</v>
      </c>
      <c r="J477" s="124" t="s">
        <v>616</v>
      </c>
      <c r="K477" s="182" t="s">
        <v>399</v>
      </c>
      <c r="L477" s="182">
        <v>3.7599999999999998E-4</v>
      </c>
      <c r="M477" s="182">
        <v>0</v>
      </c>
      <c r="N477" s="182">
        <v>0</v>
      </c>
      <c r="O477" s="182">
        <v>0</v>
      </c>
      <c r="P477" s="182">
        <v>0</v>
      </c>
      <c r="R477" s="154" t="str">
        <f t="shared" si="30"/>
        <v>A0158:生活協同組合コープこうべメニューC</v>
      </c>
      <c r="S477" s="182">
        <f t="shared" si="31"/>
        <v>3.7599999999999998E-4</v>
      </c>
    </row>
    <row r="478" spans="2:19">
      <c r="B478" s="124" t="s">
        <v>1303</v>
      </c>
      <c r="C478" s="154" t="s">
        <v>1304</v>
      </c>
      <c r="D478" s="154" t="str">
        <f t="shared" si="29"/>
        <v>A0753:ホームタウンエナジー(株)</v>
      </c>
      <c r="I478" s="124" t="s">
        <v>615</v>
      </c>
      <c r="J478" s="124" t="s">
        <v>616</v>
      </c>
      <c r="K478" s="182" t="s">
        <v>2010</v>
      </c>
      <c r="L478" s="182">
        <v>3.8000000000000002E-4</v>
      </c>
      <c r="M478" s="182">
        <v>9.8499999999999998E-4</v>
      </c>
      <c r="N478" s="182">
        <v>9.8499999999999998E-4</v>
      </c>
      <c r="O478" s="182">
        <v>9.8499999999999998E-4</v>
      </c>
      <c r="P478" s="182">
        <v>9.8499999999999998E-4</v>
      </c>
      <c r="R478" s="154" t="str">
        <f t="shared" si="30"/>
        <v>A0158:生活協同組合コープこうべ(参考値)事業者全体</v>
      </c>
      <c r="S478" s="182">
        <f t="shared" si="31"/>
        <v>3.8000000000000002E-4</v>
      </c>
    </row>
    <row r="479" spans="2:19">
      <c r="B479" s="124" t="s">
        <v>1305</v>
      </c>
      <c r="C479" s="154" t="s">
        <v>1306</v>
      </c>
      <c r="D479" s="154" t="str">
        <f t="shared" si="29"/>
        <v>A0754:(株)彩の国でんき</v>
      </c>
      <c r="I479" s="124" t="s">
        <v>617</v>
      </c>
      <c r="J479" s="124" t="s">
        <v>618</v>
      </c>
      <c r="K479" s="182"/>
      <c r="L479" s="182">
        <v>3.4099999999999999E-4</v>
      </c>
      <c r="M479" s="182">
        <v>6.1600000000000001E-4</v>
      </c>
      <c r="N479" s="182">
        <v>6.1600000000000001E-4</v>
      </c>
      <c r="O479" s="182">
        <v>6.1600000000000001E-4</v>
      </c>
      <c r="P479" s="182">
        <v>6.1600000000000001E-4</v>
      </c>
      <c r="R479" s="154" t="str">
        <f t="shared" si="30"/>
        <v>A0159:(株)シーエナジー</v>
      </c>
      <c r="S479" s="182">
        <f t="shared" si="31"/>
        <v>3.4099999999999999E-4</v>
      </c>
    </row>
    <row r="480" spans="2:19">
      <c r="B480" s="124" t="s">
        <v>1307</v>
      </c>
      <c r="C480" s="154" t="s">
        <v>1308</v>
      </c>
      <c r="D480" s="154" t="str">
        <f t="shared" si="29"/>
        <v>A0758:(株)みやきエネルギー</v>
      </c>
      <c r="I480" s="124" t="s">
        <v>621</v>
      </c>
      <c r="J480" s="124" t="s">
        <v>622</v>
      </c>
      <c r="K480" s="182" t="s">
        <v>390</v>
      </c>
      <c r="L480" s="182">
        <v>0</v>
      </c>
      <c r="M480" s="182">
        <v>0</v>
      </c>
      <c r="N480" s="182">
        <v>0</v>
      </c>
      <c r="O480" s="182">
        <v>0</v>
      </c>
      <c r="P480" s="182">
        <v>0</v>
      </c>
      <c r="R480" s="154" t="str">
        <f t="shared" si="30"/>
        <v>A0161:京葉瓦斯(株)メニューA</v>
      </c>
      <c r="S480" s="182">
        <f t="shared" si="31"/>
        <v>0</v>
      </c>
    </row>
    <row r="481" spans="2:19">
      <c r="B481" s="124" t="s">
        <v>1309</v>
      </c>
      <c r="C481" s="154" t="s">
        <v>1310</v>
      </c>
      <c r="D481" s="154" t="str">
        <f t="shared" si="29"/>
        <v>A0759:(株)クリーンベンチャー21</v>
      </c>
      <c r="I481" s="124" t="s">
        <v>621</v>
      </c>
      <c r="J481" s="124" t="s">
        <v>622</v>
      </c>
      <c r="K481" s="182" t="s">
        <v>398</v>
      </c>
      <c r="L481" s="182">
        <v>4.26E-4</v>
      </c>
      <c r="M481" s="182">
        <v>0</v>
      </c>
      <c r="N481" s="182">
        <v>0</v>
      </c>
      <c r="O481" s="182">
        <v>0</v>
      </c>
      <c r="P481" s="182">
        <v>0</v>
      </c>
      <c r="R481" s="154" t="str">
        <f t="shared" si="30"/>
        <v>A0161:京葉瓦斯(株)メニューB</v>
      </c>
      <c r="S481" s="182">
        <f t="shared" si="31"/>
        <v>4.26E-4</v>
      </c>
    </row>
    <row r="482" spans="2:19">
      <c r="B482" s="124" t="s">
        <v>1311</v>
      </c>
      <c r="C482" s="154" t="s">
        <v>1312</v>
      </c>
      <c r="D482" s="154" t="str">
        <f t="shared" si="29"/>
        <v>A0760:三河商事(株)</v>
      </c>
      <c r="I482" s="124" t="s">
        <v>621</v>
      </c>
      <c r="J482" s="124" t="s">
        <v>622</v>
      </c>
      <c r="K482" s="182" t="s">
        <v>2010</v>
      </c>
      <c r="L482" s="182">
        <v>4.2400000000000001E-4</v>
      </c>
      <c r="M482" s="182">
        <v>6.8400000000000004E-4</v>
      </c>
      <c r="N482" s="182">
        <v>6.8400000000000004E-4</v>
      </c>
      <c r="O482" s="182">
        <v>6.8400000000000004E-4</v>
      </c>
      <c r="P482" s="182">
        <v>6.8400000000000004E-4</v>
      </c>
      <c r="R482" s="154" t="str">
        <f t="shared" si="30"/>
        <v>A0161:京葉瓦斯(株)(参考値)事業者全体</v>
      </c>
      <c r="S482" s="182">
        <f t="shared" si="31"/>
        <v>4.2400000000000001E-4</v>
      </c>
    </row>
    <row r="483" spans="2:19">
      <c r="B483" s="124" t="s">
        <v>1313</v>
      </c>
      <c r="C483" s="154" t="s">
        <v>1314</v>
      </c>
      <c r="D483" s="154" t="str">
        <f t="shared" si="29"/>
        <v>A0761:(株)みとや</v>
      </c>
      <c r="I483" s="124" t="s">
        <v>623</v>
      </c>
      <c r="J483" s="124" t="s">
        <v>624</v>
      </c>
      <c r="K483" s="182" t="s">
        <v>390</v>
      </c>
      <c r="L483" s="182">
        <v>8.4000000000000009E-5</v>
      </c>
      <c r="M483" s="182">
        <v>0</v>
      </c>
      <c r="N483" s="182">
        <v>0</v>
      </c>
      <c r="O483" s="182">
        <v>0</v>
      </c>
      <c r="P483" s="182">
        <v>0</v>
      </c>
      <c r="R483" s="154" t="str">
        <f t="shared" si="30"/>
        <v>A0162:TOPPANホールディングス(株)メニューA</v>
      </c>
      <c r="S483" s="182">
        <f t="shared" si="31"/>
        <v>8.4000000000000009E-5</v>
      </c>
    </row>
    <row r="484" spans="2:19">
      <c r="B484" s="124" t="s">
        <v>1315</v>
      </c>
      <c r="C484" s="154" t="s">
        <v>1316</v>
      </c>
      <c r="D484" s="154" t="str">
        <f t="shared" si="29"/>
        <v>A0762:三州電力(株)</v>
      </c>
      <c r="I484" s="124" t="s">
        <v>623</v>
      </c>
      <c r="J484" s="124" t="s">
        <v>624</v>
      </c>
      <c r="K484" s="182" t="s">
        <v>398</v>
      </c>
      <c r="L484" s="182">
        <v>1.7199999999999998E-4</v>
      </c>
      <c r="M484" s="182">
        <v>0</v>
      </c>
      <c r="N484" s="182">
        <v>0</v>
      </c>
      <c r="O484" s="182">
        <v>0</v>
      </c>
      <c r="P484" s="182">
        <v>0</v>
      </c>
      <c r="R484" s="154" t="str">
        <f t="shared" si="30"/>
        <v>A0162:TOPPANホールディングス(株)メニューB</v>
      </c>
      <c r="S484" s="182">
        <f t="shared" si="31"/>
        <v>1.7199999999999998E-4</v>
      </c>
    </row>
    <row r="485" spans="2:19">
      <c r="B485" s="124" t="s">
        <v>1317</v>
      </c>
      <c r="C485" s="154" t="s">
        <v>1318</v>
      </c>
      <c r="D485" s="154" t="str">
        <f t="shared" si="29"/>
        <v>A0764:沖縄新エネ開発(株)</v>
      </c>
      <c r="I485" s="124" t="s">
        <v>623</v>
      </c>
      <c r="J485" s="124" t="s">
        <v>624</v>
      </c>
      <c r="K485" s="182" t="s">
        <v>399</v>
      </c>
      <c r="L485" s="182">
        <v>1.7999999999999998E-4</v>
      </c>
      <c r="M485" s="182">
        <v>0</v>
      </c>
      <c r="N485" s="182">
        <v>0</v>
      </c>
      <c r="O485" s="182">
        <v>0</v>
      </c>
      <c r="P485" s="182">
        <v>0</v>
      </c>
      <c r="R485" s="154" t="str">
        <f t="shared" si="30"/>
        <v>A0162:TOPPANホールディングス(株)メニューC</v>
      </c>
      <c r="S485" s="182">
        <f t="shared" si="31"/>
        <v>1.7999999999999998E-4</v>
      </c>
    </row>
    <row r="486" spans="2:19">
      <c r="B486" s="124" t="s">
        <v>1319</v>
      </c>
      <c r="C486" s="154" t="s">
        <v>1320</v>
      </c>
      <c r="D486" s="154" t="str">
        <f t="shared" si="29"/>
        <v>A0770:(株)ほくだん</v>
      </c>
      <c r="I486" s="124" t="s">
        <v>623</v>
      </c>
      <c r="J486" s="124" t="s">
        <v>624</v>
      </c>
      <c r="K486" s="182" t="s">
        <v>400</v>
      </c>
      <c r="L486" s="182">
        <v>5.2999999999999998E-4</v>
      </c>
      <c r="M486" s="182">
        <v>0</v>
      </c>
      <c r="N486" s="182">
        <v>0</v>
      </c>
      <c r="O486" s="182">
        <v>0</v>
      </c>
      <c r="P486" s="182">
        <v>0</v>
      </c>
      <c r="R486" s="154" t="str">
        <f t="shared" si="30"/>
        <v>A0162:TOPPANホールディングス(株)メニューD</v>
      </c>
      <c r="S486" s="182">
        <f t="shared" si="31"/>
        <v>5.2999999999999998E-4</v>
      </c>
    </row>
    <row r="487" spans="2:19">
      <c r="B487" s="124" t="s">
        <v>1321</v>
      </c>
      <c r="C487" s="154" t="s">
        <v>1322</v>
      </c>
      <c r="D487" s="154" t="str">
        <f t="shared" si="29"/>
        <v>A0772:(株)エスコ</v>
      </c>
      <c r="I487" s="124" t="s">
        <v>623</v>
      </c>
      <c r="J487" s="124" t="s">
        <v>624</v>
      </c>
      <c r="K487" s="182" t="s">
        <v>2010</v>
      </c>
      <c r="L487" s="182">
        <v>5.0500000000000002E-4</v>
      </c>
      <c r="M487" s="182">
        <v>0</v>
      </c>
      <c r="N487" s="182">
        <v>0</v>
      </c>
      <c r="O487" s="182">
        <v>0</v>
      </c>
      <c r="P487" s="182">
        <v>0</v>
      </c>
      <c r="R487" s="154" t="str">
        <f t="shared" si="30"/>
        <v>A0162:TOPPANホールディングス(株)(参考値)事業者全体</v>
      </c>
      <c r="S487" s="182">
        <f t="shared" si="31"/>
        <v>5.0500000000000002E-4</v>
      </c>
    </row>
    <row r="488" spans="2:19">
      <c r="B488" s="124" t="s">
        <v>1323</v>
      </c>
      <c r="C488" s="154" t="s">
        <v>1324</v>
      </c>
      <c r="D488" s="154" t="str">
        <f t="shared" si="29"/>
        <v>A0773:(株)Qvou</v>
      </c>
      <c r="I488" s="124" t="s">
        <v>625</v>
      </c>
      <c r="J488" s="124" t="s">
        <v>626</v>
      </c>
      <c r="K488" s="182" t="s">
        <v>390</v>
      </c>
      <c r="L488" s="182">
        <v>0</v>
      </c>
      <c r="M488" s="182">
        <v>0</v>
      </c>
      <c r="N488" s="182">
        <v>0</v>
      </c>
      <c r="O488" s="182">
        <v>0</v>
      </c>
      <c r="P488" s="182">
        <v>0</v>
      </c>
      <c r="R488" s="154" t="str">
        <f t="shared" si="30"/>
        <v>A0163:伊勢崎ガス(株)メニューA</v>
      </c>
      <c r="S488" s="182">
        <f t="shared" si="31"/>
        <v>0</v>
      </c>
    </row>
    <row r="489" spans="2:19">
      <c r="B489" s="124" t="s">
        <v>1325</v>
      </c>
      <c r="C489" s="154" t="s">
        <v>1326</v>
      </c>
      <c r="D489" s="154" t="str">
        <f t="shared" si="29"/>
        <v>A0777:住友商事(株)</v>
      </c>
      <c r="I489" s="124" t="s">
        <v>625</v>
      </c>
      <c r="J489" s="124" t="s">
        <v>626</v>
      </c>
      <c r="K489" s="182" t="s">
        <v>398</v>
      </c>
      <c r="L489" s="182">
        <v>3.4099999999999999E-4</v>
      </c>
      <c r="M489" s="182">
        <v>0</v>
      </c>
      <c r="N489" s="182">
        <v>0</v>
      </c>
      <c r="O489" s="182">
        <v>0</v>
      </c>
      <c r="P489" s="182">
        <v>0</v>
      </c>
      <c r="R489" s="154" t="str">
        <f t="shared" si="30"/>
        <v>A0163:伊勢崎ガス(株)メニューB</v>
      </c>
      <c r="S489" s="182">
        <f t="shared" si="31"/>
        <v>3.4099999999999999E-4</v>
      </c>
    </row>
    <row r="490" spans="2:19">
      <c r="B490" s="124" t="s">
        <v>1327</v>
      </c>
      <c r="C490" s="154" t="s">
        <v>1328</v>
      </c>
      <c r="D490" s="154" t="str">
        <f t="shared" si="29"/>
        <v>A0781:(株)丸の内電力</v>
      </c>
      <c r="I490" s="124" t="s">
        <v>625</v>
      </c>
      <c r="J490" s="124" t="s">
        <v>626</v>
      </c>
      <c r="K490" s="182" t="s">
        <v>2010</v>
      </c>
      <c r="L490" s="182">
        <v>3.39E-4</v>
      </c>
      <c r="M490" s="182">
        <v>0</v>
      </c>
      <c r="N490" s="182">
        <v>0</v>
      </c>
      <c r="O490" s="182">
        <v>0</v>
      </c>
      <c r="P490" s="182">
        <v>0</v>
      </c>
      <c r="R490" s="154" t="str">
        <f t="shared" si="30"/>
        <v>A0163:伊勢崎ガス(株)(参考値)事業者全体</v>
      </c>
      <c r="S490" s="182">
        <f t="shared" si="31"/>
        <v>3.39E-4</v>
      </c>
    </row>
    <row r="491" spans="2:19">
      <c r="B491" s="124" t="s">
        <v>1329</v>
      </c>
      <c r="C491" s="154" t="s">
        <v>1330</v>
      </c>
      <c r="D491" s="154" t="str">
        <f t="shared" si="29"/>
        <v>A0783:(株)中京電力</v>
      </c>
      <c r="I491" s="124" t="s">
        <v>627</v>
      </c>
      <c r="J491" s="124" t="s">
        <v>628</v>
      </c>
      <c r="K491" s="182"/>
      <c r="L491" s="182">
        <v>3.4099999999999999E-4</v>
      </c>
      <c r="M491" s="182">
        <v>3.4900000000000003E-4</v>
      </c>
      <c r="N491" s="182">
        <v>3.4900000000000003E-4</v>
      </c>
      <c r="O491" s="182">
        <v>3.4900000000000003E-4</v>
      </c>
      <c r="P491" s="182">
        <v>3.4900000000000003E-4</v>
      </c>
      <c r="R491" s="154" t="str">
        <f t="shared" si="30"/>
        <v>A0164:キヤノンマーケティングジャパン(株)</v>
      </c>
      <c r="S491" s="182">
        <f t="shared" si="31"/>
        <v>3.4099999999999999E-4</v>
      </c>
    </row>
    <row r="492" spans="2:19">
      <c r="B492" s="124" t="s">
        <v>1331</v>
      </c>
      <c r="C492" s="154" t="s">
        <v>1332</v>
      </c>
      <c r="D492" s="154" t="str">
        <f t="shared" si="29"/>
        <v>A0785:(株)クオリティプラス</v>
      </c>
      <c r="I492" s="124" t="s">
        <v>629</v>
      </c>
      <c r="J492" s="124" t="s">
        <v>630</v>
      </c>
      <c r="K492" s="182" t="s">
        <v>390</v>
      </c>
      <c r="L492" s="182">
        <v>0</v>
      </c>
      <c r="M492" s="182">
        <v>0</v>
      </c>
      <c r="N492" s="182">
        <v>0</v>
      </c>
      <c r="O492" s="182">
        <v>0</v>
      </c>
      <c r="P492" s="182">
        <v>0</v>
      </c>
      <c r="R492" s="154" t="str">
        <f t="shared" si="30"/>
        <v>A0165:(株)とっとり市民電力メニューA</v>
      </c>
      <c r="S492" s="182">
        <f t="shared" si="31"/>
        <v>0</v>
      </c>
    </row>
    <row r="493" spans="2:19">
      <c r="B493" s="124" t="s">
        <v>1333</v>
      </c>
      <c r="C493" s="154" t="s">
        <v>1334</v>
      </c>
      <c r="D493" s="154" t="str">
        <f t="shared" si="29"/>
        <v>A0786:Y.W.C.(株)</v>
      </c>
      <c r="I493" s="124" t="s">
        <v>629</v>
      </c>
      <c r="J493" s="124" t="s">
        <v>630</v>
      </c>
      <c r="K493" s="182" t="s">
        <v>398</v>
      </c>
      <c r="L493" s="182">
        <v>2.14E-4</v>
      </c>
      <c r="M493" s="182">
        <v>0</v>
      </c>
      <c r="N493" s="182">
        <v>0</v>
      </c>
      <c r="O493" s="182">
        <v>0</v>
      </c>
      <c r="P493" s="182">
        <v>0</v>
      </c>
      <c r="R493" s="154" t="str">
        <f t="shared" si="30"/>
        <v>A0165:(株)とっとり市民電力メニューB</v>
      </c>
      <c r="S493" s="182">
        <f t="shared" si="31"/>
        <v>2.14E-4</v>
      </c>
    </row>
    <row r="494" spans="2:19">
      <c r="B494" s="124" t="s">
        <v>1335</v>
      </c>
      <c r="C494" s="154" t="s">
        <v>1336</v>
      </c>
      <c r="D494" s="154" t="str">
        <f t="shared" si="29"/>
        <v>A0792:(株)MTエナジー</v>
      </c>
      <c r="I494" s="124" t="s">
        <v>629</v>
      </c>
      <c r="J494" s="124" t="s">
        <v>630</v>
      </c>
      <c r="K494" s="182" t="s">
        <v>2010</v>
      </c>
      <c r="L494" s="182">
        <v>2.12E-4</v>
      </c>
      <c r="M494" s="182">
        <v>4.1399999999999998E-4</v>
      </c>
      <c r="N494" s="182">
        <v>4.1399999999999998E-4</v>
      </c>
      <c r="O494" s="182">
        <v>4.1399999999999998E-4</v>
      </c>
      <c r="P494" s="182">
        <v>4.1399999999999998E-4</v>
      </c>
      <c r="R494" s="154" t="str">
        <f t="shared" si="30"/>
        <v>A0165:(株)とっとり市民電力(参考値)事業者全体</v>
      </c>
      <c r="S494" s="182">
        <f t="shared" si="31"/>
        <v>2.12E-4</v>
      </c>
    </row>
    <row r="495" spans="2:19">
      <c r="B495" s="124" t="s">
        <v>1337</v>
      </c>
      <c r="C495" s="154" t="s">
        <v>1338</v>
      </c>
      <c r="D495" s="154" t="str">
        <f t="shared" si="29"/>
        <v>A0793:TGオクトパスエナジー(株)</v>
      </c>
      <c r="I495" s="124" t="s">
        <v>631</v>
      </c>
      <c r="J495" s="124" t="s">
        <v>632</v>
      </c>
      <c r="K495" s="182"/>
      <c r="L495" s="182">
        <v>6.2799999999999998E-4</v>
      </c>
      <c r="M495" s="182">
        <v>6.1399999999999996E-4</v>
      </c>
      <c r="N495" s="182">
        <v>6.1399999999999996E-4</v>
      </c>
      <c r="O495" s="182">
        <v>6.1399999999999996E-4</v>
      </c>
      <c r="P495" s="182">
        <v>6.1399999999999996E-4</v>
      </c>
      <c r="R495" s="154" t="str">
        <f t="shared" si="30"/>
        <v>A0166:(株)イーエムアイ</v>
      </c>
      <c r="S495" s="182">
        <f t="shared" si="31"/>
        <v>6.2799999999999998E-4</v>
      </c>
    </row>
    <row r="496" spans="2:19">
      <c r="B496" s="124" t="s">
        <v>1339</v>
      </c>
      <c r="C496" s="154" t="s">
        <v>1340</v>
      </c>
      <c r="D496" s="154" t="str">
        <f t="shared" si="29"/>
        <v>A0796:東北電力フロンティア(株)</v>
      </c>
      <c r="I496" s="124" t="s">
        <v>633</v>
      </c>
      <c r="J496" s="124" t="s">
        <v>634</v>
      </c>
      <c r="K496" s="182" t="s">
        <v>390</v>
      </c>
      <c r="L496" s="182">
        <v>0</v>
      </c>
      <c r="M496" s="182">
        <v>0</v>
      </c>
      <c r="N496" s="182">
        <v>0</v>
      </c>
      <c r="O496" s="182">
        <v>0</v>
      </c>
      <c r="P496" s="182">
        <v>0</v>
      </c>
      <c r="R496" s="154" t="str">
        <f t="shared" si="30"/>
        <v>A0167:佐野瓦斯(株)メニューA</v>
      </c>
      <c r="S496" s="182">
        <f t="shared" si="31"/>
        <v>0</v>
      </c>
    </row>
    <row r="497" spans="2:19">
      <c r="B497" s="124" t="s">
        <v>1341</v>
      </c>
      <c r="C497" s="154" t="s">
        <v>1342</v>
      </c>
      <c r="D497" s="154" t="str">
        <f t="shared" si="29"/>
        <v>A0798:(株)ファラデー</v>
      </c>
      <c r="I497" s="124" t="s">
        <v>633</v>
      </c>
      <c r="J497" s="124" t="s">
        <v>634</v>
      </c>
      <c r="K497" s="182" t="s">
        <v>398</v>
      </c>
      <c r="L497" s="182">
        <v>3.4000000000000002E-4</v>
      </c>
      <c r="M497" s="182">
        <v>5.0000000000000004E-6</v>
      </c>
      <c r="N497" s="182">
        <v>5.0000000000000004E-6</v>
      </c>
      <c r="O497" s="182">
        <v>5.0000000000000004E-6</v>
      </c>
      <c r="P497" s="182">
        <v>5.0000000000000004E-6</v>
      </c>
      <c r="R497" s="154" t="str">
        <f t="shared" si="30"/>
        <v>A0167:佐野瓦斯(株)メニューB</v>
      </c>
      <c r="S497" s="182">
        <f t="shared" si="31"/>
        <v>3.4000000000000002E-4</v>
      </c>
    </row>
    <row r="498" spans="2:19">
      <c r="B498" s="124" t="s">
        <v>1343</v>
      </c>
      <c r="C498" s="154" t="s">
        <v>1344</v>
      </c>
      <c r="D498" s="154" t="str">
        <f t="shared" si="29"/>
        <v>A0799:三菱HCキャピタルエナジー(株)</v>
      </c>
      <c r="I498" s="124" t="s">
        <v>633</v>
      </c>
      <c r="J498" s="124" t="s">
        <v>634</v>
      </c>
      <c r="K498" s="182" t="s">
        <v>2010</v>
      </c>
      <c r="L498" s="182">
        <v>3.3100000000000002E-4</v>
      </c>
      <c r="M498" s="182">
        <v>1.1700000000000001E-4</v>
      </c>
      <c r="N498" s="182">
        <v>1.1700000000000001E-4</v>
      </c>
      <c r="O498" s="182">
        <v>1.1700000000000001E-4</v>
      </c>
      <c r="P498" s="182">
        <v>1.1700000000000001E-4</v>
      </c>
      <c r="R498" s="154" t="str">
        <f t="shared" si="30"/>
        <v>A0167:佐野瓦斯(株)(参考値)事業者全体</v>
      </c>
      <c r="S498" s="182">
        <f t="shared" si="31"/>
        <v>3.3100000000000002E-4</v>
      </c>
    </row>
    <row r="499" spans="2:19">
      <c r="B499" s="124" t="s">
        <v>1345</v>
      </c>
      <c r="C499" s="154" t="s">
        <v>1346</v>
      </c>
      <c r="D499" s="154" t="str">
        <f t="shared" si="29"/>
        <v>A0800:(株)Meisin</v>
      </c>
      <c r="I499" s="124" t="s">
        <v>635</v>
      </c>
      <c r="J499" s="124" t="s">
        <v>636</v>
      </c>
      <c r="K499" s="182"/>
      <c r="L499" s="182">
        <v>3.4099999999999999E-4</v>
      </c>
      <c r="M499" s="182">
        <v>4.2900000000000002E-4</v>
      </c>
      <c r="N499" s="182">
        <v>4.2900000000000002E-4</v>
      </c>
      <c r="O499" s="182">
        <v>4.2900000000000002E-4</v>
      </c>
      <c r="P499" s="182">
        <v>4.2900000000000002E-4</v>
      </c>
      <c r="R499" s="154" t="str">
        <f t="shared" si="30"/>
        <v>A0168:桐生瓦斯(株)</v>
      </c>
      <c r="S499" s="182">
        <f t="shared" si="31"/>
        <v>3.4099999999999999E-4</v>
      </c>
    </row>
    <row r="500" spans="2:19">
      <c r="B500" s="124" t="s">
        <v>1347</v>
      </c>
      <c r="C500" s="154" t="s">
        <v>1348</v>
      </c>
      <c r="D500" s="154" t="str">
        <f t="shared" si="29"/>
        <v>A0802:大塚ビジネスサポート(株)</v>
      </c>
      <c r="I500" s="124" t="s">
        <v>637</v>
      </c>
      <c r="J500" s="124" t="s">
        <v>1683</v>
      </c>
      <c r="K500" s="182" t="s">
        <v>390</v>
      </c>
      <c r="L500" s="182">
        <v>0</v>
      </c>
      <c r="M500" s="182">
        <v>9.0000000000000002E-6</v>
      </c>
      <c r="N500" s="182">
        <v>9.0000000000000002E-6</v>
      </c>
      <c r="O500" s="182">
        <v>9.0000000000000002E-6</v>
      </c>
      <c r="P500" s="182">
        <v>9.0000000000000002E-6</v>
      </c>
      <c r="R500" s="154" t="str">
        <f t="shared" si="30"/>
        <v>A0169:森の電力(株)メニューA</v>
      </c>
      <c r="S500" s="182">
        <f t="shared" si="31"/>
        <v>0</v>
      </c>
    </row>
    <row r="501" spans="2:19">
      <c r="B501" s="124" t="s">
        <v>1349</v>
      </c>
      <c r="C501" s="154" t="s">
        <v>1350</v>
      </c>
      <c r="D501" s="154" t="str">
        <f t="shared" si="29"/>
        <v>A0803:出雲ケーブルビジョン(株)</v>
      </c>
      <c r="I501" s="124" t="s">
        <v>637</v>
      </c>
      <c r="J501" s="124" t="s">
        <v>1683</v>
      </c>
      <c r="K501" s="182" t="s">
        <v>398</v>
      </c>
      <c r="L501" s="182">
        <v>4.9399999999999997E-4</v>
      </c>
      <c r="M501" s="182">
        <v>4.7399999999999997E-4</v>
      </c>
      <c r="N501" s="182">
        <v>4.7399999999999997E-4</v>
      </c>
      <c r="O501" s="182">
        <v>4.7399999999999997E-4</v>
      </c>
      <c r="P501" s="182">
        <v>4.7399999999999997E-4</v>
      </c>
      <c r="R501" s="154" t="str">
        <f t="shared" si="30"/>
        <v>A0169:森の電力(株)メニューB</v>
      </c>
      <c r="S501" s="182">
        <f t="shared" si="31"/>
        <v>4.9399999999999997E-4</v>
      </c>
    </row>
    <row r="502" spans="2:19">
      <c r="B502" s="124" t="s">
        <v>1351</v>
      </c>
      <c r="C502" s="154" t="s">
        <v>1352</v>
      </c>
      <c r="D502" s="154" t="str">
        <f t="shared" si="29"/>
        <v>A0806:いずも縁結び電力(株)</v>
      </c>
      <c r="I502" s="124" t="s">
        <v>637</v>
      </c>
      <c r="J502" s="124" t="s">
        <v>1683</v>
      </c>
      <c r="K502" s="182" t="s">
        <v>2010</v>
      </c>
      <c r="L502" s="182">
        <v>0</v>
      </c>
      <c r="M502" s="182">
        <v>0</v>
      </c>
      <c r="N502" s="182">
        <v>0</v>
      </c>
      <c r="O502" s="182">
        <v>0</v>
      </c>
      <c r="P502" s="182">
        <v>0</v>
      </c>
      <c r="R502" s="154" t="str">
        <f t="shared" si="30"/>
        <v>A0169:森の電力(株)(参考値)事業者全体</v>
      </c>
      <c r="S502" s="182">
        <f t="shared" si="31"/>
        <v>0</v>
      </c>
    </row>
    <row r="503" spans="2:19">
      <c r="B503" s="124" t="s">
        <v>1353</v>
      </c>
      <c r="C503" s="154" t="s">
        <v>1354</v>
      </c>
      <c r="D503" s="154" t="str">
        <f t="shared" si="29"/>
        <v>A0807:恵那電力(株)</v>
      </c>
      <c r="I503" s="124" t="s">
        <v>638</v>
      </c>
      <c r="J503" s="124" t="s">
        <v>1684</v>
      </c>
      <c r="K503" s="182" t="s">
        <v>390</v>
      </c>
      <c r="L503" s="182">
        <v>0</v>
      </c>
      <c r="M503" s="182">
        <v>1.2E-4</v>
      </c>
      <c r="N503" s="182">
        <v>1.2E-4</v>
      </c>
      <c r="O503" s="182">
        <v>1.2E-4</v>
      </c>
      <c r="P503" s="182">
        <v>1.2E-4</v>
      </c>
      <c r="R503" s="154" t="str">
        <f t="shared" si="30"/>
        <v>A0170:大和ハウス工業(株)　メニューA</v>
      </c>
      <c r="S503" s="182">
        <f t="shared" si="31"/>
        <v>0</v>
      </c>
    </row>
    <row r="504" spans="2:19">
      <c r="B504" s="124" t="s">
        <v>1355</v>
      </c>
      <c r="C504" s="154" t="s">
        <v>1356</v>
      </c>
      <c r="D504" s="154" t="str">
        <f t="shared" si="29"/>
        <v>A0808:宇都宮ライトパワー(株)</v>
      </c>
      <c r="I504" s="124" t="s">
        <v>638</v>
      </c>
      <c r="J504" s="124" t="s">
        <v>1684</v>
      </c>
      <c r="K504" s="182" t="s">
        <v>398</v>
      </c>
      <c r="L504" s="182">
        <v>0</v>
      </c>
      <c r="M504" s="182">
        <v>2.9799999999999998E-4</v>
      </c>
      <c r="N504" s="182">
        <v>2.9799999999999998E-4</v>
      </c>
      <c r="O504" s="182">
        <v>2.9799999999999998E-4</v>
      </c>
      <c r="P504" s="182">
        <v>2.9799999999999998E-4</v>
      </c>
      <c r="R504" s="154" t="str">
        <f t="shared" si="30"/>
        <v>A0170:大和ハウス工業(株)　メニューB</v>
      </c>
      <c r="S504" s="182">
        <f t="shared" si="31"/>
        <v>0</v>
      </c>
    </row>
    <row r="505" spans="2:19">
      <c r="B505" s="124" t="s">
        <v>1357</v>
      </c>
      <c r="C505" s="154" t="s">
        <v>1358</v>
      </c>
      <c r="D505" s="154" t="str">
        <f t="shared" si="29"/>
        <v>A0809:帯広電力(株)</v>
      </c>
      <c r="I505" s="124" t="s">
        <v>638</v>
      </c>
      <c r="J505" s="124" t="s">
        <v>1684</v>
      </c>
      <c r="K505" s="182" t="s">
        <v>399</v>
      </c>
      <c r="L505" s="182">
        <v>7.8999999999999996E-5</v>
      </c>
      <c r="M505" s="182">
        <v>0</v>
      </c>
      <c r="N505" s="182">
        <v>0</v>
      </c>
      <c r="O505" s="182">
        <v>0</v>
      </c>
      <c r="P505" s="182">
        <v>0</v>
      </c>
      <c r="R505" s="154" t="str">
        <f t="shared" si="30"/>
        <v>A0170:大和ハウス工業(株)　メニューC</v>
      </c>
      <c r="S505" s="182">
        <f t="shared" si="31"/>
        <v>7.8999999999999996E-5</v>
      </c>
    </row>
    <row r="506" spans="2:19">
      <c r="B506" s="124" t="s">
        <v>1359</v>
      </c>
      <c r="C506" s="154" t="s">
        <v>1360</v>
      </c>
      <c r="D506" s="154" t="str">
        <f t="shared" si="29"/>
        <v>A0810:フジ物産(株)</v>
      </c>
      <c r="I506" s="124" t="s">
        <v>638</v>
      </c>
      <c r="J506" s="124" t="s">
        <v>1684</v>
      </c>
      <c r="K506" s="182" t="s">
        <v>400</v>
      </c>
      <c r="L506" s="182">
        <v>2.5500000000000002E-4</v>
      </c>
      <c r="M506" s="182">
        <v>5.22E-4</v>
      </c>
      <c r="N506" s="182">
        <v>5.22E-4</v>
      </c>
      <c r="O506" s="182">
        <v>5.22E-4</v>
      </c>
      <c r="P506" s="182">
        <v>5.22E-4</v>
      </c>
      <c r="R506" s="154" t="str">
        <f t="shared" si="30"/>
        <v>A0170:大和ハウス工業(株)　メニューD</v>
      </c>
      <c r="S506" s="182">
        <f t="shared" si="31"/>
        <v>2.5500000000000002E-4</v>
      </c>
    </row>
    <row r="507" spans="2:19">
      <c r="B507" s="124" t="s">
        <v>1361</v>
      </c>
      <c r="C507" s="154" t="s">
        <v>1362</v>
      </c>
      <c r="D507" s="154" t="str">
        <f t="shared" si="29"/>
        <v>A0812:金沢エナジー(株)</v>
      </c>
      <c r="I507" s="124" t="s">
        <v>638</v>
      </c>
      <c r="J507" s="124" t="s">
        <v>1684</v>
      </c>
      <c r="K507" s="182" t="s">
        <v>401</v>
      </c>
      <c r="L507" s="182">
        <v>2.7500000000000002E-4</v>
      </c>
      <c r="M507" s="182">
        <v>4.6200000000000001E-4</v>
      </c>
      <c r="N507" s="182">
        <v>4.6200000000000001E-4</v>
      </c>
      <c r="O507" s="182">
        <v>4.6200000000000001E-4</v>
      </c>
      <c r="P507" s="182">
        <v>4.6200000000000001E-4</v>
      </c>
      <c r="R507" s="154" t="str">
        <f t="shared" si="30"/>
        <v>A0170:大和ハウス工業(株)　メニューE</v>
      </c>
      <c r="S507" s="182">
        <f t="shared" si="31"/>
        <v>2.7500000000000002E-4</v>
      </c>
    </row>
    <row r="508" spans="2:19">
      <c r="B508" s="124" t="s">
        <v>1363</v>
      </c>
      <c r="C508" s="154" t="s">
        <v>1364</v>
      </c>
      <c r="D508" s="154" t="str">
        <f t="shared" si="29"/>
        <v>A0817:(株)なんとエナジー</v>
      </c>
      <c r="I508" s="124" t="s">
        <v>638</v>
      </c>
      <c r="J508" s="124" t="s">
        <v>1684</v>
      </c>
      <c r="K508" s="182" t="s">
        <v>414</v>
      </c>
      <c r="L508" s="182">
        <v>4.2000000000000002E-4</v>
      </c>
      <c r="M508" s="182">
        <v>0</v>
      </c>
      <c r="N508" s="182">
        <v>0</v>
      </c>
      <c r="O508" s="182">
        <v>0</v>
      </c>
      <c r="P508" s="182">
        <v>0</v>
      </c>
      <c r="R508" s="154" t="str">
        <f t="shared" si="30"/>
        <v>A0170:大和ハウス工業(株)　メニューF</v>
      </c>
      <c r="S508" s="182">
        <f t="shared" si="31"/>
        <v>4.2000000000000002E-4</v>
      </c>
    </row>
    <row r="509" spans="2:19">
      <c r="B509" s="124" t="s">
        <v>1365</v>
      </c>
      <c r="C509" s="154" t="s">
        <v>1366</v>
      </c>
      <c r="D509" s="154" t="str">
        <f t="shared" si="29"/>
        <v>A0818:EDF Trading Japan(株)</v>
      </c>
      <c r="I509" s="124" t="s">
        <v>638</v>
      </c>
      <c r="J509" s="124" t="s">
        <v>1684</v>
      </c>
      <c r="K509" s="182" t="s">
        <v>2010</v>
      </c>
      <c r="L509" s="182">
        <v>4.0400000000000001E-4</v>
      </c>
      <c r="M509" s="182">
        <v>0</v>
      </c>
      <c r="N509" s="182">
        <v>0</v>
      </c>
      <c r="O509" s="182">
        <v>0</v>
      </c>
      <c r="P509" s="182">
        <v>0</v>
      </c>
      <c r="R509" s="154" t="str">
        <f t="shared" si="30"/>
        <v>A0170:大和ハウス工業(株)　(参考値)事業者全体</v>
      </c>
      <c r="S509" s="182">
        <f t="shared" si="31"/>
        <v>4.0400000000000001E-4</v>
      </c>
    </row>
    <row r="510" spans="2:19">
      <c r="B510" s="124" t="s">
        <v>1367</v>
      </c>
      <c r="C510" s="154" t="s">
        <v>1368</v>
      </c>
      <c r="D510" s="154" t="str">
        <f t="shared" si="29"/>
        <v>A0819:(株)ボーダレス・ジャパン</v>
      </c>
      <c r="I510" s="124" t="s">
        <v>639</v>
      </c>
      <c r="J510" s="124" t="s">
        <v>640</v>
      </c>
      <c r="K510" s="182" t="s">
        <v>390</v>
      </c>
      <c r="L510" s="182">
        <v>0</v>
      </c>
      <c r="M510" s="182">
        <v>1.9600000000000002E-4</v>
      </c>
      <c r="N510" s="182">
        <v>1.9600000000000002E-4</v>
      </c>
      <c r="O510" s="182">
        <v>1.9600000000000002E-4</v>
      </c>
      <c r="P510" s="182">
        <v>1.9600000000000002E-4</v>
      </c>
      <c r="R510" s="154" t="str">
        <f t="shared" si="30"/>
        <v>A0172:HTBエナジー(株)メニューA</v>
      </c>
      <c r="S510" s="182">
        <f t="shared" si="31"/>
        <v>0</v>
      </c>
    </row>
    <row r="511" spans="2:19">
      <c r="B511" s="124" t="s">
        <v>1369</v>
      </c>
      <c r="C511" s="154" t="s">
        <v>1370</v>
      </c>
      <c r="D511" s="154" t="str">
        <f t="shared" si="29"/>
        <v>A0820:(株)ワット</v>
      </c>
      <c r="I511" s="124" t="s">
        <v>639</v>
      </c>
      <c r="J511" s="124" t="s">
        <v>640</v>
      </c>
      <c r="K511" s="182" t="s">
        <v>398</v>
      </c>
      <c r="L511" s="182">
        <v>3.3599999999999998E-4</v>
      </c>
      <c r="M511" s="182">
        <v>4.2999999999999999E-4</v>
      </c>
      <c r="N511" s="182">
        <v>4.2999999999999999E-4</v>
      </c>
      <c r="O511" s="182">
        <v>4.2999999999999999E-4</v>
      </c>
      <c r="P511" s="182">
        <v>4.2999999999999999E-4</v>
      </c>
      <c r="R511" s="154" t="str">
        <f t="shared" si="30"/>
        <v>A0172:HTBエナジー(株)メニューB</v>
      </c>
      <c r="S511" s="182">
        <f t="shared" si="31"/>
        <v>3.3599999999999998E-4</v>
      </c>
    </row>
    <row r="512" spans="2:19">
      <c r="B512" s="124" t="s">
        <v>1371</v>
      </c>
      <c r="C512" s="154" t="s">
        <v>1372</v>
      </c>
      <c r="D512" s="154" t="str">
        <f t="shared" si="29"/>
        <v>A0821:ジケイ・スペース(株)</v>
      </c>
      <c r="I512" s="124" t="s">
        <v>639</v>
      </c>
      <c r="J512" s="124" t="s">
        <v>640</v>
      </c>
      <c r="K512" s="182" t="s">
        <v>2010</v>
      </c>
      <c r="L512" s="182">
        <v>3.2699999999999998E-4</v>
      </c>
      <c r="M512" s="182">
        <v>3.8900000000000002E-4</v>
      </c>
      <c r="N512" s="182">
        <v>3.8900000000000002E-4</v>
      </c>
      <c r="O512" s="182">
        <v>3.8900000000000002E-4</v>
      </c>
      <c r="P512" s="182">
        <v>3.8900000000000002E-4</v>
      </c>
      <c r="R512" s="154" t="str">
        <f t="shared" si="30"/>
        <v>A0172:HTBエナジー(株)(参考値)事業者全体</v>
      </c>
      <c r="S512" s="182">
        <f t="shared" si="31"/>
        <v>3.2699999999999998E-4</v>
      </c>
    </row>
    <row r="513" spans="2:19">
      <c r="B513" s="124" t="s">
        <v>1373</v>
      </c>
      <c r="C513" s="154" t="s">
        <v>1374</v>
      </c>
      <c r="D513" s="154" t="str">
        <f t="shared" si="29"/>
        <v>A0822:広島ガス(株)</v>
      </c>
      <c r="I513" s="124" t="s">
        <v>641</v>
      </c>
      <c r="J513" s="124" t="s">
        <v>642</v>
      </c>
      <c r="K513" s="182"/>
      <c r="L513" s="182">
        <v>5.8299999999999997E-4</v>
      </c>
      <c r="M513" s="182">
        <v>0</v>
      </c>
      <c r="N513" s="182">
        <v>0</v>
      </c>
      <c r="O513" s="182">
        <v>0</v>
      </c>
      <c r="P513" s="182">
        <v>0</v>
      </c>
      <c r="R513" s="154" t="str">
        <f t="shared" si="30"/>
        <v>A0173:(株)アシストワンエナジー</v>
      </c>
      <c r="S513" s="182">
        <f t="shared" si="31"/>
        <v>5.8299999999999997E-4</v>
      </c>
    </row>
    <row r="514" spans="2:19">
      <c r="B514" s="124" t="s">
        <v>1375</v>
      </c>
      <c r="C514" s="154" t="s">
        <v>1376</v>
      </c>
      <c r="D514" s="154" t="str">
        <f t="shared" si="29"/>
        <v>A0824:(株)IQg</v>
      </c>
      <c r="I514" s="124" t="s">
        <v>643</v>
      </c>
      <c r="J514" s="124" t="s">
        <v>644</v>
      </c>
      <c r="K514" s="182"/>
      <c r="L514" s="182">
        <v>6.0099999999999997E-4</v>
      </c>
      <c r="M514" s="182">
        <v>5.1699999999999999E-4</v>
      </c>
      <c r="N514" s="182">
        <v>5.1699999999999999E-4</v>
      </c>
      <c r="O514" s="182">
        <v>5.1699999999999999E-4</v>
      </c>
      <c r="P514" s="182">
        <v>5.1699999999999999E-4</v>
      </c>
      <c r="R514" s="154" t="str">
        <f t="shared" si="30"/>
        <v>A0175:(株)フソウ・エナジー</v>
      </c>
      <c r="S514" s="182">
        <f t="shared" si="31"/>
        <v>6.0099999999999997E-4</v>
      </c>
    </row>
    <row r="515" spans="2:19">
      <c r="B515" s="124" t="s">
        <v>1377</v>
      </c>
      <c r="C515" s="154" t="s">
        <v>1378</v>
      </c>
      <c r="D515" s="154" t="str">
        <f t="shared" si="29"/>
        <v>A0825:エナジーサプライ(株)</v>
      </c>
      <c r="I515" s="124" t="s">
        <v>645</v>
      </c>
      <c r="J515" s="124" t="s">
        <v>1685</v>
      </c>
      <c r="K515" s="182" t="s">
        <v>390</v>
      </c>
      <c r="L515" s="182">
        <v>0</v>
      </c>
      <c r="M515" s="182">
        <v>5.71E-4</v>
      </c>
      <c r="N515" s="182">
        <v>5.71E-4</v>
      </c>
      <c r="O515" s="182">
        <v>5.71E-4</v>
      </c>
      <c r="P515" s="182">
        <v>5.71E-4</v>
      </c>
      <c r="R515" s="154" t="str">
        <f t="shared" si="30"/>
        <v>A0177:湘南電力(株)メニューA</v>
      </c>
      <c r="S515" s="182">
        <f t="shared" si="31"/>
        <v>0</v>
      </c>
    </row>
    <row r="516" spans="2:19">
      <c r="B516" s="124" t="s">
        <v>1379</v>
      </c>
      <c r="C516" s="154" t="s">
        <v>1380</v>
      </c>
      <c r="D516" s="154" t="str">
        <f t="shared" si="29"/>
        <v>A0826:(株)FPS</v>
      </c>
      <c r="I516" s="124" t="s">
        <v>645</v>
      </c>
      <c r="J516" s="124" t="s">
        <v>1685</v>
      </c>
      <c r="K516" s="182" t="s">
        <v>398</v>
      </c>
      <c r="L516" s="182">
        <v>4.0999999999999999E-4</v>
      </c>
      <c r="M516" s="182">
        <v>6.1499999999999999E-4</v>
      </c>
      <c r="N516" s="182">
        <v>6.1499999999999999E-4</v>
      </c>
      <c r="O516" s="182">
        <v>6.1499999999999999E-4</v>
      </c>
      <c r="P516" s="182">
        <v>6.1499999999999999E-4</v>
      </c>
      <c r="R516" s="154" t="str">
        <f t="shared" si="30"/>
        <v>A0177:湘南電力(株)メニューB</v>
      </c>
      <c r="S516" s="182">
        <f t="shared" si="31"/>
        <v>4.0999999999999999E-4</v>
      </c>
    </row>
    <row r="517" spans="2:19">
      <c r="B517" s="124" t="s">
        <v>1381</v>
      </c>
      <c r="C517" s="154" t="s">
        <v>1382</v>
      </c>
      <c r="D517" s="154" t="str">
        <f t="shared" si="29"/>
        <v>A0827:大熊るるるん電力(株)</v>
      </c>
      <c r="I517" s="124" t="s">
        <v>645</v>
      </c>
      <c r="J517" s="124" t="s">
        <v>1685</v>
      </c>
      <c r="K517" s="182" t="s">
        <v>2010</v>
      </c>
      <c r="L517" s="182">
        <v>3.8999999999999999E-4</v>
      </c>
      <c r="M517" s="182">
        <v>0</v>
      </c>
      <c r="N517" s="182">
        <v>0</v>
      </c>
      <c r="O517" s="182">
        <v>0</v>
      </c>
      <c r="P517" s="182">
        <v>0</v>
      </c>
      <c r="R517" s="154" t="str">
        <f t="shared" si="30"/>
        <v>A0177:湘南電力(株)(参考値)事業者全体</v>
      </c>
      <c r="S517" s="182">
        <f t="shared" si="31"/>
        <v>3.8999999999999999E-4</v>
      </c>
    </row>
    <row r="518" spans="2:19">
      <c r="B518" s="124" t="s">
        <v>1383</v>
      </c>
      <c r="C518" s="154" t="s">
        <v>1384</v>
      </c>
      <c r="D518" s="154" t="str">
        <f t="shared" si="29"/>
        <v>A0829:(株)レックス</v>
      </c>
      <c r="I518" s="124" t="s">
        <v>646</v>
      </c>
      <c r="J518" s="124" t="s">
        <v>647</v>
      </c>
      <c r="K518" s="182"/>
      <c r="L518" s="182">
        <v>5.8600000000000004E-4</v>
      </c>
      <c r="M518" s="182">
        <v>5.5599999999999996E-4</v>
      </c>
      <c r="N518" s="182">
        <v>5.5599999999999996E-4</v>
      </c>
      <c r="O518" s="182">
        <v>5.5599999999999996E-4</v>
      </c>
      <c r="P518" s="182">
        <v>5.5599999999999996E-4</v>
      </c>
      <c r="R518" s="154" t="str">
        <f t="shared" si="30"/>
        <v>A0178:大東建託パートナーズ(株)</v>
      </c>
      <c r="S518" s="182">
        <f t="shared" si="31"/>
        <v>5.8600000000000004E-4</v>
      </c>
    </row>
    <row r="519" spans="2:19">
      <c r="B519" s="124" t="s">
        <v>1385</v>
      </c>
      <c r="C519" s="154" t="s">
        <v>1386</v>
      </c>
      <c r="D519" s="154" t="str">
        <f t="shared" si="29"/>
        <v>A0831:おきたま新電力(株)</v>
      </c>
      <c r="I519" s="124" t="s">
        <v>648</v>
      </c>
      <c r="J519" s="124" t="s">
        <v>649</v>
      </c>
      <c r="K519" s="182" t="s">
        <v>390</v>
      </c>
      <c r="L519" s="182">
        <v>0</v>
      </c>
      <c r="M519" s="182">
        <v>3.77E-4</v>
      </c>
      <c r="N519" s="182">
        <v>3.77E-4</v>
      </c>
      <c r="O519" s="182">
        <v>3.77E-4</v>
      </c>
      <c r="P519" s="182">
        <v>3.77E-4</v>
      </c>
      <c r="R519" s="154" t="str">
        <f t="shared" si="30"/>
        <v>A0179:Japan電力(株)メニューA</v>
      </c>
      <c r="S519" s="182">
        <f t="shared" si="31"/>
        <v>0</v>
      </c>
    </row>
    <row r="520" spans="2:19">
      <c r="B520" s="124" t="s">
        <v>1387</v>
      </c>
      <c r="C520" s="154" t="s">
        <v>1388</v>
      </c>
      <c r="D520" s="154" t="str">
        <f t="shared" si="29"/>
        <v>A0835:河原実業(株)</v>
      </c>
      <c r="I520" s="124" t="s">
        <v>648</v>
      </c>
      <c r="J520" s="124" t="s">
        <v>649</v>
      </c>
      <c r="K520" s="182" t="s">
        <v>398</v>
      </c>
      <c r="L520" s="182">
        <v>3.7300000000000001E-4</v>
      </c>
      <c r="M520" s="182">
        <v>3.2699999999999998E-4</v>
      </c>
      <c r="N520" s="182">
        <v>3.2699999999999998E-4</v>
      </c>
      <c r="O520" s="182">
        <v>3.2699999999999998E-4</v>
      </c>
      <c r="P520" s="182">
        <v>3.2699999999999998E-4</v>
      </c>
      <c r="R520" s="154" t="str">
        <f t="shared" si="30"/>
        <v>A0179:Japan電力(株)メニューB</v>
      </c>
      <c r="S520" s="182">
        <f t="shared" si="31"/>
        <v>3.7300000000000001E-4</v>
      </c>
    </row>
    <row r="521" spans="2:19">
      <c r="B521" s="124" t="s">
        <v>1389</v>
      </c>
      <c r="C521" s="154" t="s">
        <v>1390</v>
      </c>
      <c r="D521" s="154" t="str">
        <f t="shared" si="29"/>
        <v>A0838:(株)stc</v>
      </c>
      <c r="I521" s="124" t="s">
        <v>648</v>
      </c>
      <c r="J521" s="124" t="s">
        <v>649</v>
      </c>
      <c r="K521" s="182" t="s">
        <v>2010</v>
      </c>
      <c r="L521" s="182">
        <v>3.4600000000000001E-4</v>
      </c>
      <c r="M521" s="182">
        <v>3.86E-4</v>
      </c>
      <c r="N521" s="182">
        <v>3.86E-4</v>
      </c>
      <c r="O521" s="182">
        <v>3.86E-4</v>
      </c>
      <c r="P521" s="182">
        <v>3.86E-4</v>
      </c>
      <c r="R521" s="154" t="str">
        <f t="shared" si="30"/>
        <v>A0179:Japan電力(株)(参考値)事業者全体</v>
      </c>
      <c r="S521" s="182">
        <f t="shared" si="31"/>
        <v>3.4600000000000001E-4</v>
      </c>
    </row>
    <row r="522" spans="2:19">
      <c r="B522" s="124" t="s">
        <v>1391</v>
      </c>
      <c r="C522" s="154" t="s">
        <v>1392</v>
      </c>
      <c r="D522" s="154" t="str">
        <f t="shared" ref="D522:D556" si="32">B522&amp;":"&amp;C522</f>
        <v>A0839:(株)工営エナジー</v>
      </c>
      <c r="I522" s="124" t="s">
        <v>650</v>
      </c>
      <c r="J522" s="124" t="s">
        <v>651</v>
      </c>
      <c r="K522" s="182" t="s">
        <v>390</v>
      </c>
      <c r="L522" s="182">
        <v>4.2499999999999998E-4</v>
      </c>
      <c r="M522" s="182">
        <v>0</v>
      </c>
      <c r="N522" s="182">
        <v>0</v>
      </c>
      <c r="O522" s="182">
        <v>0</v>
      </c>
      <c r="P522" s="182">
        <v>0</v>
      </c>
      <c r="R522" s="154" t="str">
        <f t="shared" ref="R522:R585" si="33">I522&amp;":"&amp;J522&amp;K522</f>
        <v>A0180:電源開発(株)メニューA</v>
      </c>
      <c r="S522" s="182">
        <f t="shared" ref="S522:S585" si="34">HLOOKUP($S$8,$L$8:$P$1500,ROW()-7,FALSE)</f>
        <v>4.2499999999999998E-4</v>
      </c>
    </row>
    <row r="523" spans="2:19">
      <c r="B523" s="124" t="s">
        <v>1393</v>
      </c>
      <c r="C523" s="154" t="s">
        <v>1394</v>
      </c>
      <c r="D523" s="154" t="str">
        <f t="shared" si="32"/>
        <v>A0840:アースシグナルソリューションズ(株)</v>
      </c>
      <c r="I523" s="124" t="s">
        <v>650</v>
      </c>
      <c r="J523" s="124" t="s">
        <v>651</v>
      </c>
      <c r="K523" s="182" t="s">
        <v>2010</v>
      </c>
      <c r="L523" s="182">
        <v>4.2900000000000002E-4</v>
      </c>
      <c r="M523" s="182">
        <v>3.2699999999999998E-4</v>
      </c>
      <c r="N523" s="182">
        <v>3.2699999999999998E-4</v>
      </c>
      <c r="O523" s="182">
        <v>3.2699999999999998E-4</v>
      </c>
      <c r="P523" s="182">
        <v>3.2699999999999998E-4</v>
      </c>
      <c r="R523" s="154" t="str">
        <f t="shared" si="33"/>
        <v>A0180:電源開発(株)(参考値)事業者全体</v>
      </c>
      <c r="S523" s="182">
        <f t="shared" si="34"/>
        <v>4.2900000000000002E-4</v>
      </c>
    </row>
    <row r="524" spans="2:19">
      <c r="B524" s="124" t="s">
        <v>1395</v>
      </c>
      <c r="C524" s="154" t="s">
        <v>1396</v>
      </c>
      <c r="D524" s="154" t="str">
        <f t="shared" si="32"/>
        <v>A0843:シントウエナジー(株)</v>
      </c>
      <c r="I524" s="124" t="s">
        <v>652</v>
      </c>
      <c r="J524" s="124" t="s">
        <v>1686</v>
      </c>
      <c r="K524" s="182" t="s">
        <v>390</v>
      </c>
      <c r="L524" s="182">
        <v>2.9599999999999998E-4</v>
      </c>
      <c r="M524" s="182">
        <v>5.1000000000000004E-4</v>
      </c>
      <c r="N524" s="182">
        <v>5.1000000000000004E-4</v>
      </c>
      <c r="O524" s="182">
        <v>5.1000000000000004E-4</v>
      </c>
      <c r="P524" s="182">
        <v>5.1000000000000004E-4</v>
      </c>
      <c r="R524" s="154" t="str">
        <f t="shared" si="33"/>
        <v>A0181:鈴与商事(株)メニューA</v>
      </c>
      <c r="S524" s="182">
        <f t="shared" si="34"/>
        <v>2.9599999999999998E-4</v>
      </c>
    </row>
    <row r="525" spans="2:19">
      <c r="B525" s="124" t="s">
        <v>1397</v>
      </c>
      <c r="C525" s="154" t="s">
        <v>1704</v>
      </c>
      <c r="D525" s="154" t="str">
        <f t="shared" si="32"/>
        <v>A0844:那須野ヶ原みらい電力(株)</v>
      </c>
      <c r="I525" s="124" t="s">
        <v>652</v>
      </c>
      <c r="J525" s="124" t="s">
        <v>1686</v>
      </c>
      <c r="K525" s="182" t="s">
        <v>398</v>
      </c>
      <c r="L525" s="182">
        <v>0</v>
      </c>
      <c r="M525" s="182">
        <v>4.1599999999999997E-4</v>
      </c>
      <c r="N525" s="182">
        <v>4.1599999999999997E-4</v>
      </c>
      <c r="O525" s="182">
        <v>4.1599999999999997E-4</v>
      </c>
      <c r="P525" s="182">
        <v>4.1599999999999997E-4</v>
      </c>
      <c r="R525" s="154" t="str">
        <f t="shared" si="33"/>
        <v>A0181:鈴与商事(株)メニューB</v>
      </c>
      <c r="S525" s="182">
        <f t="shared" si="34"/>
        <v>0</v>
      </c>
    </row>
    <row r="526" spans="2:19">
      <c r="B526" s="124" t="s">
        <v>1398</v>
      </c>
      <c r="C526" s="154" t="s">
        <v>1399</v>
      </c>
      <c r="D526" s="154" t="str">
        <f t="shared" si="32"/>
        <v>A0847:柏崎あい・あーるエナジー(株)</v>
      </c>
      <c r="I526" s="124" t="s">
        <v>652</v>
      </c>
      <c r="J526" s="124" t="s">
        <v>1686</v>
      </c>
      <c r="K526" s="182" t="s">
        <v>399</v>
      </c>
      <c r="L526" s="182">
        <v>0</v>
      </c>
      <c r="M526" s="182">
        <v>4.9899999999999999E-4</v>
      </c>
      <c r="N526" s="182">
        <v>4.9899999999999999E-4</v>
      </c>
      <c r="O526" s="182">
        <v>4.9899999999999999E-4</v>
      </c>
      <c r="P526" s="182">
        <v>4.9899999999999999E-4</v>
      </c>
      <c r="R526" s="154" t="str">
        <f t="shared" si="33"/>
        <v>A0181:鈴与商事(株)メニューC</v>
      </c>
      <c r="S526" s="182">
        <f t="shared" si="34"/>
        <v>0</v>
      </c>
    </row>
    <row r="527" spans="2:19">
      <c r="B527" s="124" t="s">
        <v>1400</v>
      </c>
      <c r="C527" s="154" t="s">
        <v>1401</v>
      </c>
      <c r="D527" s="154" t="str">
        <f t="shared" si="32"/>
        <v>A0849:京セラ(株)</v>
      </c>
      <c r="I527" s="124" t="s">
        <v>652</v>
      </c>
      <c r="J527" s="124" t="s">
        <v>1686</v>
      </c>
      <c r="K527" s="182" t="s">
        <v>400</v>
      </c>
      <c r="L527" s="182">
        <v>5.3000000000000009E-4</v>
      </c>
      <c r="M527" s="182">
        <v>0</v>
      </c>
      <c r="N527" s="182">
        <v>0</v>
      </c>
      <c r="O527" s="182">
        <v>0</v>
      </c>
      <c r="P527" s="182">
        <v>0</v>
      </c>
      <c r="R527" s="154" t="str">
        <f t="shared" si="33"/>
        <v>A0181:鈴与商事(株)メニューD</v>
      </c>
      <c r="S527" s="182">
        <f t="shared" si="34"/>
        <v>5.3000000000000009E-4</v>
      </c>
    </row>
    <row r="528" spans="2:19">
      <c r="B528" s="124" t="s">
        <v>1402</v>
      </c>
      <c r="C528" s="154" t="s">
        <v>1403</v>
      </c>
      <c r="D528" s="154" t="str">
        <f t="shared" si="32"/>
        <v>A0851:(株)鳥取みらい電力</v>
      </c>
      <c r="I528" s="124" t="s">
        <v>652</v>
      </c>
      <c r="J528" s="124" t="s">
        <v>1686</v>
      </c>
      <c r="K528" s="182" t="s">
        <v>401</v>
      </c>
      <c r="L528" s="182">
        <v>5.2000000000000006E-4</v>
      </c>
      <c r="M528" s="182">
        <v>4.1599999999999997E-4</v>
      </c>
      <c r="N528" s="182">
        <v>4.1599999999999997E-4</v>
      </c>
      <c r="O528" s="182">
        <v>4.1599999999999997E-4</v>
      </c>
      <c r="P528" s="182">
        <v>4.1599999999999997E-4</v>
      </c>
      <c r="R528" s="154" t="str">
        <f t="shared" si="33"/>
        <v>A0181:鈴与商事(株)メニューE</v>
      </c>
      <c r="S528" s="182">
        <f t="shared" si="34"/>
        <v>5.2000000000000006E-4</v>
      </c>
    </row>
    <row r="529" spans="2:19">
      <c r="B529" s="124" t="s">
        <v>1404</v>
      </c>
      <c r="C529" s="154" t="s">
        <v>1405</v>
      </c>
      <c r="D529" s="154" t="str">
        <f t="shared" si="32"/>
        <v>A0852:鈴鹿グリーンエナジー(株)</v>
      </c>
      <c r="I529" s="124" t="s">
        <v>652</v>
      </c>
      <c r="J529" s="124" t="s">
        <v>1686</v>
      </c>
      <c r="K529" s="182" t="s">
        <v>414</v>
      </c>
      <c r="L529" s="182">
        <v>4.6999999999999999E-4</v>
      </c>
      <c r="M529" s="182">
        <v>0</v>
      </c>
      <c r="N529" s="182">
        <v>0</v>
      </c>
      <c r="O529" s="182">
        <v>0</v>
      </c>
      <c r="P529" s="182">
        <v>0</v>
      </c>
      <c r="R529" s="154" t="str">
        <f t="shared" si="33"/>
        <v>A0181:鈴与商事(株)メニューF</v>
      </c>
      <c r="S529" s="182">
        <f t="shared" si="34"/>
        <v>4.6999999999999999E-4</v>
      </c>
    </row>
    <row r="530" spans="2:19">
      <c r="B530" s="124" t="s">
        <v>1406</v>
      </c>
      <c r="C530" s="154" t="s">
        <v>1407</v>
      </c>
      <c r="D530" s="154" t="str">
        <f t="shared" si="32"/>
        <v>A0853:一般社団法人東北自動車産業グリーンエネルギー普及協会</v>
      </c>
      <c r="I530" s="124" t="s">
        <v>652</v>
      </c>
      <c r="J530" s="124" t="s">
        <v>1686</v>
      </c>
      <c r="K530" s="182" t="s">
        <v>415</v>
      </c>
      <c r="L530" s="182">
        <v>0</v>
      </c>
      <c r="M530" s="182">
        <v>2.05E-4</v>
      </c>
      <c r="N530" s="182">
        <v>2.05E-4</v>
      </c>
      <c r="O530" s="182">
        <v>2.05E-4</v>
      </c>
      <c r="P530" s="182">
        <v>2.05E-4</v>
      </c>
      <c r="R530" s="154" t="str">
        <f t="shared" si="33"/>
        <v>A0181:鈴与商事(株)メニューG</v>
      </c>
      <c r="S530" s="182">
        <f t="shared" si="34"/>
        <v>0</v>
      </c>
    </row>
    <row r="531" spans="2:19">
      <c r="B531" s="124" t="s">
        <v>1408</v>
      </c>
      <c r="C531" s="154" t="s">
        <v>1409</v>
      </c>
      <c r="D531" s="154" t="str">
        <f t="shared" si="32"/>
        <v>A0854:刈谷知立みらい電力(株)</v>
      </c>
      <c r="I531" s="124" t="s">
        <v>652</v>
      </c>
      <c r="J531" s="124" t="s">
        <v>1686</v>
      </c>
      <c r="K531" s="182" t="s">
        <v>416</v>
      </c>
      <c r="L531" s="182">
        <v>5.3799999999999996E-4</v>
      </c>
      <c r="M531" s="182">
        <v>3.4099999999999999E-4</v>
      </c>
      <c r="N531" s="182">
        <v>3.4099999999999999E-4</v>
      </c>
      <c r="O531" s="182">
        <v>3.4099999999999999E-4</v>
      </c>
      <c r="P531" s="182">
        <v>3.4099999999999999E-4</v>
      </c>
      <c r="R531" s="154" t="str">
        <f t="shared" si="33"/>
        <v>A0181:鈴与商事(株)メニューH</v>
      </c>
      <c r="S531" s="182">
        <f t="shared" si="34"/>
        <v>5.3799999999999996E-4</v>
      </c>
    </row>
    <row r="532" spans="2:19">
      <c r="B532" s="124" t="s">
        <v>1410</v>
      </c>
      <c r="C532" s="154" t="s">
        <v>1411</v>
      </c>
      <c r="D532" s="154" t="str">
        <f t="shared" si="32"/>
        <v>A0857:(株)パワーエックス</v>
      </c>
      <c r="I532" s="124" t="s">
        <v>652</v>
      </c>
      <c r="J532" s="124" t="s">
        <v>1686</v>
      </c>
      <c r="K532" s="182" t="s">
        <v>2010</v>
      </c>
      <c r="L532" s="182">
        <v>4.15E-4</v>
      </c>
      <c r="M532" s="182">
        <v>0</v>
      </c>
      <c r="N532" s="182">
        <v>0</v>
      </c>
      <c r="O532" s="182">
        <v>0</v>
      </c>
      <c r="P532" s="182">
        <v>0</v>
      </c>
      <c r="R532" s="154" t="str">
        <f t="shared" si="33"/>
        <v>A0181:鈴与商事(株)(参考値)事業者全体</v>
      </c>
      <c r="S532" s="182">
        <f t="shared" si="34"/>
        <v>4.15E-4</v>
      </c>
    </row>
    <row r="533" spans="2:19">
      <c r="B533" s="124" t="s">
        <v>1412</v>
      </c>
      <c r="C533" s="154" t="s">
        <v>1413</v>
      </c>
      <c r="D533" s="154" t="str">
        <f t="shared" si="32"/>
        <v>A0859:いちのみや未来エネルギー(株)</v>
      </c>
      <c r="I533" s="124" t="s">
        <v>653</v>
      </c>
      <c r="J533" s="124" t="s">
        <v>654</v>
      </c>
      <c r="K533" s="182" t="s">
        <v>390</v>
      </c>
      <c r="L533" s="182">
        <v>0</v>
      </c>
      <c r="M533" s="182">
        <v>0</v>
      </c>
      <c r="N533" s="182">
        <v>0</v>
      </c>
      <c r="O533" s="182">
        <v>0</v>
      </c>
      <c r="P533" s="182">
        <v>0</v>
      </c>
      <c r="R533" s="154" t="str">
        <f t="shared" si="33"/>
        <v>A0184:ワタミエナジー(株)メニューA</v>
      </c>
      <c r="S533" s="182">
        <f t="shared" si="34"/>
        <v>0</v>
      </c>
    </row>
    <row r="534" spans="2:19">
      <c r="B534" s="124" t="s">
        <v>1414</v>
      </c>
      <c r="C534" s="154" t="s">
        <v>1415</v>
      </c>
      <c r="D534" s="154" t="str">
        <f t="shared" si="32"/>
        <v>A0860:岡谷酸素(株)</v>
      </c>
      <c r="I534" s="124" t="s">
        <v>653</v>
      </c>
      <c r="J534" s="124" t="s">
        <v>654</v>
      </c>
      <c r="K534" s="182" t="s">
        <v>398</v>
      </c>
      <c r="L534" s="182">
        <v>5.5099999999999995E-4</v>
      </c>
      <c r="M534" s="182">
        <v>0</v>
      </c>
      <c r="N534" s="182">
        <v>0</v>
      </c>
      <c r="O534" s="182">
        <v>0</v>
      </c>
      <c r="P534" s="182">
        <v>0</v>
      </c>
      <c r="R534" s="154" t="str">
        <f t="shared" si="33"/>
        <v>A0184:ワタミエナジー(株)メニューB</v>
      </c>
      <c r="S534" s="182">
        <f t="shared" si="34"/>
        <v>5.5099999999999995E-4</v>
      </c>
    </row>
    <row r="535" spans="2:19">
      <c r="B535" s="124" t="s">
        <v>1416</v>
      </c>
      <c r="C535" s="154" t="s">
        <v>1417</v>
      </c>
      <c r="D535" s="154" t="str">
        <f t="shared" si="32"/>
        <v>A0863:(株)絆</v>
      </c>
      <c r="I535" s="124" t="s">
        <v>653</v>
      </c>
      <c r="J535" s="124" t="s">
        <v>654</v>
      </c>
      <c r="K535" s="182" t="s">
        <v>2010</v>
      </c>
      <c r="L535" s="182">
        <v>4.6200000000000001E-4</v>
      </c>
      <c r="M535" s="182">
        <v>0</v>
      </c>
      <c r="N535" s="182">
        <v>0</v>
      </c>
      <c r="O535" s="182">
        <v>0</v>
      </c>
      <c r="P535" s="182">
        <v>0</v>
      </c>
      <c r="R535" s="154" t="str">
        <f t="shared" si="33"/>
        <v>A0184:ワタミエナジー(株)(参考値)事業者全体</v>
      </c>
      <c r="S535" s="182">
        <f t="shared" si="34"/>
        <v>4.6200000000000001E-4</v>
      </c>
    </row>
    <row r="536" spans="2:19">
      <c r="B536" s="124" t="s">
        <v>1418</v>
      </c>
      <c r="C536" s="154" t="s">
        <v>1419</v>
      </c>
      <c r="D536" s="154" t="str">
        <f t="shared" si="32"/>
        <v>A0865:東北エネルギーサービス(株)</v>
      </c>
      <c r="I536" s="124" t="s">
        <v>655</v>
      </c>
      <c r="J536" s="124" t="s">
        <v>656</v>
      </c>
      <c r="K536" s="182"/>
      <c r="L536" s="182">
        <v>4.7399999999999997E-4</v>
      </c>
      <c r="M536" s="182">
        <v>0</v>
      </c>
      <c r="N536" s="182">
        <v>0</v>
      </c>
      <c r="O536" s="182">
        <v>0</v>
      </c>
      <c r="P536" s="182">
        <v>0</v>
      </c>
      <c r="R536" s="154" t="str">
        <f t="shared" si="33"/>
        <v>A0185:(株)パルシステム電力</v>
      </c>
      <c r="S536" s="182">
        <f t="shared" si="34"/>
        <v>4.7399999999999997E-4</v>
      </c>
    </row>
    <row r="537" spans="2:19">
      <c r="B537" s="124" t="s">
        <v>1420</v>
      </c>
      <c r="C537" s="154" t="s">
        <v>1421</v>
      </c>
      <c r="D537" s="154" t="str">
        <f t="shared" si="32"/>
        <v>A0866:(株)いなしきエナジー</v>
      </c>
      <c r="I537" s="124" t="s">
        <v>657</v>
      </c>
      <c r="J537" s="124" t="s">
        <v>658</v>
      </c>
      <c r="K537" s="182" t="s">
        <v>390</v>
      </c>
      <c r="L537" s="182">
        <v>0</v>
      </c>
      <c r="M537" s="182">
        <v>5.3499999999999999E-4</v>
      </c>
      <c r="N537" s="182">
        <v>5.3499999999999999E-4</v>
      </c>
      <c r="O537" s="182">
        <v>5.3499999999999999E-4</v>
      </c>
      <c r="P537" s="182">
        <v>5.3499999999999999E-4</v>
      </c>
      <c r="R537" s="154" t="str">
        <f t="shared" si="33"/>
        <v>A0186:SBパワー(株)メニューA</v>
      </c>
      <c r="S537" s="182">
        <f t="shared" si="34"/>
        <v>0</v>
      </c>
    </row>
    <row r="538" spans="2:19">
      <c r="B538" s="124" t="s">
        <v>1422</v>
      </c>
      <c r="C538" s="154" t="s">
        <v>1423</v>
      </c>
      <c r="D538" s="154" t="str">
        <f t="shared" si="32"/>
        <v>A0867:ながのスマートパワー(株)</v>
      </c>
      <c r="I538" s="124" t="s">
        <v>657</v>
      </c>
      <c r="J538" s="124" t="s">
        <v>658</v>
      </c>
      <c r="K538" s="182" t="s">
        <v>398</v>
      </c>
      <c r="L538" s="182">
        <v>0</v>
      </c>
      <c r="M538" s="182">
        <v>0</v>
      </c>
      <c r="N538" s="182">
        <v>0</v>
      </c>
      <c r="O538" s="182">
        <v>0</v>
      </c>
      <c r="P538" s="182">
        <v>0</v>
      </c>
      <c r="R538" s="154" t="str">
        <f t="shared" si="33"/>
        <v>A0186:SBパワー(株)メニューB</v>
      </c>
      <c r="S538" s="182">
        <f t="shared" si="34"/>
        <v>0</v>
      </c>
    </row>
    <row r="539" spans="2:19">
      <c r="B539" s="124" t="s">
        <v>1424</v>
      </c>
      <c r="C539" s="154" t="s">
        <v>1425</v>
      </c>
      <c r="D539" s="154" t="str">
        <f t="shared" si="32"/>
        <v>A0868:(株)ホクレン油機サービス</v>
      </c>
      <c r="I539" s="124" t="s">
        <v>657</v>
      </c>
      <c r="J539" s="124" t="s">
        <v>658</v>
      </c>
      <c r="K539" s="182" t="s">
        <v>399</v>
      </c>
      <c r="L539" s="182">
        <v>1.6600000000000002E-4</v>
      </c>
      <c r="M539" s="182">
        <v>0</v>
      </c>
      <c r="N539" s="182">
        <v>0</v>
      </c>
      <c r="O539" s="182">
        <v>0</v>
      </c>
      <c r="P539" s="182">
        <v>0</v>
      </c>
      <c r="R539" s="154" t="str">
        <f t="shared" si="33"/>
        <v>A0186:SBパワー(株)メニューC</v>
      </c>
      <c r="S539" s="182">
        <f t="shared" si="34"/>
        <v>1.6600000000000002E-4</v>
      </c>
    </row>
    <row r="540" spans="2:19">
      <c r="B540" s="124" t="s">
        <v>1426</v>
      </c>
      <c r="C540" s="154" t="s">
        <v>1427</v>
      </c>
      <c r="D540" s="154" t="str">
        <f t="shared" si="32"/>
        <v>A0869:(株)JR東日本商事</v>
      </c>
      <c r="I540" s="124" t="s">
        <v>657</v>
      </c>
      <c r="J540" s="124" t="s">
        <v>658</v>
      </c>
      <c r="K540" s="182" t="s">
        <v>400</v>
      </c>
      <c r="L540" s="182">
        <v>3.9000000000000005E-4</v>
      </c>
      <c r="M540" s="182">
        <v>0</v>
      </c>
      <c r="N540" s="182">
        <v>0</v>
      </c>
      <c r="O540" s="182">
        <v>0</v>
      </c>
      <c r="P540" s="182">
        <v>0</v>
      </c>
      <c r="R540" s="154" t="str">
        <f t="shared" si="33"/>
        <v>A0186:SBパワー(株)メニューD</v>
      </c>
      <c r="S540" s="182">
        <f t="shared" si="34"/>
        <v>3.9000000000000005E-4</v>
      </c>
    </row>
    <row r="541" spans="2:19">
      <c r="B541" s="124" t="s">
        <v>1428</v>
      </c>
      <c r="C541" s="154" t="s">
        <v>1705</v>
      </c>
      <c r="D541" s="154" t="str">
        <f t="shared" si="32"/>
        <v>A0870:岡山ガス(株)</v>
      </c>
      <c r="I541" s="124" t="s">
        <v>657</v>
      </c>
      <c r="J541" s="124" t="s">
        <v>658</v>
      </c>
      <c r="K541" s="182" t="s">
        <v>401</v>
      </c>
      <c r="L541" s="182">
        <v>5.4799999999999998E-4</v>
      </c>
      <c r="M541" s="182">
        <v>4.0200000000000001E-4</v>
      </c>
      <c r="N541" s="182">
        <v>4.0200000000000001E-4</v>
      </c>
      <c r="O541" s="182">
        <v>4.0200000000000001E-4</v>
      </c>
      <c r="P541" s="182">
        <v>4.0200000000000001E-4</v>
      </c>
      <c r="R541" s="154" t="str">
        <f t="shared" si="33"/>
        <v>A0186:SBパワー(株)メニューE</v>
      </c>
      <c r="S541" s="182">
        <f t="shared" si="34"/>
        <v>5.4799999999999998E-4</v>
      </c>
    </row>
    <row r="542" spans="2:19">
      <c r="B542" s="124" t="s">
        <v>1429</v>
      </c>
      <c r="C542" s="154" t="s">
        <v>1706</v>
      </c>
      <c r="D542" s="154" t="str">
        <f t="shared" si="32"/>
        <v>A0871:合同会社グリーンパワーリテイリング</v>
      </c>
      <c r="I542" s="124" t="s">
        <v>657</v>
      </c>
      <c r="J542" s="124" t="s">
        <v>658</v>
      </c>
      <c r="K542" s="182" t="s">
        <v>2010</v>
      </c>
      <c r="L542" s="182">
        <v>5.3399999999999997E-4</v>
      </c>
      <c r="M542" s="182">
        <v>0</v>
      </c>
      <c r="N542" s="182">
        <v>0</v>
      </c>
      <c r="O542" s="182">
        <v>0</v>
      </c>
      <c r="P542" s="182">
        <v>0</v>
      </c>
      <c r="R542" s="154" t="str">
        <f t="shared" si="33"/>
        <v>A0186:SBパワー(株)(参考値)事業者全体</v>
      </c>
      <c r="S542" s="182">
        <f t="shared" si="34"/>
        <v>5.3399999999999997E-4</v>
      </c>
    </row>
    <row r="543" spans="2:19">
      <c r="B543" s="124" t="s">
        <v>1430</v>
      </c>
      <c r="C543" s="154" t="s">
        <v>1431</v>
      </c>
      <c r="D543" s="154" t="str">
        <f t="shared" si="32"/>
        <v>A0873:川崎未来エナジー(株)</v>
      </c>
      <c r="I543" s="124" t="s">
        <v>659</v>
      </c>
      <c r="J543" s="124" t="s">
        <v>660</v>
      </c>
      <c r="K543" s="182" t="s">
        <v>390</v>
      </c>
      <c r="L543" s="182">
        <v>0</v>
      </c>
      <c r="M543" s="182">
        <v>4.2099999999999999E-4</v>
      </c>
      <c r="N543" s="182">
        <v>4.2099999999999999E-4</v>
      </c>
      <c r="O543" s="182">
        <v>4.2099999999999999E-4</v>
      </c>
      <c r="P543" s="182">
        <v>4.2099999999999999E-4</v>
      </c>
      <c r="R543" s="154" t="str">
        <f t="shared" si="33"/>
        <v>A0187:NFパワーサービス(株)メニューA</v>
      </c>
      <c r="S543" s="182">
        <f t="shared" si="34"/>
        <v>0</v>
      </c>
    </row>
    <row r="544" spans="2:19">
      <c r="B544" s="124" t="s">
        <v>1432</v>
      </c>
      <c r="C544" s="154" t="s">
        <v>1707</v>
      </c>
      <c r="D544" s="154" t="str">
        <f t="shared" si="32"/>
        <v>A0874:(株)いずみみらい</v>
      </c>
      <c r="I544" s="124" t="s">
        <v>659</v>
      </c>
      <c r="J544" s="124" t="s">
        <v>660</v>
      </c>
      <c r="K544" s="182" t="s">
        <v>398</v>
      </c>
      <c r="L544" s="182">
        <v>3.7100000000000002E-4</v>
      </c>
      <c r="M544" s="182">
        <v>0</v>
      </c>
      <c r="N544" s="182">
        <v>0</v>
      </c>
      <c r="O544" s="182">
        <v>0</v>
      </c>
      <c r="P544" s="182">
        <v>0</v>
      </c>
      <c r="R544" s="154" t="str">
        <f t="shared" si="33"/>
        <v>A0187:NFパワーサービス(株)メニューB</v>
      </c>
      <c r="S544" s="182">
        <f t="shared" si="34"/>
        <v>3.7100000000000002E-4</v>
      </c>
    </row>
    <row r="545" spans="2:19">
      <c r="B545" s="124" t="s">
        <v>1433</v>
      </c>
      <c r="C545" s="154" t="s">
        <v>1434</v>
      </c>
      <c r="D545" s="154" t="str">
        <f t="shared" si="32"/>
        <v>A0877:(株)アット東京</v>
      </c>
      <c r="I545" s="124" t="s">
        <v>659</v>
      </c>
      <c r="J545" s="124" t="s">
        <v>660</v>
      </c>
      <c r="K545" s="182" t="s">
        <v>2010</v>
      </c>
      <c r="L545" s="182">
        <v>3.1700000000000001E-4</v>
      </c>
      <c r="M545" s="182">
        <v>4.9600000000000002E-4</v>
      </c>
      <c r="N545" s="182">
        <v>4.9600000000000002E-4</v>
      </c>
      <c r="O545" s="182">
        <v>4.9600000000000002E-4</v>
      </c>
      <c r="P545" s="182">
        <v>4.9600000000000002E-4</v>
      </c>
      <c r="R545" s="154" t="str">
        <f t="shared" si="33"/>
        <v>A0187:NFパワーサービス(株)(参考値)事業者全体</v>
      </c>
      <c r="S545" s="182">
        <f t="shared" si="34"/>
        <v>3.1700000000000001E-4</v>
      </c>
    </row>
    <row r="546" spans="2:19">
      <c r="B546" s="124" t="s">
        <v>1435</v>
      </c>
      <c r="C546" s="154" t="s">
        <v>1436</v>
      </c>
      <c r="D546" s="154" t="str">
        <f t="shared" si="32"/>
        <v>A0880:(株)つるエネルギー</v>
      </c>
      <c r="I546" s="124" t="s">
        <v>661</v>
      </c>
      <c r="J546" s="124" t="s">
        <v>1687</v>
      </c>
      <c r="K546" s="182" t="s">
        <v>390</v>
      </c>
      <c r="L546" s="182">
        <v>2.9299999999999997E-4</v>
      </c>
      <c r="M546" s="182">
        <v>0</v>
      </c>
      <c r="N546" s="182">
        <v>0</v>
      </c>
      <c r="O546" s="182">
        <v>0</v>
      </c>
      <c r="P546" s="182">
        <v>0</v>
      </c>
      <c r="R546" s="154" t="str">
        <f t="shared" si="33"/>
        <v>A0188:ひおき地域エネルギー(株)メニューA</v>
      </c>
      <c r="S546" s="182">
        <f t="shared" si="34"/>
        <v>2.9299999999999997E-4</v>
      </c>
    </row>
    <row r="547" spans="2:19">
      <c r="B547" s="124" t="s">
        <v>1437</v>
      </c>
      <c r="C547" s="154" t="s">
        <v>1438</v>
      </c>
      <c r="D547" s="154" t="str">
        <f t="shared" si="32"/>
        <v>A0881:川重商事(株)</v>
      </c>
      <c r="I547" s="124" t="s">
        <v>661</v>
      </c>
      <c r="J547" s="124" t="s">
        <v>1687</v>
      </c>
      <c r="K547" s="182" t="s">
        <v>398</v>
      </c>
      <c r="L547" s="182">
        <v>3.4000000000000002E-4</v>
      </c>
      <c r="M547" s="182">
        <v>0</v>
      </c>
      <c r="N547" s="182">
        <v>0</v>
      </c>
      <c r="O547" s="182">
        <v>0</v>
      </c>
      <c r="P547" s="182">
        <v>0</v>
      </c>
      <c r="R547" s="154" t="str">
        <f t="shared" si="33"/>
        <v>A0188:ひおき地域エネルギー(株)メニューB</v>
      </c>
      <c r="S547" s="182">
        <f t="shared" si="34"/>
        <v>3.4000000000000002E-4</v>
      </c>
    </row>
    <row r="548" spans="2:19">
      <c r="B548" s="124" t="s">
        <v>1439</v>
      </c>
      <c r="C548" s="154" t="s">
        <v>1440</v>
      </c>
      <c r="D548" s="154" t="str">
        <f t="shared" si="32"/>
        <v>A0882:(株)JERA Cross</v>
      </c>
      <c r="I548" s="124" t="s">
        <v>661</v>
      </c>
      <c r="J548" s="124" t="s">
        <v>1687</v>
      </c>
      <c r="K548" s="182" t="s">
        <v>399</v>
      </c>
      <c r="L548" s="182">
        <v>2.0599999999999999E-4</v>
      </c>
      <c r="M548" s="182">
        <v>0</v>
      </c>
      <c r="N548" s="182">
        <v>0</v>
      </c>
      <c r="O548" s="182">
        <v>0</v>
      </c>
      <c r="P548" s="182">
        <v>0</v>
      </c>
      <c r="R548" s="154" t="str">
        <f t="shared" si="33"/>
        <v>A0188:ひおき地域エネルギー(株)メニューC</v>
      </c>
      <c r="S548" s="182">
        <f t="shared" si="34"/>
        <v>2.0599999999999999E-4</v>
      </c>
    </row>
    <row r="549" spans="2:19">
      <c r="B549" s="124" t="s">
        <v>1441</v>
      </c>
      <c r="C549" s="154" t="s">
        <v>1442</v>
      </c>
      <c r="D549" s="154" t="str">
        <f t="shared" si="32"/>
        <v>A0883:飛騨高山電力(株)</v>
      </c>
      <c r="I549" s="124" t="s">
        <v>661</v>
      </c>
      <c r="J549" s="124" t="s">
        <v>1687</v>
      </c>
      <c r="K549" s="182" t="s">
        <v>400</v>
      </c>
      <c r="L549" s="182">
        <v>0</v>
      </c>
      <c r="M549" s="182">
        <v>0</v>
      </c>
      <c r="N549" s="182">
        <v>0</v>
      </c>
      <c r="O549" s="182">
        <v>0</v>
      </c>
      <c r="P549" s="182">
        <v>0</v>
      </c>
      <c r="R549" s="154" t="str">
        <f t="shared" si="33"/>
        <v>A0188:ひおき地域エネルギー(株)メニューD</v>
      </c>
      <c r="S549" s="182">
        <f t="shared" si="34"/>
        <v>0</v>
      </c>
    </row>
    <row r="550" spans="2:19">
      <c r="B550" s="124" t="s">
        <v>1443</v>
      </c>
      <c r="C550" s="154" t="s">
        <v>1444</v>
      </c>
      <c r="D550" s="154" t="str">
        <f t="shared" si="32"/>
        <v>A0886:(株)リボンエナジー</v>
      </c>
      <c r="I550" s="124" t="s">
        <v>661</v>
      </c>
      <c r="J550" s="124" t="s">
        <v>1687</v>
      </c>
      <c r="K550" s="182" t="s">
        <v>401</v>
      </c>
      <c r="L550" s="182">
        <v>5.1099999999999995E-4</v>
      </c>
      <c r="M550" s="182">
        <v>0</v>
      </c>
      <c r="N550" s="182">
        <v>0</v>
      </c>
      <c r="O550" s="182">
        <v>0</v>
      </c>
      <c r="P550" s="182">
        <v>0</v>
      </c>
      <c r="R550" s="154" t="str">
        <f t="shared" si="33"/>
        <v>A0188:ひおき地域エネルギー(株)メニューE</v>
      </c>
      <c r="S550" s="182">
        <f t="shared" si="34"/>
        <v>5.1099999999999995E-4</v>
      </c>
    </row>
    <row r="551" spans="2:19">
      <c r="B551" s="124" t="s">
        <v>1445</v>
      </c>
      <c r="C551" s="154" t="s">
        <v>1446</v>
      </c>
      <c r="D551" s="154" t="str">
        <f t="shared" si="32"/>
        <v>A0888:(株)大崎クリエーション</v>
      </c>
      <c r="I551" s="124" t="s">
        <v>661</v>
      </c>
      <c r="J551" s="124" t="s">
        <v>1687</v>
      </c>
      <c r="K551" s="182" t="s">
        <v>2010</v>
      </c>
      <c r="L551" s="182">
        <v>4.9299999999999995E-4</v>
      </c>
      <c r="M551" s="182">
        <v>0</v>
      </c>
      <c r="N551" s="182">
        <v>0</v>
      </c>
      <c r="O551" s="182">
        <v>0</v>
      </c>
      <c r="P551" s="182">
        <v>0</v>
      </c>
      <c r="R551" s="154" t="str">
        <f t="shared" si="33"/>
        <v>A0188:ひおき地域エネルギー(株)(参考値)事業者全体</v>
      </c>
      <c r="S551" s="182">
        <f t="shared" si="34"/>
        <v>4.9299999999999995E-4</v>
      </c>
    </row>
    <row r="552" spans="2:19">
      <c r="B552" s="124" t="s">
        <v>1447</v>
      </c>
      <c r="C552" s="154" t="s">
        <v>1448</v>
      </c>
      <c r="D552" s="154" t="str">
        <f t="shared" si="32"/>
        <v>A0890:(株)UPX</v>
      </c>
      <c r="I552" s="124" t="s">
        <v>662</v>
      </c>
      <c r="J552" s="124" t="s">
        <v>663</v>
      </c>
      <c r="K552" s="182"/>
      <c r="L552" s="182">
        <v>5.5199999999999997E-4</v>
      </c>
      <c r="M552" s="182">
        <v>0</v>
      </c>
      <c r="N552" s="182">
        <v>0</v>
      </c>
      <c r="O552" s="182">
        <v>0</v>
      </c>
      <c r="P552" s="182">
        <v>0</v>
      </c>
      <c r="R552" s="154" t="str">
        <f t="shared" si="33"/>
        <v>A0189:和歌山電力(株)</v>
      </c>
      <c r="S552" s="182">
        <f t="shared" si="34"/>
        <v>5.5199999999999997E-4</v>
      </c>
    </row>
    <row r="553" spans="2:19">
      <c r="B553" s="124" t="s">
        <v>1449</v>
      </c>
      <c r="C553" s="154" t="s">
        <v>1450</v>
      </c>
      <c r="D553" s="154" t="str">
        <f t="shared" si="32"/>
        <v>A0893:Miraiつのエナジー(株)</v>
      </c>
      <c r="I553" s="124" t="s">
        <v>664</v>
      </c>
      <c r="J553" s="124" t="s">
        <v>665</v>
      </c>
      <c r="K553" s="182"/>
      <c r="L553" s="182">
        <v>4.5199999999999998E-4</v>
      </c>
      <c r="M553" s="182">
        <v>0</v>
      </c>
      <c r="N553" s="182">
        <v>0</v>
      </c>
      <c r="O553" s="182">
        <v>0</v>
      </c>
      <c r="P553" s="182">
        <v>0</v>
      </c>
      <c r="R553" s="154" t="str">
        <f t="shared" si="33"/>
        <v>A0190:日本瓦斯(株)(日本ガス(株))</v>
      </c>
      <c r="S553" s="182">
        <f t="shared" si="34"/>
        <v>4.5199999999999998E-4</v>
      </c>
    </row>
    <row r="554" spans="2:19">
      <c r="B554" s="124" t="s">
        <v>1451</v>
      </c>
      <c r="C554" s="154" t="s">
        <v>1452</v>
      </c>
      <c r="D554" s="154" t="str">
        <f t="shared" si="32"/>
        <v>A0903:山口グリーンエネルギー(株)</v>
      </c>
      <c r="I554" s="124" t="s">
        <v>666</v>
      </c>
      <c r="J554" s="124" t="s">
        <v>667</v>
      </c>
      <c r="K554" s="182" t="s">
        <v>390</v>
      </c>
      <c r="L554" s="182">
        <v>0</v>
      </c>
      <c r="M554" s="182">
        <v>0</v>
      </c>
      <c r="N554" s="182">
        <v>0</v>
      </c>
      <c r="O554" s="182">
        <v>0</v>
      </c>
      <c r="P554" s="182">
        <v>0</v>
      </c>
      <c r="R554" s="154" t="str">
        <f t="shared" si="33"/>
        <v>A0191:(株)トドック電力メニューA</v>
      </c>
      <c r="S554" s="182">
        <f t="shared" si="34"/>
        <v>0</v>
      </c>
    </row>
    <row r="555" spans="2:19">
      <c r="B555" s="124" t="s">
        <v>1453</v>
      </c>
      <c r="C555" s="154" t="s">
        <v>1454</v>
      </c>
      <c r="D555" s="154" t="str">
        <f t="shared" si="32"/>
        <v>A0905:(株)はちまんたいジオパワー</v>
      </c>
      <c r="I555" s="124" t="s">
        <v>666</v>
      </c>
      <c r="J555" s="124" t="s">
        <v>667</v>
      </c>
      <c r="K555" s="182" t="s">
        <v>398</v>
      </c>
      <c r="L555" s="182">
        <v>3.4099999999999999E-4</v>
      </c>
      <c r="M555" s="182">
        <v>4.1899999999999999E-4</v>
      </c>
      <c r="N555" s="182">
        <v>4.1899999999999999E-4</v>
      </c>
      <c r="O555" s="182">
        <v>4.1899999999999999E-4</v>
      </c>
      <c r="P555" s="182">
        <v>4.1899999999999999E-4</v>
      </c>
      <c r="R555" s="154" t="str">
        <f t="shared" si="33"/>
        <v>A0191:(株)トドック電力メニューB</v>
      </c>
      <c r="S555" s="182">
        <f t="shared" si="34"/>
        <v>3.4099999999999999E-4</v>
      </c>
    </row>
    <row r="556" spans="2:19">
      <c r="B556" s="124" t="s">
        <v>1455</v>
      </c>
      <c r="C556" s="154" t="s">
        <v>1456</v>
      </c>
      <c r="D556" s="156" t="str">
        <f t="shared" si="32"/>
        <v>A0906:(株)アイモバイル</v>
      </c>
      <c r="I556" s="124" t="s">
        <v>666</v>
      </c>
      <c r="J556" s="124" t="s">
        <v>667</v>
      </c>
      <c r="K556" s="182" t="s">
        <v>2010</v>
      </c>
      <c r="L556" s="182">
        <v>2.9799999999999998E-4</v>
      </c>
      <c r="M556" s="182">
        <v>0</v>
      </c>
      <c r="N556" s="182">
        <v>0</v>
      </c>
      <c r="O556" s="182">
        <v>0</v>
      </c>
      <c r="P556" s="182">
        <v>0</v>
      </c>
      <c r="R556" s="154" t="str">
        <f t="shared" si="33"/>
        <v>A0191:(株)トドック電力(参考値)事業者全体</v>
      </c>
      <c r="S556" s="182">
        <f t="shared" si="34"/>
        <v>2.9799999999999998E-4</v>
      </c>
    </row>
    <row r="557" spans="2:19">
      <c r="I557" s="124" t="s">
        <v>668</v>
      </c>
      <c r="J557" s="124" t="s">
        <v>669</v>
      </c>
      <c r="K557" s="182" t="s">
        <v>390</v>
      </c>
      <c r="L557" s="182">
        <v>0</v>
      </c>
      <c r="M557" s="182">
        <v>0</v>
      </c>
      <c r="N557" s="182">
        <v>0</v>
      </c>
      <c r="O557" s="182">
        <v>0</v>
      </c>
      <c r="P557" s="182">
        <v>0</v>
      </c>
      <c r="R557" s="154" t="str">
        <f t="shared" si="33"/>
        <v>A0193:九電みらいエナジー(株)メニューA</v>
      </c>
      <c r="S557" s="182">
        <f t="shared" si="34"/>
        <v>0</v>
      </c>
    </row>
    <row r="558" spans="2:19">
      <c r="I558" s="124" t="s">
        <v>668</v>
      </c>
      <c r="J558" s="124" t="s">
        <v>669</v>
      </c>
      <c r="K558" s="182" t="s">
        <v>398</v>
      </c>
      <c r="L558" s="182">
        <v>4.95E-4</v>
      </c>
      <c r="M558" s="182">
        <v>0</v>
      </c>
      <c r="N558" s="182">
        <v>0</v>
      </c>
      <c r="O558" s="182">
        <v>0</v>
      </c>
      <c r="P558" s="182">
        <v>0</v>
      </c>
      <c r="R558" s="154" t="str">
        <f t="shared" si="33"/>
        <v>A0193:九電みらいエナジー(株)メニューB</v>
      </c>
      <c r="S558" s="182">
        <f t="shared" si="34"/>
        <v>4.95E-4</v>
      </c>
    </row>
    <row r="559" spans="2:19">
      <c r="I559" s="124" t="s">
        <v>668</v>
      </c>
      <c r="J559" s="124" t="s">
        <v>669</v>
      </c>
      <c r="K559" s="182" t="s">
        <v>2010</v>
      </c>
      <c r="L559" s="182">
        <v>4.8700000000000002E-4</v>
      </c>
      <c r="M559" s="182">
        <v>0</v>
      </c>
      <c r="N559" s="182">
        <v>0</v>
      </c>
      <c r="O559" s="182">
        <v>0</v>
      </c>
      <c r="P559" s="182">
        <v>0</v>
      </c>
      <c r="R559" s="154" t="str">
        <f t="shared" si="33"/>
        <v>A0193:九電みらいエナジー(株)(参考値)事業者全体</v>
      </c>
      <c r="S559" s="182">
        <f t="shared" si="34"/>
        <v>4.8700000000000002E-4</v>
      </c>
    </row>
    <row r="560" spans="2:19">
      <c r="I560" s="124" t="s">
        <v>670</v>
      </c>
      <c r="J560" s="124" t="s">
        <v>671</v>
      </c>
      <c r="K560" s="182"/>
      <c r="L560" s="182">
        <v>8.4000000000000003E-4</v>
      </c>
      <c r="M560" s="182">
        <v>0</v>
      </c>
      <c r="N560" s="182">
        <v>0</v>
      </c>
      <c r="O560" s="182">
        <v>0</v>
      </c>
      <c r="P560" s="182">
        <v>0</v>
      </c>
      <c r="R560" s="154" t="str">
        <f t="shared" si="33"/>
        <v>A0194:(株)ミツウロコヴェッセル</v>
      </c>
      <c r="S560" s="182">
        <f t="shared" si="34"/>
        <v>8.4000000000000003E-4</v>
      </c>
    </row>
    <row r="561" spans="9:19">
      <c r="I561" s="124" t="s">
        <v>672</v>
      </c>
      <c r="J561" s="124" t="s">
        <v>673</v>
      </c>
      <c r="K561" s="182"/>
      <c r="L561" s="182">
        <v>4.2000000000000002E-4</v>
      </c>
      <c r="M561" s="182">
        <v>0</v>
      </c>
      <c r="N561" s="182">
        <v>0</v>
      </c>
      <c r="O561" s="182">
        <v>0</v>
      </c>
      <c r="P561" s="182">
        <v>0</v>
      </c>
      <c r="R561" s="154" t="str">
        <f t="shared" si="33"/>
        <v>A0195:(株)フォレストパワー</v>
      </c>
      <c r="S561" s="182">
        <f t="shared" si="34"/>
        <v>4.2000000000000002E-4</v>
      </c>
    </row>
    <row r="562" spans="9:19">
      <c r="I562" s="124" t="s">
        <v>676</v>
      </c>
      <c r="J562" s="124" t="s">
        <v>677</v>
      </c>
      <c r="K562" s="182" t="s">
        <v>390</v>
      </c>
      <c r="L562" s="182">
        <v>0</v>
      </c>
      <c r="M562" s="182">
        <v>3.8700000000000003E-4</v>
      </c>
      <c r="N562" s="182">
        <v>3.8700000000000003E-4</v>
      </c>
      <c r="O562" s="182">
        <v>3.8700000000000003E-4</v>
      </c>
      <c r="P562" s="182">
        <v>3.8700000000000003E-4</v>
      </c>
      <c r="R562" s="154" t="str">
        <f t="shared" si="33"/>
        <v>A0197:(株)アドバンテックメニューA</v>
      </c>
      <c r="S562" s="182">
        <f t="shared" si="34"/>
        <v>0</v>
      </c>
    </row>
    <row r="563" spans="9:19">
      <c r="I563" s="124" t="s">
        <v>676</v>
      </c>
      <c r="J563" s="124" t="s">
        <v>677</v>
      </c>
      <c r="K563" s="182" t="s">
        <v>2010</v>
      </c>
      <c r="L563" s="182">
        <v>7.85E-4</v>
      </c>
      <c r="M563" s="182">
        <v>5.1999999999999995E-4</v>
      </c>
      <c r="N563" s="182">
        <v>5.1999999999999995E-4</v>
      </c>
      <c r="O563" s="182">
        <v>5.1999999999999995E-4</v>
      </c>
      <c r="P563" s="182">
        <v>5.1999999999999995E-4</v>
      </c>
      <c r="R563" s="154" t="str">
        <f t="shared" si="33"/>
        <v>A0197:(株)アドバンテック(参考値)事業者全体</v>
      </c>
      <c r="S563" s="182">
        <f t="shared" si="34"/>
        <v>7.85E-4</v>
      </c>
    </row>
    <row r="564" spans="9:19">
      <c r="I564" s="124" t="s">
        <v>678</v>
      </c>
      <c r="J564" s="124" t="s">
        <v>679</v>
      </c>
      <c r="K564" s="182" t="s">
        <v>390</v>
      </c>
      <c r="L564" s="182">
        <v>0</v>
      </c>
      <c r="M564" s="182">
        <v>0</v>
      </c>
      <c r="N564" s="182">
        <v>0</v>
      </c>
      <c r="O564" s="182">
        <v>0</v>
      </c>
      <c r="P564" s="182">
        <v>0</v>
      </c>
      <c r="R564" s="154" t="str">
        <f t="shared" si="33"/>
        <v>A0199:ローカルエナジー(株)メニューA</v>
      </c>
      <c r="S564" s="182">
        <f t="shared" si="34"/>
        <v>0</v>
      </c>
    </row>
    <row r="565" spans="9:19">
      <c r="I565" s="124" t="s">
        <v>678</v>
      </c>
      <c r="J565" s="124" t="s">
        <v>679</v>
      </c>
      <c r="K565" s="182" t="s">
        <v>398</v>
      </c>
      <c r="L565" s="182">
        <v>5.3899999999999998E-4</v>
      </c>
      <c r="M565" s="182">
        <v>0</v>
      </c>
      <c r="N565" s="182">
        <v>0</v>
      </c>
      <c r="O565" s="182">
        <v>0</v>
      </c>
      <c r="P565" s="182">
        <v>0</v>
      </c>
      <c r="R565" s="154" t="str">
        <f t="shared" si="33"/>
        <v>A0199:ローカルエナジー(株)メニューB</v>
      </c>
      <c r="S565" s="182">
        <f t="shared" si="34"/>
        <v>5.3899999999999998E-4</v>
      </c>
    </row>
    <row r="566" spans="9:19">
      <c r="I566" s="124" t="s">
        <v>678</v>
      </c>
      <c r="J566" s="124" t="s">
        <v>679</v>
      </c>
      <c r="K566" s="182" t="s">
        <v>2010</v>
      </c>
      <c r="L566" s="182">
        <v>3.7399999999999998E-4</v>
      </c>
      <c r="M566" s="182">
        <v>4.64E-4</v>
      </c>
      <c r="N566" s="182">
        <v>4.64E-4</v>
      </c>
      <c r="O566" s="182">
        <v>4.64E-4</v>
      </c>
      <c r="P566" s="182">
        <v>4.64E-4</v>
      </c>
      <c r="R566" s="154" t="str">
        <f t="shared" si="33"/>
        <v>A0199:ローカルエナジー(株)(参考値)事業者全体</v>
      </c>
      <c r="S566" s="182">
        <f t="shared" si="34"/>
        <v>3.7399999999999998E-4</v>
      </c>
    </row>
    <row r="567" spans="9:19">
      <c r="I567" s="124" t="s">
        <v>680</v>
      </c>
      <c r="J567" s="124" t="s">
        <v>1688</v>
      </c>
      <c r="K567" s="182" t="s">
        <v>390</v>
      </c>
      <c r="L567" s="182">
        <v>0</v>
      </c>
      <c r="M567" s="182">
        <v>0</v>
      </c>
      <c r="N567" s="182">
        <v>0</v>
      </c>
      <c r="O567" s="182">
        <v>0</v>
      </c>
      <c r="P567" s="182">
        <v>0</v>
      </c>
      <c r="R567" s="154" t="str">
        <f t="shared" si="33"/>
        <v>A0200:エネックス(株)メニューA</v>
      </c>
      <c r="S567" s="182">
        <f t="shared" si="34"/>
        <v>0</v>
      </c>
    </row>
    <row r="568" spans="9:19">
      <c r="I568" s="124" t="s">
        <v>680</v>
      </c>
      <c r="J568" s="124" t="s">
        <v>1688</v>
      </c>
      <c r="K568" s="182" t="s">
        <v>398</v>
      </c>
      <c r="L568" s="182">
        <v>4.3800000000000002E-4</v>
      </c>
      <c r="M568" s="182">
        <v>4.17E-4</v>
      </c>
      <c r="N568" s="182">
        <v>4.17E-4</v>
      </c>
      <c r="O568" s="182">
        <v>4.17E-4</v>
      </c>
      <c r="P568" s="182">
        <v>4.17E-4</v>
      </c>
      <c r="R568" s="154" t="str">
        <f t="shared" si="33"/>
        <v>A0200:エネックス(株)メニューB</v>
      </c>
      <c r="S568" s="182">
        <f t="shared" si="34"/>
        <v>4.3800000000000002E-4</v>
      </c>
    </row>
    <row r="569" spans="9:19">
      <c r="I569" s="124" t="s">
        <v>680</v>
      </c>
      <c r="J569" s="124" t="s">
        <v>1688</v>
      </c>
      <c r="K569" s="182" t="s">
        <v>399</v>
      </c>
      <c r="L569" s="182">
        <v>4.0999999999999999E-4</v>
      </c>
      <c r="M569" s="182">
        <v>0</v>
      </c>
      <c r="N569" s="182">
        <v>0</v>
      </c>
      <c r="O569" s="182">
        <v>0</v>
      </c>
      <c r="P569" s="182">
        <v>0</v>
      </c>
      <c r="R569" s="154" t="str">
        <f t="shared" si="33"/>
        <v>A0200:エネックス(株)メニューC</v>
      </c>
      <c r="S569" s="182">
        <f t="shared" si="34"/>
        <v>4.0999999999999999E-4</v>
      </c>
    </row>
    <row r="570" spans="9:19">
      <c r="I570" s="124" t="s">
        <v>680</v>
      </c>
      <c r="J570" s="124" t="s">
        <v>1688</v>
      </c>
      <c r="K570" s="182" t="s">
        <v>2010</v>
      </c>
      <c r="L570" s="182">
        <v>3.7100000000000002E-4</v>
      </c>
      <c r="M570" s="182">
        <v>6.4400000000000004E-4</v>
      </c>
      <c r="N570" s="182">
        <v>6.4400000000000004E-4</v>
      </c>
      <c r="O570" s="182">
        <v>6.4400000000000004E-4</v>
      </c>
      <c r="P570" s="182">
        <v>6.4400000000000004E-4</v>
      </c>
      <c r="R570" s="154" t="str">
        <f t="shared" si="33"/>
        <v>A0200:エネックス(株)(参考値)事業者全体</v>
      </c>
      <c r="S570" s="182">
        <f t="shared" si="34"/>
        <v>3.7100000000000002E-4</v>
      </c>
    </row>
    <row r="571" spans="9:19">
      <c r="I571" s="124" t="s">
        <v>681</v>
      </c>
      <c r="J571" s="124" t="s">
        <v>682</v>
      </c>
      <c r="K571" s="182"/>
      <c r="L571" s="182">
        <v>5.0199999999999995E-4</v>
      </c>
      <c r="M571" s="182">
        <v>4.3399999999999998E-4</v>
      </c>
      <c r="N571" s="182">
        <v>4.3399999999999998E-4</v>
      </c>
      <c r="O571" s="182">
        <v>4.3399999999999998E-4</v>
      </c>
      <c r="P571" s="182">
        <v>4.3399999999999998E-4</v>
      </c>
      <c r="R571" s="154" t="str">
        <f t="shared" si="33"/>
        <v>A0203:(株)レクスポート</v>
      </c>
      <c r="S571" s="182">
        <f t="shared" si="34"/>
        <v>5.0199999999999995E-4</v>
      </c>
    </row>
    <row r="572" spans="9:19">
      <c r="I572" s="124" t="s">
        <v>683</v>
      </c>
      <c r="J572" s="124" t="s">
        <v>1689</v>
      </c>
      <c r="K572" s="182" t="s">
        <v>390</v>
      </c>
      <c r="L572" s="182">
        <v>0</v>
      </c>
      <c r="M572" s="182">
        <v>3.9800000000000002E-4</v>
      </c>
      <c r="N572" s="182">
        <v>3.9800000000000002E-4</v>
      </c>
      <c r="O572" s="182">
        <v>3.9800000000000002E-4</v>
      </c>
      <c r="P572" s="182">
        <v>3.9800000000000002E-4</v>
      </c>
      <c r="R572" s="154" t="str">
        <f t="shared" si="33"/>
        <v>A0204:なでしこ電力(株)メニューA</v>
      </c>
      <c r="S572" s="182">
        <f t="shared" si="34"/>
        <v>0</v>
      </c>
    </row>
    <row r="573" spans="9:19">
      <c r="I573" s="124" t="s">
        <v>683</v>
      </c>
      <c r="J573" s="124" t="s">
        <v>1689</v>
      </c>
      <c r="K573" s="182" t="s">
        <v>2010</v>
      </c>
      <c r="L573" s="182">
        <v>4.2400000000000001E-4</v>
      </c>
      <c r="M573" s="182">
        <v>4.8200000000000001E-4</v>
      </c>
      <c r="N573" s="182">
        <v>4.8200000000000001E-4</v>
      </c>
      <c r="O573" s="182">
        <v>4.8200000000000001E-4</v>
      </c>
      <c r="P573" s="182">
        <v>4.8200000000000001E-4</v>
      </c>
      <c r="R573" s="154" t="str">
        <f t="shared" si="33"/>
        <v>A0204:なでしこ電力(株)(参考値)事業者全体</v>
      </c>
      <c r="S573" s="182">
        <f t="shared" si="34"/>
        <v>4.2400000000000001E-4</v>
      </c>
    </row>
    <row r="574" spans="9:19">
      <c r="I574" s="124" t="s">
        <v>684</v>
      </c>
      <c r="J574" s="124" t="s">
        <v>685</v>
      </c>
      <c r="K574" s="182" t="s">
        <v>390</v>
      </c>
      <c r="L574" s="182">
        <v>0</v>
      </c>
      <c r="M574" s="182">
        <v>4.5800000000000002E-4</v>
      </c>
      <c r="N574" s="182">
        <v>4.5800000000000002E-4</v>
      </c>
      <c r="O574" s="182">
        <v>4.5800000000000002E-4</v>
      </c>
      <c r="P574" s="182">
        <v>4.5800000000000002E-4</v>
      </c>
      <c r="R574" s="154" t="str">
        <f t="shared" si="33"/>
        <v>A0206:日田グリーン電力(株)メニューA</v>
      </c>
      <c r="S574" s="182">
        <f t="shared" si="34"/>
        <v>0</v>
      </c>
    </row>
    <row r="575" spans="9:19">
      <c r="I575" s="124" t="s">
        <v>684</v>
      </c>
      <c r="J575" s="124" t="s">
        <v>685</v>
      </c>
      <c r="K575" s="182" t="s">
        <v>398</v>
      </c>
      <c r="L575" s="182">
        <v>4.2700000000000002E-4</v>
      </c>
      <c r="M575" s="182">
        <v>3.4099999999999999E-4</v>
      </c>
      <c r="N575" s="182">
        <v>3.4099999999999999E-4</v>
      </c>
      <c r="O575" s="182">
        <v>3.4099999999999999E-4</v>
      </c>
      <c r="P575" s="182">
        <v>3.4099999999999999E-4</v>
      </c>
      <c r="R575" s="154" t="str">
        <f t="shared" si="33"/>
        <v>A0206:日田グリーン電力(株)メニューB</v>
      </c>
      <c r="S575" s="182">
        <f t="shared" si="34"/>
        <v>4.2700000000000002E-4</v>
      </c>
    </row>
    <row r="576" spans="9:19">
      <c r="I576" s="124" t="s">
        <v>684</v>
      </c>
      <c r="J576" s="124" t="s">
        <v>685</v>
      </c>
      <c r="K576" s="182" t="s">
        <v>2010</v>
      </c>
      <c r="L576" s="182">
        <v>3.48E-4</v>
      </c>
      <c r="M576" s="182">
        <v>3.4400000000000001E-4</v>
      </c>
      <c r="N576" s="182">
        <v>3.4400000000000001E-4</v>
      </c>
      <c r="O576" s="182">
        <v>3.4400000000000001E-4</v>
      </c>
      <c r="P576" s="182">
        <v>3.4400000000000001E-4</v>
      </c>
      <c r="R576" s="154" t="str">
        <f t="shared" si="33"/>
        <v>A0206:日田グリーン電力(株)(参考値)事業者全体</v>
      </c>
      <c r="S576" s="182">
        <f t="shared" si="34"/>
        <v>3.48E-4</v>
      </c>
    </row>
    <row r="577" spans="9:19">
      <c r="I577" s="124" t="s">
        <v>688</v>
      </c>
      <c r="J577" s="124" t="s">
        <v>689</v>
      </c>
      <c r="K577" s="182"/>
      <c r="L577" s="182">
        <v>4.2400000000000001E-4</v>
      </c>
      <c r="M577" s="182">
        <v>4.2700000000000002E-4</v>
      </c>
      <c r="N577" s="182">
        <v>4.2700000000000002E-4</v>
      </c>
      <c r="O577" s="182">
        <v>4.2700000000000002E-4</v>
      </c>
      <c r="P577" s="182">
        <v>4.2700000000000002E-4</v>
      </c>
      <c r="R577" s="154" t="str">
        <f t="shared" si="33"/>
        <v>A0210:宮崎パワーライン(株)</v>
      </c>
      <c r="S577" s="182">
        <f t="shared" si="34"/>
        <v>4.2400000000000001E-4</v>
      </c>
    </row>
    <row r="578" spans="9:19">
      <c r="I578" s="124" t="s">
        <v>690</v>
      </c>
      <c r="J578" s="124" t="s">
        <v>691</v>
      </c>
      <c r="K578" s="182"/>
      <c r="L578" s="182">
        <v>4.37E-4</v>
      </c>
      <c r="M578" s="182">
        <v>0</v>
      </c>
      <c r="N578" s="182">
        <v>0</v>
      </c>
      <c r="O578" s="182">
        <v>0</v>
      </c>
      <c r="P578" s="182">
        <v>0</v>
      </c>
      <c r="R578" s="154" t="str">
        <f t="shared" si="33"/>
        <v>A0211:(株)パワー・オプティマイザー</v>
      </c>
      <c r="S578" s="182">
        <f t="shared" si="34"/>
        <v>4.37E-4</v>
      </c>
    </row>
    <row r="579" spans="9:19">
      <c r="I579" s="124" t="s">
        <v>692</v>
      </c>
      <c r="J579" s="124" t="s">
        <v>693</v>
      </c>
      <c r="K579" s="182" t="s">
        <v>390</v>
      </c>
      <c r="L579" s="182">
        <v>0</v>
      </c>
      <c r="M579" s="182">
        <v>4.1599999999999997E-4</v>
      </c>
      <c r="N579" s="182">
        <v>4.1599999999999997E-4</v>
      </c>
      <c r="O579" s="182">
        <v>4.1599999999999997E-4</v>
      </c>
      <c r="P579" s="182">
        <v>4.1599999999999997E-4</v>
      </c>
      <c r="R579" s="154" t="str">
        <f t="shared" si="33"/>
        <v>A0213:(株)U-POWERメニューA</v>
      </c>
      <c r="S579" s="182">
        <f t="shared" si="34"/>
        <v>0</v>
      </c>
    </row>
    <row r="580" spans="9:19">
      <c r="I580" s="124" t="s">
        <v>692</v>
      </c>
      <c r="J580" s="124" t="s">
        <v>693</v>
      </c>
      <c r="K580" s="182" t="s">
        <v>398</v>
      </c>
      <c r="L580" s="182">
        <v>4.9600000000000002E-4</v>
      </c>
      <c r="M580" s="182">
        <v>0</v>
      </c>
      <c r="N580" s="182">
        <v>0</v>
      </c>
      <c r="O580" s="182">
        <v>0</v>
      </c>
      <c r="P580" s="182">
        <v>0</v>
      </c>
      <c r="R580" s="154" t="str">
        <f t="shared" si="33"/>
        <v>A0213:(株)U-POWERメニューB</v>
      </c>
      <c r="S580" s="182">
        <f t="shared" si="34"/>
        <v>4.9600000000000002E-4</v>
      </c>
    </row>
    <row r="581" spans="9:19">
      <c r="I581" s="124" t="s">
        <v>692</v>
      </c>
      <c r="J581" s="124" t="s">
        <v>693</v>
      </c>
      <c r="K581" s="182" t="s">
        <v>399</v>
      </c>
      <c r="L581" s="182">
        <v>5.4100000000000003E-4</v>
      </c>
      <c r="M581" s="182">
        <v>5.8500000000000002E-4</v>
      </c>
      <c r="N581" s="182">
        <v>5.8500000000000002E-4</v>
      </c>
      <c r="O581" s="182">
        <v>5.8500000000000002E-4</v>
      </c>
      <c r="P581" s="182">
        <v>5.8500000000000002E-4</v>
      </c>
      <c r="R581" s="154" t="str">
        <f t="shared" si="33"/>
        <v>A0213:(株)U-POWERメニューC</v>
      </c>
      <c r="S581" s="182">
        <f t="shared" si="34"/>
        <v>5.4100000000000003E-4</v>
      </c>
    </row>
    <row r="582" spans="9:19">
      <c r="I582" s="124" t="s">
        <v>692</v>
      </c>
      <c r="J582" s="124" t="s">
        <v>693</v>
      </c>
      <c r="K582" s="182" t="s">
        <v>400</v>
      </c>
      <c r="L582" s="182">
        <v>0</v>
      </c>
      <c r="M582" s="182">
        <v>6.6299999999999996E-4</v>
      </c>
      <c r="N582" s="182">
        <v>6.6299999999999996E-4</v>
      </c>
      <c r="O582" s="182">
        <v>6.6299999999999996E-4</v>
      </c>
      <c r="P582" s="182">
        <v>6.6299999999999996E-4</v>
      </c>
      <c r="R582" s="154" t="str">
        <f t="shared" si="33"/>
        <v>A0213:(株)U-POWERメニューD</v>
      </c>
      <c r="S582" s="182">
        <f t="shared" si="34"/>
        <v>0</v>
      </c>
    </row>
    <row r="583" spans="9:19">
      <c r="I583" s="124" t="s">
        <v>692</v>
      </c>
      <c r="J583" s="124" t="s">
        <v>693</v>
      </c>
      <c r="K583" s="182" t="s">
        <v>401</v>
      </c>
      <c r="L583" s="182">
        <v>7.0100000000000002E-4</v>
      </c>
      <c r="M583" s="182">
        <v>4.1599999999999997E-4</v>
      </c>
      <c r="N583" s="182">
        <v>4.1599999999999997E-4</v>
      </c>
      <c r="O583" s="182">
        <v>4.1599999999999997E-4</v>
      </c>
      <c r="P583" s="182">
        <v>4.1599999999999997E-4</v>
      </c>
      <c r="R583" s="154" t="str">
        <f t="shared" si="33"/>
        <v>A0213:(株)U-POWERメニューE</v>
      </c>
      <c r="S583" s="182">
        <f t="shared" si="34"/>
        <v>7.0100000000000002E-4</v>
      </c>
    </row>
    <row r="584" spans="9:19">
      <c r="I584" s="124" t="s">
        <v>692</v>
      </c>
      <c r="J584" s="124" t="s">
        <v>693</v>
      </c>
      <c r="K584" s="182" t="s">
        <v>2010</v>
      </c>
      <c r="L584" s="182">
        <v>4.9200000000000003E-4</v>
      </c>
      <c r="M584" s="182">
        <v>0</v>
      </c>
      <c r="N584" s="182">
        <v>0</v>
      </c>
      <c r="O584" s="182">
        <v>0</v>
      </c>
      <c r="P584" s="182">
        <v>0</v>
      </c>
      <c r="R584" s="154" t="str">
        <f t="shared" si="33"/>
        <v>A0213:(株)U-POWER(参考値)事業者全体</v>
      </c>
      <c r="S584" s="182">
        <f t="shared" si="34"/>
        <v>4.9200000000000003E-4</v>
      </c>
    </row>
    <row r="585" spans="9:19">
      <c r="I585" s="124" t="s">
        <v>694</v>
      </c>
      <c r="J585" s="124" t="s">
        <v>695</v>
      </c>
      <c r="K585" s="182"/>
      <c r="L585" s="182">
        <v>4.7100000000000001E-4</v>
      </c>
      <c r="M585" s="182">
        <v>0</v>
      </c>
      <c r="N585" s="182">
        <v>0</v>
      </c>
      <c r="O585" s="182">
        <v>0</v>
      </c>
      <c r="P585" s="182">
        <v>0</v>
      </c>
      <c r="R585" s="154" t="str">
        <f t="shared" si="33"/>
        <v>A0214:(株)TTSパワー</v>
      </c>
      <c r="S585" s="182">
        <f t="shared" si="34"/>
        <v>4.7100000000000001E-4</v>
      </c>
    </row>
    <row r="586" spans="9:19">
      <c r="I586" s="124" t="s">
        <v>696</v>
      </c>
      <c r="J586" s="124" t="s">
        <v>697</v>
      </c>
      <c r="K586" s="182" t="s">
        <v>390</v>
      </c>
      <c r="L586" s="182">
        <v>0</v>
      </c>
      <c r="M586" s="182">
        <v>4.5300000000000001E-4</v>
      </c>
      <c r="N586" s="182">
        <v>4.5300000000000001E-4</v>
      </c>
      <c r="O586" s="182">
        <v>4.5300000000000001E-4</v>
      </c>
      <c r="P586" s="182">
        <v>4.5300000000000001E-4</v>
      </c>
      <c r="R586" s="154" t="str">
        <f t="shared" ref="R586:R649" si="35">I586&amp;":"&amp;J586&amp;K586</f>
        <v>A0216:(株)岩手ウッドパワーメニューA</v>
      </c>
      <c r="S586" s="182">
        <f t="shared" ref="S586:S649" si="36">HLOOKUP($S$8,$L$8:$P$1500,ROW()-7,FALSE)</f>
        <v>0</v>
      </c>
    </row>
    <row r="587" spans="9:19">
      <c r="I587" s="124" t="s">
        <v>696</v>
      </c>
      <c r="J587" s="124" t="s">
        <v>697</v>
      </c>
      <c r="K587" s="182" t="s">
        <v>2010</v>
      </c>
      <c r="L587" s="182">
        <v>4.5399999999999998E-4</v>
      </c>
      <c r="M587" s="182">
        <v>4.4799999999999999E-4</v>
      </c>
      <c r="N587" s="182">
        <v>4.4799999999999999E-4</v>
      </c>
      <c r="O587" s="182">
        <v>4.4799999999999999E-4</v>
      </c>
      <c r="P587" s="182">
        <v>4.4799999999999999E-4</v>
      </c>
      <c r="R587" s="154" t="str">
        <f t="shared" si="35"/>
        <v>A0216:(株)岩手ウッドパワー(参考値)事業者全体</v>
      </c>
      <c r="S587" s="182">
        <f t="shared" si="36"/>
        <v>4.5399999999999998E-4</v>
      </c>
    </row>
    <row r="588" spans="9:19">
      <c r="I588" s="124" t="s">
        <v>698</v>
      </c>
      <c r="J588" s="124" t="s">
        <v>699</v>
      </c>
      <c r="K588" s="182" t="s">
        <v>390</v>
      </c>
      <c r="L588" s="182">
        <v>0</v>
      </c>
      <c r="M588" s="182">
        <v>4.4799999999999999E-4</v>
      </c>
      <c r="N588" s="182">
        <v>4.4799999999999999E-4</v>
      </c>
      <c r="O588" s="182">
        <v>4.4799999999999999E-4</v>
      </c>
      <c r="P588" s="182">
        <v>4.4799999999999999E-4</v>
      </c>
      <c r="R588" s="154" t="str">
        <f t="shared" si="35"/>
        <v>A0217:里山パワーワークス(株)メニューA</v>
      </c>
      <c r="S588" s="182">
        <f t="shared" si="36"/>
        <v>0</v>
      </c>
    </row>
    <row r="589" spans="9:19">
      <c r="I589" s="124" t="s">
        <v>698</v>
      </c>
      <c r="J589" s="124" t="s">
        <v>699</v>
      </c>
      <c r="K589" s="182" t="s">
        <v>2010</v>
      </c>
      <c r="L589" s="182">
        <v>5.9099999999999995E-4</v>
      </c>
      <c r="M589" s="182">
        <v>3.3300000000000002E-4</v>
      </c>
      <c r="N589" s="182">
        <v>3.3300000000000002E-4</v>
      </c>
      <c r="O589" s="182">
        <v>3.3300000000000002E-4</v>
      </c>
      <c r="P589" s="182">
        <v>3.3300000000000002E-4</v>
      </c>
      <c r="R589" s="154" t="str">
        <f t="shared" si="35"/>
        <v>A0217:里山パワーワークス(株)(参考値)事業者全体</v>
      </c>
      <c r="S589" s="182">
        <f t="shared" si="36"/>
        <v>5.9099999999999995E-4</v>
      </c>
    </row>
    <row r="590" spans="9:19">
      <c r="I590" s="124" t="s">
        <v>700</v>
      </c>
      <c r="J590" s="124" t="s">
        <v>701</v>
      </c>
      <c r="K590" s="182" t="s">
        <v>390</v>
      </c>
      <c r="L590" s="182">
        <v>0</v>
      </c>
      <c r="M590" s="182">
        <v>2.9999999999999997E-4</v>
      </c>
      <c r="N590" s="182">
        <v>2.9999999999999997E-4</v>
      </c>
      <c r="O590" s="182">
        <v>2.9999999999999997E-4</v>
      </c>
      <c r="P590" s="182">
        <v>2.9999999999999997E-4</v>
      </c>
      <c r="R590" s="154" t="str">
        <f t="shared" si="35"/>
        <v>A0218:(株)中之条パワーメニューA</v>
      </c>
      <c r="S590" s="182">
        <f t="shared" si="36"/>
        <v>0</v>
      </c>
    </row>
    <row r="591" spans="9:19">
      <c r="I591" s="124" t="s">
        <v>700</v>
      </c>
      <c r="J591" s="124" t="s">
        <v>701</v>
      </c>
      <c r="K591" s="182" t="s">
        <v>398</v>
      </c>
      <c r="L591" s="182">
        <v>3.5300000000000002E-4</v>
      </c>
      <c r="M591" s="182">
        <v>0</v>
      </c>
      <c r="N591" s="182">
        <v>0</v>
      </c>
      <c r="O591" s="182">
        <v>0</v>
      </c>
      <c r="P591" s="182">
        <v>0</v>
      </c>
      <c r="R591" s="154" t="str">
        <f t="shared" si="35"/>
        <v>A0218:(株)中之条パワーメニューB</v>
      </c>
      <c r="S591" s="182">
        <f t="shared" si="36"/>
        <v>3.5300000000000002E-4</v>
      </c>
    </row>
    <row r="592" spans="9:19">
      <c r="I592" s="124" t="s">
        <v>700</v>
      </c>
      <c r="J592" s="124" t="s">
        <v>701</v>
      </c>
      <c r="K592" s="182" t="s">
        <v>2010</v>
      </c>
      <c r="L592" s="182">
        <v>3.4000000000000002E-4</v>
      </c>
      <c r="M592" s="182">
        <v>0</v>
      </c>
      <c r="N592" s="182">
        <v>0</v>
      </c>
      <c r="O592" s="182">
        <v>0</v>
      </c>
      <c r="P592" s="182">
        <v>0</v>
      </c>
      <c r="R592" s="154" t="str">
        <f t="shared" si="35"/>
        <v>A0218:(株)中之条パワー(参考値)事業者全体</v>
      </c>
      <c r="S592" s="182">
        <f t="shared" si="36"/>
        <v>3.4000000000000002E-4</v>
      </c>
    </row>
    <row r="593" spans="9:19">
      <c r="I593" s="124" t="s">
        <v>702</v>
      </c>
      <c r="J593" s="124" t="s">
        <v>1690</v>
      </c>
      <c r="K593" s="182" t="s">
        <v>390</v>
      </c>
      <c r="L593" s="182">
        <v>0</v>
      </c>
      <c r="M593" s="182">
        <v>0</v>
      </c>
      <c r="N593" s="182">
        <v>0</v>
      </c>
      <c r="O593" s="182">
        <v>0</v>
      </c>
      <c r="P593" s="182">
        <v>0</v>
      </c>
      <c r="R593" s="154" t="str">
        <f t="shared" si="35"/>
        <v>A0220:日産トレーディング(株)メニューA</v>
      </c>
      <c r="S593" s="182">
        <f t="shared" si="36"/>
        <v>0</v>
      </c>
    </row>
    <row r="594" spans="9:19">
      <c r="I594" s="124" t="s">
        <v>702</v>
      </c>
      <c r="J594" s="124" t="s">
        <v>1690</v>
      </c>
      <c r="K594" s="182" t="s">
        <v>398</v>
      </c>
      <c r="L594" s="182">
        <v>1.0950000000000001E-3</v>
      </c>
      <c r="M594" s="182">
        <v>0</v>
      </c>
      <c r="N594" s="182">
        <v>0</v>
      </c>
      <c r="O594" s="182">
        <v>0</v>
      </c>
      <c r="P594" s="182">
        <v>0</v>
      </c>
      <c r="R594" s="154" t="str">
        <f t="shared" si="35"/>
        <v>A0220:日産トレーディング(株)メニューB</v>
      </c>
      <c r="S594" s="182">
        <f t="shared" si="36"/>
        <v>1.0950000000000001E-3</v>
      </c>
    </row>
    <row r="595" spans="9:19">
      <c r="I595" s="124" t="s">
        <v>702</v>
      </c>
      <c r="J595" s="124" t="s">
        <v>1690</v>
      </c>
      <c r="K595" s="182" t="s">
        <v>2010</v>
      </c>
      <c r="L595" s="182">
        <v>0</v>
      </c>
      <c r="M595" s="182">
        <v>5.2999999999999998E-4</v>
      </c>
      <c r="N595" s="182">
        <v>5.2999999999999998E-4</v>
      </c>
      <c r="O595" s="182">
        <v>5.2999999999999998E-4</v>
      </c>
      <c r="P595" s="182">
        <v>5.2999999999999998E-4</v>
      </c>
      <c r="R595" s="154" t="str">
        <f t="shared" si="35"/>
        <v>A0220:日産トレーディング(株)(参考値)事業者全体</v>
      </c>
      <c r="S595" s="182">
        <f t="shared" si="36"/>
        <v>0</v>
      </c>
    </row>
    <row r="596" spans="9:19">
      <c r="I596" s="124" t="s">
        <v>703</v>
      </c>
      <c r="J596" s="124" t="s">
        <v>704</v>
      </c>
      <c r="K596" s="182" t="s">
        <v>390</v>
      </c>
      <c r="L596" s="182">
        <v>0</v>
      </c>
      <c r="M596" s="182">
        <v>6.2299999999999996E-4</v>
      </c>
      <c r="N596" s="182">
        <v>6.2299999999999996E-4</v>
      </c>
      <c r="O596" s="182">
        <v>6.2299999999999996E-4</v>
      </c>
      <c r="P596" s="182">
        <v>6.2299999999999996E-4</v>
      </c>
      <c r="R596" s="154" t="str">
        <f t="shared" si="35"/>
        <v>A0221:(株)エネウィルメニューA</v>
      </c>
      <c r="S596" s="182">
        <f t="shared" si="36"/>
        <v>0</v>
      </c>
    </row>
    <row r="597" spans="9:19">
      <c r="I597" s="124" t="s">
        <v>703</v>
      </c>
      <c r="J597" s="124" t="s">
        <v>704</v>
      </c>
      <c r="K597" s="182" t="s">
        <v>398</v>
      </c>
      <c r="L597" s="182">
        <v>9.8499999999999998E-4</v>
      </c>
      <c r="M597" s="182">
        <v>5.8799999999999998E-4</v>
      </c>
      <c r="N597" s="182">
        <v>5.8799999999999998E-4</v>
      </c>
      <c r="O597" s="182">
        <v>5.8799999999999998E-4</v>
      </c>
      <c r="P597" s="182">
        <v>5.8799999999999998E-4</v>
      </c>
      <c r="R597" s="154" t="str">
        <f t="shared" si="35"/>
        <v>A0221:(株)エネウィルメニューB</v>
      </c>
      <c r="S597" s="182">
        <f t="shared" si="36"/>
        <v>9.8499999999999998E-4</v>
      </c>
    </row>
    <row r="598" spans="9:19">
      <c r="I598" s="124" t="s">
        <v>703</v>
      </c>
      <c r="J598" s="124" t="s">
        <v>704</v>
      </c>
      <c r="K598" s="182" t="s">
        <v>2010</v>
      </c>
      <c r="L598" s="182">
        <v>9.7199999999999999E-4</v>
      </c>
      <c r="M598" s="182">
        <v>4.2900000000000002E-4</v>
      </c>
      <c r="N598" s="182">
        <v>4.2900000000000002E-4</v>
      </c>
      <c r="O598" s="182">
        <v>4.2900000000000002E-4</v>
      </c>
      <c r="P598" s="182">
        <v>4.2900000000000002E-4</v>
      </c>
      <c r="R598" s="154" t="str">
        <f t="shared" si="35"/>
        <v>A0221:(株)エネウィル(参考値)事業者全体</v>
      </c>
      <c r="S598" s="182">
        <f t="shared" si="36"/>
        <v>9.7199999999999999E-4</v>
      </c>
    </row>
    <row r="599" spans="9:19">
      <c r="I599" s="124" t="s">
        <v>705</v>
      </c>
      <c r="J599" s="124" t="s">
        <v>706</v>
      </c>
      <c r="K599" s="182"/>
      <c r="L599" s="182">
        <v>6.1600000000000001E-4</v>
      </c>
      <c r="M599" s="182">
        <v>0</v>
      </c>
      <c r="N599" s="182">
        <v>0</v>
      </c>
      <c r="O599" s="182">
        <v>0</v>
      </c>
      <c r="P599" s="182">
        <v>0</v>
      </c>
      <c r="R599" s="154" t="str">
        <f t="shared" si="35"/>
        <v>A0222:Next Power(株)</v>
      </c>
      <c r="S599" s="182">
        <f t="shared" si="36"/>
        <v>6.1600000000000001E-4</v>
      </c>
    </row>
    <row r="600" spans="9:19">
      <c r="I600" s="124" t="s">
        <v>707</v>
      </c>
      <c r="J600" s="124" t="s">
        <v>708</v>
      </c>
      <c r="K600" s="182" t="s">
        <v>390</v>
      </c>
      <c r="L600" s="182">
        <v>0</v>
      </c>
      <c r="M600" s="182">
        <v>0</v>
      </c>
      <c r="N600" s="182">
        <v>0</v>
      </c>
      <c r="O600" s="182">
        <v>0</v>
      </c>
      <c r="P600" s="182">
        <v>0</v>
      </c>
      <c r="R600" s="154" t="str">
        <f t="shared" si="35"/>
        <v>A0227:はりま電力(株)メニューA</v>
      </c>
      <c r="S600" s="182">
        <f t="shared" si="36"/>
        <v>0</v>
      </c>
    </row>
    <row r="601" spans="9:19">
      <c r="I601" s="124" t="s">
        <v>707</v>
      </c>
      <c r="J601" s="124" t="s">
        <v>708</v>
      </c>
      <c r="K601" s="182" t="s">
        <v>2010</v>
      </c>
      <c r="L601" s="182">
        <v>5.3200000000000003E-4</v>
      </c>
      <c r="M601" s="182">
        <v>0</v>
      </c>
      <c r="N601" s="182">
        <v>0</v>
      </c>
      <c r="O601" s="182">
        <v>0</v>
      </c>
      <c r="P601" s="182">
        <v>0</v>
      </c>
      <c r="R601" s="154" t="str">
        <f t="shared" si="35"/>
        <v>A0227:はりま電力(株)(参考値)事業者全体</v>
      </c>
      <c r="S601" s="182">
        <f t="shared" si="36"/>
        <v>5.3200000000000003E-4</v>
      </c>
    </row>
    <row r="602" spans="9:19">
      <c r="I602" s="124" t="s">
        <v>709</v>
      </c>
      <c r="J602" s="124" t="s">
        <v>710</v>
      </c>
      <c r="K602" s="182" t="s">
        <v>390</v>
      </c>
      <c r="L602" s="182">
        <v>0</v>
      </c>
      <c r="M602" s="182">
        <v>5.8399999999999999E-4</v>
      </c>
      <c r="N602" s="182">
        <v>5.8399999999999999E-4</v>
      </c>
      <c r="O602" s="182">
        <v>5.8399999999999999E-4</v>
      </c>
      <c r="P602" s="182">
        <v>5.8399999999999999E-4</v>
      </c>
      <c r="R602" s="154" t="str">
        <f t="shared" si="35"/>
        <v>A0228:(株)浜松新電力メニューA</v>
      </c>
      <c r="S602" s="182">
        <f t="shared" si="36"/>
        <v>0</v>
      </c>
    </row>
    <row r="603" spans="9:19">
      <c r="I603" s="124" t="s">
        <v>709</v>
      </c>
      <c r="J603" s="124" t="s">
        <v>710</v>
      </c>
      <c r="K603" s="182" t="s">
        <v>398</v>
      </c>
      <c r="L603" s="182">
        <v>6.8400000000000004E-4</v>
      </c>
      <c r="M603" s="182">
        <v>0</v>
      </c>
      <c r="N603" s="182">
        <v>0</v>
      </c>
      <c r="O603" s="182">
        <v>0</v>
      </c>
      <c r="P603" s="182">
        <v>0</v>
      </c>
      <c r="R603" s="154" t="str">
        <f t="shared" si="35"/>
        <v>A0228:(株)浜松新電力メニューB</v>
      </c>
      <c r="S603" s="182">
        <f t="shared" si="36"/>
        <v>6.8400000000000004E-4</v>
      </c>
    </row>
    <row r="604" spans="9:19">
      <c r="I604" s="124" t="s">
        <v>709</v>
      </c>
      <c r="J604" s="124" t="s">
        <v>710</v>
      </c>
      <c r="K604" s="182" t="s">
        <v>2010</v>
      </c>
      <c r="L604" s="182">
        <v>4.7899999999999999E-4</v>
      </c>
      <c r="M604" s="182">
        <v>0</v>
      </c>
      <c r="N604" s="182">
        <v>0</v>
      </c>
      <c r="O604" s="182">
        <v>0</v>
      </c>
      <c r="P604" s="182">
        <v>0</v>
      </c>
      <c r="R604" s="154" t="str">
        <f t="shared" si="35"/>
        <v>A0228:(株)浜松新電力(参考値)事業者全体</v>
      </c>
      <c r="S604" s="182">
        <f t="shared" si="36"/>
        <v>4.7899999999999999E-4</v>
      </c>
    </row>
    <row r="605" spans="9:19">
      <c r="I605" s="124" t="s">
        <v>711</v>
      </c>
      <c r="J605" s="124" t="s">
        <v>1691</v>
      </c>
      <c r="K605" s="182" t="s">
        <v>390</v>
      </c>
      <c r="L605" s="182">
        <v>0</v>
      </c>
      <c r="M605" s="182">
        <v>3.1799999999999998E-4</v>
      </c>
      <c r="N605" s="182">
        <v>3.1799999999999998E-4</v>
      </c>
      <c r="O605" s="182">
        <v>3.1799999999999998E-4</v>
      </c>
      <c r="P605" s="182">
        <v>3.1799999999999998E-4</v>
      </c>
      <c r="R605" s="154" t="str">
        <f t="shared" si="35"/>
        <v>A0229:ゼロワットパワー(株)メニューA</v>
      </c>
      <c r="S605" s="182">
        <f t="shared" si="36"/>
        <v>0</v>
      </c>
    </row>
    <row r="606" spans="9:19">
      <c r="I606" s="124" t="s">
        <v>711</v>
      </c>
      <c r="J606" s="124" t="s">
        <v>1691</v>
      </c>
      <c r="K606" s="182" t="s">
        <v>398</v>
      </c>
      <c r="L606" s="182">
        <v>0</v>
      </c>
      <c r="M606" s="182">
        <v>3.6200000000000002E-4</v>
      </c>
      <c r="N606" s="182">
        <v>3.6200000000000002E-4</v>
      </c>
      <c r="O606" s="182">
        <v>3.6200000000000002E-4</v>
      </c>
      <c r="P606" s="182">
        <v>3.6200000000000002E-4</v>
      </c>
      <c r="R606" s="154" t="str">
        <f t="shared" si="35"/>
        <v>A0229:ゼロワットパワー(株)メニューB</v>
      </c>
      <c r="S606" s="182">
        <f t="shared" si="36"/>
        <v>0</v>
      </c>
    </row>
    <row r="607" spans="9:19">
      <c r="I607" s="124" t="s">
        <v>711</v>
      </c>
      <c r="J607" s="124" t="s">
        <v>1691</v>
      </c>
      <c r="K607" s="182" t="s">
        <v>399</v>
      </c>
      <c r="L607" s="182">
        <v>0</v>
      </c>
      <c r="M607" s="182">
        <v>4.4099999999999999E-4</v>
      </c>
      <c r="N607" s="182">
        <v>4.4099999999999999E-4</v>
      </c>
      <c r="O607" s="182">
        <v>4.4099999999999999E-4</v>
      </c>
      <c r="P607" s="182">
        <v>4.4099999999999999E-4</v>
      </c>
      <c r="R607" s="154" t="str">
        <f t="shared" si="35"/>
        <v>A0229:ゼロワットパワー(株)メニューC</v>
      </c>
      <c r="S607" s="182">
        <f t="shared" si="36"/>
        <v>0</v>
      </c>
    </row>
    <row r="608" spans="9:19">
      <c r="I608" s="124" t="s">
        <v>711</v>
      </c>
      <c r="J608" s="124" t="s">
        <v>1691</v>
      </c>
      <c r="K608" s="182" t="s">
        <v>400</v>
      </c>
      <c r="L608" s="182">
        <v>0</v>
      </c>
      <c r="M608" s="182">
        <v>3.4099999999999999E-4</v>
      </c>
      <c r="N608" s="182">
        <v>3.4099999999999999E-4</v>
      </c>
      <c r="O608" s="182">
        <v>3.4099999999999999E-4</v>
      </c>
      <c r="P608" s="182">
        <v>3.4099999999999999E-4</v>
      </c>
      <c r="R608" s="154" t="str">
        <f t="shared" si="35"/>
        <v>A0229:ゼロワットパワー(株)メニューD</v>
      </c>
      <c r="S608" s="182">
        <f t="shared" si="36"/>
        <v>0</v>
      </c>
    </row>
    <row r="609" spans="9:19">
      <c r="I609" s="124" t="s">
        <v>711</v>
      </c>
      <c r="J609" s="124" t="s">
        <v>1691</v>
      </c>
      <c r="K609" s="182" t="s">
        <v>401</v>
      </c>
      <c r="L609" s="182">
        <v>0</v>
      </c>
      <c r="M609" s="182">
        <v>5.9500000000000004E-4</v>
      </c>
      <c r="N609" s="182">
        <v>5.9500000000000004E-4</v>
      </c>
      <c r="O609" s="182">
        <v>5.9500000000000004E-4</v>
      </c>
      <c r="P609" s="182">
        <v>5.9500000000000004E-4</v>
      </c>
      <c r="R609" s="154" t="str">
        <f t="shared" si="35"/>
        <v>A0229:ゼロワットパワー(株)メニューE</v>
      </c>
      <c r="S609" s="182">
        <f t="shared" si="36"/>
        <v>0</v>
      </c>
    </row>
    <row r="610" spans="9:19">
      <c r="I610" s="124" t="s">
        <v>711</v>
      </c>
      <c r="J610" s="124" t="s">
        <v>1691</v>
      </c>
      <c r="K610" s="182" t="s">
        <v>414</v>
      </c>
      <c r="L610" s="182">
        <v>0</v>
      </c>
      <c r="M610" s="182">
        <v>6.2E-4</v>
      </c>
      <c r="N610" s="182">
        <v>6.2E-4</v>
      </c>
      <c r="O610" s="182">
        <v>6.2E-4</v>
      </c>
      <c r="P610" s="182">
        <v>6.2E-4</v>
      </c>
      <c r="R610" s="154" t="str">
        <f t="shared" si="35"/>
        <v>A0229:ゼロワットパワー(株)メニューF</v>
      </c>
      <c r="S610" s="182">
        <f t="shared" si="36"/>
        <v>0</v>
      </c>
    </row>
    <row r="611" spans="9:19">
      <c r="I611" s="124" t="s">
        <v>711</v>
      </c>
      <c r="J611" s="124" t="s">
        <v>1691</v>
      </c>
      <c r="K611" s="182" t="s">
        <v>415</v>
      </c>
      <c r="L611" s="182">
        <v>0</v>
      </c>
      <c r="M611" s="182">
        <v>4.2700000000000002E-4</v>
      </c>
      <c r="N611" s="182">
        <v>4.2700000000000002E-4</v>
      </c>
      <c r="O611" s="182">
        <v>4.2700000000000002E-4</v>
      </c>
      <c r="P611" s="182">
        <v>4.2700000000000002E-4</v>
      </c>
      <c r="R611" s="154" t="str">
        <f t="shared" si="35"/>
        <v>A0229:ゼロワットパワー(株)メニューG</v>
      </c>
      <c r="S611" s="182">
        <f t="shared" si="36"/>
        <v>0</v>
      </c>
    </row>
    <row r="612" spans="9:19">
      <c r="I612" s="124" t="s">
        <v>711</v>
      </c>
      <c r="J612" s="124" t="s">
        <v>1691</v>
      </c>
      <c r="K612" s="182" t="s">
        <v>416</v>
      </c>
      <c r="L612" s="182">
        <v>0</v>
      </c>
      <c r="M612" s="182">
        <v>0</v>
      </c>
      <c r="N612" s="182">
        <v>0</v>
      </c>
      <c r="O612" s="182">
        <v>0</v>
      </c>
      <c r="P612" s="182">
        <v>0</v>
      </c>
      <c r="R612" s="154" t="str">
        <f t="shared" si="35"/>
        <v>A0229:ゼロワットパワー(株)メニューH</v>
      </c>
      <c r="S612" s="182">
        <f t="shared" si="36"/>
        <v>0</v>
      </c>
    </row>
    <row r="613" spans="9:19">
      <c r="I613" s="124" t="s">
        <v>711</v>
      </c>
      <c r="J613" s="124" t="s">
        <v>1691</v>
      </c>
      <c r="K613" s="182" t="s">
        <v>417</v>
      </c>
      <c r="L613" s="182">
        <v>3.4900000000000003E-4</v>
      </c>
      <c r="M613" s="182">
        <v>3.1500000000000001E-4</v>
      </c>
      <c r="N613" s="182">
        <v>3.1500000000000001E-4</v>
      </c>
      <c r="O613" s="182">
        <v>3.1500000000000001E-4</v>
      </c>
      <c r="P613" s="182">
        <v>3.1500000000000001E-4</v>
      </c>
      <c r="R613" s="154" t="str">
        <f t="shared" si="35"/>
        <v>A0229:ゼロワットパワー(株)メニューI</v>
      </c>
      <c r="S613" s="182">
        <f t="shared" si="36"/>
        <v>3.4900000000000003E-4</v>
      </c>
    </row>
    <row r="614" spans="9:19">
      <c r="I614" s="124" t="s">
        <v>711</v>
      </c>
      <c r="J614" s="124" t="s">
        <v>1691</v>
      </c>
      <c r="K614" s="182" t="s">
        <v>2010</v>
      </c>
      <c r="L614" s="182">
        <v>1.7100000000000001E-4</v>
      </c>
      <c r="M614" s="182">
        <v>0</v>
      </c>
      <c r="N614" s="182">
        <v>0</v>
      </c>
      <c r="O614" s="182">
        <v>0</v>
      </c>
      <c r="P614" s="182">
        <v>0</v>
      </c>
      <c r="R614" s="154" t="str">
        <f t="shared" si="35"/>
        <v>A0229:ゼロワットパワー(株)(参考値)事業者全体</v>
      </c>
      <c r="S614" s="182">
        <f t="shared" si="36"/>
        <v>1.7100000000000001E-4</v>
      </c>
    </row>
    <row r="615" spans="9:19">
      <c r="I615" s="124" t="s">
        <v>712</v>
      </c>
      <c r="J615" s="124" t="s">
        <v>1692</v>
      </c>
      <c r="K615" s="182" t="s">
        <v>390</v>
      </c>
      <c r="L615" s="182">
        <v>0</v>
      </c>
      <c r="M615" s="182">
        <v>1.84E-4</v>
      </c>
      <c r="N615" s="182">
        <v>1.84E-4</v>
      </c>
      <c r="O615" s="182">
        <v>1.84E-4</v>
      </c>
      <c r="P615" s="182">
        <v>1.84E-4</v>
      </c>
      <c r="R615" s="154" t="str">
        <f t="shared" si="35"/>
        <v>A0230:アストマックス(株)メニューA</v>
      </c>
      <c r="S615" s="182">
        <f t="shared" si="36"/>
        <v>0</v>
      </c>
    </row>
    <row r="616" spans="9:19">
      <c r="I616" s="124" t="s">
        <v>712</v>
      </c>
      <c r="J616" s="124" t="s">
        <v>1692</v>
      </c>
      <c r="K616" s="182" t="s">
        <v>398</v>
      </c>
      <c r="L616" s="182">
        <v>0</v>
      </c>
      <c r="M616" s="182">
        <v>3.1199999999999999E-4</v>
      </c>
      <c r="N616" s="182">
        <v>3.1199999999999999E-4</v>
      </c>
      <c r="O616" s="182">
        <v>3.1199999999999999E-4</v>
      </c>
      <c r="P616" s="182">
        <v>3.1199999999999999E-4</v>
      </c>
      <c r="R616" s="154" t="str">
        <f t="shared" si="35"/>
        <v>A0230:アストマックス(株)メニューB</v>
      </c>
      <c r="S616" s="182">
        <f t="shared" si="36"/>
        <v>0</v>
      </c>
    </row>
    <row r="617" spans="9:19">
      <c r="I617" s="124" t="s">
        <v>712</v>
      </c>
      <c r="J617" s="124" t="s">
        <v>1692</v>
      </c>
      <c r="K617" s="182" t="s">
        <v>399</v>
      </c>
      <c r="L617" s="182">
        <v>4.1399999999999998E-4</v>
      </c>
      <c r="M617" s="182">
        <v>5.6099999999999998E-4</v>
      </c>
      <c r="N617" s="182">
        <v>5.6099999999999998E-4</v>
      </c>
      <c r="O617" s="182">
        <v>5.6099999999999998E-4</v>
      </c>
      <c r="P617" s="182">
        <v>5.6099999999999998E-4</v>
      </c>
      <c r="R617" s="154" t="str">
        <f t="shared" si="35"/>
        <v>A0230:アストマックス(株)メニューC</v>
      </c>
      <c r="S617" s="182">
        <f t="shared" si="36"/>
        <v>4.1399999999999998E-4</v>
      </c>
    </row>
    <row r="618" spans="9:19">
      <c r="I618" s="124" t="s">
        <v>712</v>
      </c>
      <c r="J618" s="124" t="s">
        <v>1692</v>
      </c>
      <c r="K618" s="182" t="s">
        <v>400</v>
      </c>
      <c r="L618" s="182">
        <v>6.1399999999999996E-4</v>
      </c>
      <c r="M618" s="182">
        <v>0</v>
      </c>
      <c r="N618" s="182">
        <v>0</v>
      </c>
      <c r="O618" s="182">
        <v>0</v>
      </c>
      <c r="P618" s="182">
        <v>0</v>
      </c>
      <c r="R618" s="154" t="str">
        <f t="shared" si="35"/>
        <v>A0230:アストマックス(株)メニューD</v>
      </c>
      <c r="S618" s="182">
        <f t="shared" si="36"/>
        <v>6.1399999999999996E-4</v>
      </c>
    </row>
    <row r="619" spans="9:19">
      <c r="I619" s="124" t="s">
        <v>712</v>
      </c>
      <c r="J619" s="124" t="s">
        <v>1692</v>
      </c>
      <c r="K619" s="182" t="s">
        <v>2010</v>
      </c>
      <c r="L619" s="182">
        <v>6.1300000000000005E-4</v>
      </c>
      <c r="M619" s="182">
        <v>0</v>
      </c>
      <c r="N619" s="182">
        <v>0</v>
      </c>
      <c r="O619" s="182">
        <v>0</v>
      </c>
      <c r="P619" s="182">
        <v>0</v>
      </c>
      <c r="R619" s="154" t="str">
        <f t="shared" si="35"/>
        <v>A0230:アストマックス(株)(参考値)事業者全体</v>
      </c>
      <c r="S619" s="182">
        <f t="shared" si="36"/>
        <v>6.1300000000000005E-4</v>
      </c>
    </row>
    <row r="620" spans="9:19">
      <c r="I620" s="124" t="s">
        <v>713</v>
      </c>
      <c r="J620" s="124" t="s">
        <v>714</v>
      </c>
      <c r="K620" s="182" t="s">
        <v>390</v>
      </c>
      <c r="L620" s="182">
        <v>0</v>
      </c>
      <c r="M620" s="182">
        <v>3.6900000000000002E-4</v>
      </c>
      <c r="N620" s="182">
        <v>3.6900000000000002E-4</v>
      </c>
      <c r="O620" s="182">
        <v>3.6900000000000002E-4</v>
      </c>
      <c r="P620" s="182">
        <v>3.6900000000000002E-4</v>
      </c>
      <c r="R620" s="154" t="str">
        <f t="shared" si="35"/>
        <v>A0231:(株)やまがた新電力メニューA</v>
      </c>
      <c r="S620" s="182">
        <f t="shared" si="36"/>
        <v>0</v>
      </c>
    </row>
    <row r="621" spans="9:19">
      <c r="I621" s="124" t="s">
        <v>713</v>
      </c>
      <c r="J621" s="124" t="s">
        <v>714</v>
      </c>
      <c r="K621" s="182" t="s">
        <v>398</v>
      </c>
      <c r="L621" s="182">
        <v>5.0000000000000004E-6</v>
      </c>
      <c r="M621" s="182">
        <v>0</v>
      </c>
      <c r="N621" s="182">
        <v>0</v>
      </c>
      <c r="O621" s="182">
        <v>0</v>
      </c>
      <c r="P621" s="182">
        <v>0</v>
      </c>
      <c r="R621" s="154" t="str">
        <f t="shared" si="35"/>
        <v>A0231:(株)やまがた新電力メニューB</v>
      </c>
      <c r="S621" s="182">
        <f t="shared" si="36"/>
        <v>5.0000000000000004E-6</v>
      </c>
    </row>
    <row r="622" spans="9:19">
      <c r="I622" s="124" t="s">
        <v>713</v>
      </c>
      <c r="J622" s="124" t="s">
        <v>714</v>
      </c>
      <c r="K622" s="182" t="s">
        <v>399</v>
      </c>
      <c r="L622" s="182">
        <v>1.1700000000000001E-4</v>
      </c>
      <c r="M622" s="182">
        <v>4.5199999999999998E-4</v>
      </c>
      <c r="N622" s="182">
        <v>4.5199999999999998E-4</v>
      </c>
      <c r="O622" s="182">
        <v>4.5199999999999998E-4</v>
      </c>
      <c r="P622" s="182">
        <v>4.5199999999999998E-4</v>
      </c>
      <c r="R622" s="154" t="str">
        <f t="shared" si="35"/>
        <v>A0231:(株)やまがた新電力メニューC</v>
      </c>
      <c r="S622" s="182">
        <f t="shared" si="36"/>
        <v>1.1700000000000001E-4</v>
      </c>
    </row>
    <row r="623" spans="9:19">
      <c r="I623" s="124" t="s">
        <v>713</v>
      </c>
      <c r="J623" s="124" t="s">
        <v>714</v>
      </c>
      <c r="K623" s="182" t="s">
        <v>400</v>
      </c>
      <c r="L623" s="182">
        <v>4.2900000000000002E-4</v>
      </c>
      <c r="M623" s="182">
        <v>3.4099999999999999E-4</v>
      </c>
      <c r="N623" s="182">
        <v>3.4099999999999999E-4</v>
      </c>
      <c r="O623" s="182">
        <v>3.4099999999999999E-4</v>
      </c>
      <c r="P623" s="182">
        <v>3.4099999999999999E-4</v>
      </c>
      <c r="R623" s="154" t="str">
        <f t="shared" si="35"/>
        <v>A0231:(株)やまがた新電力メニューD</v>
      </c>
      <c r="S623" s="182">
        <f t="shared" si="36"/>
        <v>4.2900000000000002E-4</v>
      </c>
    </row>
    <row r="624" spans="9:19">
      <c r="I624" s="124" t="s">
        <v>713</v>
      </c>
      <c r="J624" s="124" t="s">
        <v>714</v>
      </c>
      <c r="K624" s="182" t="s">
        <v>2010</v>
      </c>
      <c r="L624" s="182">
        <v>5.8E-4</v>
      </c>
      <c r="M624" s="182">
        <v>6.0999999999999997E-4</v>
      </c>
      <c r="N624" s="182">
        <v>6.0999999999999997E-4</v>
      </c>
      <c r="O624" s="182">
        <v>6.0999999999999997E-4</v>
      </c>
      <c r="P624" s="182">
        <v>6.0999999999999997E-4</v>
      </c>
      <c r="R624" s="154" t="str">
        <f t="shared" si="35"/>
        <v>A0231:(株)やまがた新電力(参考値)事業者全体</v>
      </c>
      <c r="S624" s="182">
        <f t="shared" si="36"/>
        <v>5.8E-4</v>
      </c>
    </row>
    <row r="625" spans="9:19">
      <c r="I625" s="124" t="s">
        <v>715</v>
      </c>
      <c r="J625" s="124" t="s">
        <v>716</v>
      </c>
      <c r="K625" s="182" t="s">
        <v>390</v>
      </c>
      <c r="L625" s="182">
        <v>9.0000000000000002E-6</v>
      </c>
      <c r="M625" s="182">
        <v>5.53E-4</v>
      </c>
      <c r="N625" s="182">
        <v>5.53E-4</v>
      </c>
      <c r="O625" s="182">
        <v>5.53E-4</v>
      </c>
      <c r="P625" s="182">
        <v>5.53E-4</v>
      </c>
      <c r="R625" s="154" t="str">
        <f t="shared" si="35"/>
        <v>A0232:一般社団法人東松島みらいとし機構メニューA</v>
      </c>
      <c r="S625" s="182">
        <f t="shared" si="36"/>
        <v>9.0000000000000002E-6</v>
      </c>
    </row>
    <row r="626" spans="9:19">
      <c r="I626" s="124" t="s">
        <v>715</v>
      </c>
      <c r="J626" s="124" t="s">
        <v>716</v>
      </c>
      <c r="K626" s="182" t="s">
        <v>398</v>
      </c>
      <c r="L626" s="182">
        <v>4.7399999999999997E-4</v>
      </c>
      <c r="M626" s="182">
        <v>2.32E-4</v>
      </c>
      <c r="N626" s="182">
        <v>2.32E-4</v>
      </c>
      <c r="O626" s="182">
        <v>2.32E-4</v>
      </c>
      <c r="P626" s="182">
        <v>2.32E-4</v>
      </c>
      <c r="R626" s="154" t="str">
        <f t="shared" si="35"/>
        <v>A0232:一般社団法人東松島みらいとし機構メニューB</v>
      </c>
      <c r="S626" s="182">
        <f t="shared" si="36"/>
        <v>4.7399999999999997E-4</v>
      </c>
    </row>
    <row r="627" spans="9:19">
      <c r="I627" s="124" t="s">
        <v>715</v>
      </c>
      <c r="J627" s="124" t="s">
        <v>716</v>
      </c>
      <c r="K627" s="182" t="s">
        <v>2010</v>
      </c>
      <c r="L627" s="182">
        <v>4.7199999999999998E-4</v>
      </c>
      <c r="M627" s="182">
        <v>0</v>
      </c>
      <c r="N627" s="182">
        <v>0</v>
      </c>
      <c r="O627" s="182">
        <v>0</v>
      </c>
      <c r="P627" s="182">
        <v>0</v>
      </c>
      <c r="R627" s="154" t="str">
        <f t="shared" si="35"/>
        <v>A0232:一般社団法人東松島みらいとし機構(参考値)事業者全体</v>
      </c>
      <c r="S627" s="182">
        <f t="shared" si="36"/>
        <v>4.7199999999999998E-4</v>
      </c>
    </row>
    <row r="628" spans="9:19">
      <c r="I628" s="124" t="s">
        <v>717</v>
      </c>
      <c r="J628" s="124" t="s">
        <v>718</v>
      </c>
      <c r="K628" s="182" t="s">
        <v>390</v>
      </c>
      <c r="L628" s="182">
        <v>0</v>
      </c>
      <c r="M628" s="182">
        <v>3.3100000000000002E-4</v>
      </c>
      <c r="N628" s="182">
        <v>3.3100000000000002E-4</v>
      </c>
      <c r="O628" s="182">
        <v>3.3100000000000002E-4</v>
      </c>
      <c r="P628" s="182">
        <v>3.3100000000000002E-4</v>
      </c>
      <c r="R628" s="154" t="str">
        <f t="shared" si="35"/>
        <v>A0234:(株)グリーンパワー大東メニューA</v>
      </c>
      <c r="S628" s="182">
        <f t="shared" si="36"/>
        <v>0</v>
      </c>
    </row>
    <row r="629" spans="9:19">
      <c r="I629" s="124" t="s">
        <v>717</v>
      </c>
      <c r="J629" s="124" t="s">
        <v>718</v>
      </c>
      <c r="K629" s="182" t="s">
        <v>398</v>
      </c>
      <c r="L629" s="182">
        <v>1.2E-4</v>
      </c>
      <c r="M629" s="182">
        <v>4.9299999999999995E-4</v>
      </c>
      <c r="N629" s="182">
        <v>4.9299999999999995E-4</v>
      </c>
      <c r="O629" s="182">
        <v>4.9299999999999995E-4</v>
      </c>
      <c r="P629" s="182">
        <v>4.9299999999999995E-4</v>
      </c>
      <c r="R629" s="154" t="str">
        <f t="shared" si="35"/>
        <v>A0234:(株)グリーンパワー大東メニューB</v>
      </c>
      <c r="S629" s="182">
        <f t="shared" si="36"/>
        <v>1.2E-4</v>
      </c>
    </row>
    <row r="630" spans="9:19">
      <c r="I630" s="124" t="s">
        <v>717</v>
      </c>
      <c r="J630" s="124" t="s">
        <v>718</v>
      </c>
      <c r="K630" s="182" t="s">
        <v>399</v>
      </c>
      <c r="L630" s="182">
        <v>2.9799999999999998E-4</v>
      </c>
      <c r="M630" s="182">
        <v>5.3399999999999997E-4</v>
      </c>
      <c r="N630" s="182">
        <v>5.3399999999999997E-4</v>
      </c>
      <c r="O630" s="182">
        <v>5.3399999999999997E-4</v>
      </c>
      <c r="P630" s="182">
        <v>5.3399999999999997E-4</v>
      </c>
      <c r="R630" s="154" t="str">
        <f t="shared" si="35"/>
        <v>A0234:(株)グリーンパワー大東メニューC</v>
      </c>
      <c r="S630" s="182">
        <f t="shared" si="36"/>
        <v>2.9799999999999998E-4</v>
      </c>
    </row>
    <row r="631" spans="9:19">
      <c r="I631" s="124" t="s">
        <v>717</v>
      </c>
      <c r="J631" s="124" t="s">
        <v>718</v>
      </c>
      <c r="K631" s="182" t="s">
        <v>2010</v>
      </c>
      <c r="L631" s="182">
        <v>2.02E-4</v>
      </c>
      <c r="M631" s="182">
        <v>4.37E-4</v>
      </c>
      <c r="N631" s="182">
        <v>4.37E-4</v>
      </c>
      <c r="O631" s="182">
        <v>4.37E-4</v>
      </c>
      <c r="P631" s="182">
        <v>4.37E-4</v>
      </c>
      <c r="R631" s="154" t="str">
        <f t="shared" si="35"/>
        <v>A0234:(株)グリーンパワー大東(参考値)事業者全体</v>
      </c>
      <c r="S631" s="182">
        <f t="shared" si="36"/>
        <v>2.02E-4</v>
      </c>
    </row>
    <row r="632" spans="9:19">
      <c r="I632" s="124" t="s">
        <v>719</v>
      </c>
      <c r="J632" s="124" t="s">
        <v>720</v>
      </c>
      <c r="K632" s="182" t="s">
        <v>390</v>
      </c>
      <c r="L632" s="182">
        <v>0</v>
      </c>
      <c r="M632" s="182">
        <v>3.4400000000000001E-4</v>
      </c>
      <c r="N632" s="182">
        <v>3.4400000000000001E-4</v>
      </c>
      <c r="O632" s="182">
        <v>3.4400000000000001E-4</v>
      </c>
      <c r="P632" s="182">
        <v>3.4400000000000001E-4</v>
      </c>
      <c r="R632" s="154" t="str">
        <f t="shared" si="35"/>
        <v>A0236:(株)シーラソーラー(旧：(株)シーラパワー)メニューA</v>
      </c>
      <c r="S632" s="182">
        <f t="shared" si="36"/>
        <v>0</v>
      </c>
    </row>
    <row r="633" spans="9:19">
      <c r="I633" s="124" t="s">
        <v>719</v>
      </c>
      <c r="J633" s="124" t="s">
        <v>720</v>
      </c>
      <c r="K633" s="182" t="s">
        <v>398</v>
      </c>
      <c r="L633" s="182">
        <v>5.22E-4</v>
      </c>
      <c r="M633" s="182">
        <v>5.13E-4</v>
      </c>
      <c r="N633" s="182">
        <v>5.13E-4</v>
      </c>
      <c r="O633" s="182">
        <v>5.13E-4</v>
      </c>
      <c r="P633" s="182">
        <v>5.13E-4</v>
      </c>
      <c r="R633" s="154" t="str">
        <f t="shared" si="35"/>
        <v>A0236:(株)シーラソーラー(旧：(株)シーラパワー)メニューB</v>
      </c>
      <c r="S633" s="182">
        <f t="shared" si="36"/>
        <v>5.22E-4</v>
      </c>
    </row>
    <row r="634" spans="9:19">
      <c r="I634" s="124" t="s">
        <v>719</v>
      </c>
      <c r="J634" s="124" t="s">
        <v>720</v>
      </c>
      <c r="K634" s="182" t="s">
        <v>2010</v>
      </c>
      <c r="L634" s="182">
        <v>4.1800000000000002E-4</v>
      </c>
      <c r="M634" s="182">
        <v>4.86E-4</v>
      </c>
      <c r="N634" s="182">
        <v>4.86E-4</v>
      </c>
      <c r="O634" s="182">
        <v>4.86E-4</v>
      </c>
      <c r="P634" s="182">
        <v>4.86E-4</v>
      </c>
      <c r="R634" s="154" t="str">
        <f t="shared" si="35"/>
        <v>A0236:(株)シーラソーラー(旧：(株)シーラパワー)(参考値)事業者全体</v>
      </c>
      <c r="S634" s="182">
        <f t="shared" si="36"/>
        <v>4.1800000000000002E-4</v>
      </c>
    </row>
    <row r="635" spans="9:19">
      <c r="I635" s="124" t="s">
        <v>721</v>
      </c>
      <c r="J635" s="124" t="s">
        <v>722</v>
      </c>
      <c r="K635" s="182"/>
      <c r="L635" s="182">
        <v>4.6200000000000001E-4</v>
      </c>
      <c r="M635" s="182">
        <v>0</v>
      </c>
      <c r="N635" s="182">
        <v>0</v>
      </c>
      <c r="O635" s="182">
        <v>0</v>
      </c>
      <c r="P635" s="182">
        <v>0</v>
      </c>
      <c r="R635" s="154" t="str">
        <f t="shared" si="35"/>
        <v>A0237:御所野縄文電力(株)</v>
      </c>
      <c r="S635" s="182">
        <f t="shared" si="36"/>
        <v>4.6200000000000001E-4</v>
      </c>
    </row>
    <row r="636" spans="9:19">
      <c r="I636" s="124" t="s">
        <v>723</v>
      </c>
      <c r="J636" s="124" t="s">
        <v>724</v>
      </c>
      <c r="K636" s="182" t="s">
        <v>390</v>
      </c>
      <c r="L636" s="182">
        <v>0</v>
      </c>
      <c r="M636" s="182">
        <v>0</v>
      </c>
      <c r="N636" s="182">
        <v>0</v>
      </c>
      <c r="O636" s="182">
        <v>0</v>
      </c>
      <c r="P636" s="182">
        <v>0</v>
      </c>
      <c r="R636" s="154" t="str">
        <f t="shared" si="35"/>
        <v>A0238:(株)カーボンニュートラルメニューA</v>
      </c>
      <c r="S636" s="182">
        <f t="shared" si="36"/>
        <v>0</v>
      </c>
    </row>
    <row r="637" spans="9:19">
      <c r="I637" s="124" t="s">
        <v>723</v>
      </c>
      <c r="J637" s="124" t="s">
        <v>724</v>
      </c>
      <c r="K637" s="182" t="s">
        <v>2010</v>
      </c>
      <c r="L637" s="182">
        <v>4.2200000000000001E-4</v>
      </c>
      <c r="M637" s="182">
        <v>0</v>
      </c>
      <c r="N637" s="182">
        <v>0</v>
      </c>
      <c r="O637" s="182">
        <v>0</v>
      </c>
      <c r="P637" s="182">
        <v>0</v>
      </c>
      <c r="R637" s="154" t="str">
        <f t="shared" si="35"/>
        <v>A0238:(株)カーボンニュートラル(参考値)事業者全体</v>
      </c>
      <c r="S637" s="182">
        <f t="shared" si="36"/>
        <v>4.2200000000000001E-4</v>
      </c>
    </row>
    <row r="638" spans="9:19">
      <c r="I638" s="124" t="s">
        <v>725</v>
      </c>
      <c r="J638" s="124" t="s">
        <v>1693</v>
      </c>
      <c r="K638" s="182" t="s">
        <v>390</v>
      </c>
      <c r="L638" s="182">
        <v>0</v>
      </c>
      <c r="M638" s="182">
        <v>4.3899999999999999E-4</v>
      </c>
      <c r="N638" s="182">
        <v>4.3899999999999999E-4</v>
      </c>
      <c r="O638" s="182">
        <v>4.3899999999999999E-4</v>
      </c>
      <c r="P638" s="182">
        <v>4.3899999999999999E-4</v>
      </c>
      <c r="R638" s="154" t="str">
        <f t="shared" si="35"/>
        <v>A0239:宮古新電力(株)メニューA</v>
      </c>
      <c r="S638" s="182">
        <f t="shared" si="36"/>
        <v>0</v>
      </c>
    </row>
    <row r="639" spans="9:19">
      <c r="I639" s="124" t="s">
        <v>725</v>
      </c>
      <c r="J639" s="124" t="s">
        <v>1693</v>
      </c>
      <c r="K639" s="182" t="s">
        <v>2010</v>
      </c>
      <c r="L639" s="182">
        <v>4.4000000000000002E-4</v>
      </c>
      <c r="M639" s="182">
        <v>4.3399999999999998E-4</v>
      </c>
      <c r="N639" s="182">
        <v>4.3399999999999998E-4</v>
      </c>
      <c r="O639" s="182">
        <v>4.3399999999999998E-4</v>
      </c>
      <c r="P639" s="182">
        <v>4.3399999999999998E-4</v>
      </c>
      <c r="R639" s="154" t="str">
        <f t="shared" si="35"/>
        <v>A0239:宮古新電力(株)(参考値)事業者全体</v>
      </c>
      <c r="S639" s="182">
        <f t="shared" si="36"/>
        <v>4.4000000000000002E-4</v>
      </c>
    </row>
    <row r="640" spans="9:19">
      <c r="I640" s="124" t="s">
        <v>726</v>
      </c>
      <c r="J640" s="124" t="s">
        <v>727</v>
      </c>
      <c r="K640" s="182"/>
      <c r="L640" s="182">
        <v>1.9600000000000002E-4</v>
      </c>
      <c r="M640" s="182">
        <v>3.8900000000000002E-4</v>
      </c>
      <c r="N640" s="182">
        <v>3.8900000000000002E-4</v>
      </c>
      <c r="O640" s="182">
        <v>3.8900000000000002E-4</v>
      </c>
      <c r="P640" s="182">
        <v>3.8900000000000002E-4</v>
      </c>
      <c r="R640" s="154" t="str">
        <f t="shared" si="35"/>
        <v>A0240:長崎地域電力(株)</v>
      </c>
      <c r="S640" s="182">
        <f t="shared" si="36"/>
        <v>1.9600000000000002E-4</v>
      </c>
    </row>
    <row r="641" spans="9:19">
      <c r="I641" s="124" t="s">
        <v>728</v>
      </c>
      <c r="J641" s="124" t="s">
        <v>729</v>
      </c>
      <c r="K641" s="182"/>
      <c r="L641" s="182">
        <v>4.2999999999999999E-4</v>
      </c>
      <c r="M641" s="182">
        <v>3.7500000000000001E-4</v>
      </c>
      <c r="N641" s="182">
        <v>3.7500000000000001E-4</v>
      </c>
      <c r="O641" s="182">
        <v>3.7500000000000001E-4</v>
      </c>
      <c r="P641" s="182">
        <v>3.7500000000000001E-4</v>
      </c>
      <c r="R641" s="154" t="str">
        <f t="shared" si="35"/>
        <v>A0241:(株)エネアーク関西</v>
      </c>
      <c r="S641" s="182">
        <f t="shared" si="36"/>
        <v>4.2999999999999999E-4</v>
      </c>
    </row>
    <row r="642" spans="9:19">
      <c r="I642" s="124" t="s">
        <v>730</v>
      </c>
      <c r="J642" s="124" t="s">
        <v>731</v>
      </c>
      <c r="K642" s="182"/>
      <c r="L642" s="182">
        <v>3.8900000000000002E-4</v>
      </c>
      <c r="M642" s="182">
        <v>4.5300000000000001E-4</v>
      </c>
      <c r="N642" s="182">
        <v>4.5300000000000001E-4</v>
      </c>
      <c r="O642" s="182">
        <v>4.5300000000000001E-4</v>
      </c>
      <c r="P642" s="182">
        <v>4.5300000000000001E-4</v>
      </c>
      <c r="R642" s="154" t="str">
        <f t="shared" si="35"/>
        <v>A0243:近畿電力(株)</v>
      </c>
      <c r="S642" s="182">
        <f t="shared" si="36"/>
        <v>3.8900000000000002E-4</v>
      </c>
    </row>
    <row r="643" spans="9:19">
      <c r="I643" s="124" t="s">
        <v>732</v>
      </c>
      <c r="J643" s="124" t="s">
        <v>1694</v>
      </c>
      <c r="K643" s="182" t="s">
        <v>390</v>
      </c>
      <c r="L643" s="182">
        <v>0</v>
      </c>
      <c r="M643" s="182">
        <v>0</v>
      </c>
      <c r="N643" s="182">
        <v>0</v>
      </c>
      <c r="O643" s="182">
        <v>0</v>
      </c>
      <c r="P643" s="182">
        <v>0</v>
      </c>
      <c r="R643" s="154" t="str">
        <f t="shared" si="35"/>
        <v>A0245:新電力おおいた(株)メニューA</v>
      </c>
      <c r="S643" s="182">
        <f t="shared" si="36"/>
        <v>0</v>
      </c>
    </row>
    <row r="644" spans="9:19">
      <c r="I644" s="124" t="s">
        <v>732</v>
      </c>
      <c r="J644" s="124" t="s">
        <v>1694</v>
      </c>
      <c r="K644" s="182" t="s">
        <v>398</v>
      </c>
      <c r="L644" s="182">
        <v>5.1699999999999999E-4</v>
      </c>
      <c r="M644" s="182">
        <v>4.4700000000000002E-4</v>
      </c>
      <c r="N644" s="182">
        <v>4.4700000000000002E-4</v>
      </c>
      <c r="O644" s="182">
        <v>4.4700000000000002E-4</v>
      </c>
      <c r="P644" s="182">
        <v>4.4700000000000002E-4</v>
      </c>
      <c r="R644" s="154" t="str">
        <f t="shared" si="35"/>
        <v>A0245:新電力おおいた(株)メニューB</v>
      </c>
      <c r="S644" s="182">
        <f t="shared" si="36"/>
        <v>5.1699999999999999E-4</v>
      </c>
    </row>
    <row r="645" spans="9:19">
      <c r="I645" s="124" t="s">
        <v>732</v>
      </c>
      <c r="J645" s="124" t="s">
        <v>1694</v>
      </c>
      <c r="K645" s="182" t="s">
        <v>2010</v>
      </c>
      <c r="L645" s="182">
        <v>4.7699999999999999E-4</v>
      </c>
      <c r="M645" s="182">
        <v>3.6900000000000002E-4</v>
      </c>
      <c r="N645" s="182">
        <v>3.6900000000000002E-4</v>
      </c>
      <c r="O645" s="182">
        <v>3.6900000000000002E-4</v>
      </c>
      <c r="P645" s="182">
        <v>3.6900000000000002E-4</v>
      </c>
      <c r="R645" s="154" t="str">
        <f t="shared" si="35"/>
        <v>A0245:新電力おおいた(株)(参考値)事業者全体</v>
      </c>
      <c r="S645" s="182">
        <f t="shared" si="36"/>
        <v>4.7699999999999999E-4</v>
      </c>
    </row>
    <row r="646" spans="9:19">
      <c r="I646" s="124" t="s">
        <v>733</v>
      </c>
      <c r="J646" s="124" t="s">
        <v>734</v>
      </c>
      <c r="K646" s="182"/>
      <c r="L646" s="182">
        <v>5.71E-4</v>
      </c>
      <c r="M646" s="182">
        <v>4.6000000000000001E-4</v>
      </c>
      <c r="N646" s="182">
        <v>4.6000000000000001E-4</v>
      </c>
      <c r="O646" s="182">
        <v>4.6000000000000001E-4</v>
      </c>
      <c r="P646" s="182">
        <v>4.6000000000000001E-4</v>
      </c>
      <c r="R646" s="154" t="str">
        <f t="shared" si="35"/>
        <v>A0246:(株)日本セレモニー</v>
      </c>
      <c r="S646" s="182">
        <f t="shared" si="36"/>
        <v>5.71E-4</v>
      </c>
    </row>
    <row r="647" spans="9:19">
      <c r="I647" s="124" t="s">
        <v>735</v>
      </c>
      <c r="J647" s="124" t="s">
        <v>736</v>
      </c>
      <c r="K647" s="182"/>
      <c r="L647" s="182">
        <v>6.1499999999999999E-4</v>
      </c>
      <c r="M647" s="182">
        <v>3.68E-4</v>
      </c>
      <c r="N647" s="182">
        <v>3.68E-4</v>
      </c>
      <c r="O647" s="182">
        <v>3.68E-4</v>
      </c>
      <c r="P647" s="182">
        <v>3.68E-4</v>
      </c>
      <c r="R647" s="154" t="str">
        <f t="shared" si="35"/>
        <v>A0248:(株)池見石油店</v>
      </c>
      <c r="S647" s="182">
        <f t="shared" si="36"/>
        <v>6.1499999999999999E-4</v>
      </c>
    </row>
    <row r="648" spans="9:19">
      <c r="I648" s="124" t="s">
        <v>737</v>
      </c>
      <c r="J648" s="124" t="s">
        <v>738</v>
      </c>
      <c r="K648" s="182" t="s">
        <v>390</v>
      </c>
      <c r="L648" s="182">
        <v>0</v>
      </c>
      <c r="M648" s="182">
        <v>0</v>
      </c>
      <c r="N648" s="182">
        <v>0</v>
      </c>
      <c r="O648" s="182">
        <v>0</v>
      </c>
      <c r="P648" s="182">
        <v>0</v>
      </c>
      <c r="R648" s="154" t="str">
        <f t="shared" si="35"/>
        <v>A0250:芝浦電力(株)メニューA</v>
      </c>
      <c r="S648" s="182">
        <f t="shared" si="36"/>
        <v>0</v>
      </c>
    </row>
    <row r="649" spans="9:19">
      <c r="I649" s="124" t="s">
        <v>737</v>
      </c>
      <c r="J649" s="124" t="s">
        <v>738</v>
      </c>
      <c r="K649" s="182" t="s">
        <v>398</v>
      </c>
      <c r="L649" s="182">
        <v>5.5599999999999996E-4</v>
      </c>
      <c r="M649" s="182">
        <v>3.3300000000000002E-4</v>
      </c>
      <c r="N649" s="182">
        <v>3.3300000000000002E-4</v>
      </c>
      <c r="O649" s="182">
        <v>3.3300000000000002E-4</v>
      </c>
      <c r="P649" s="182">
        <v>3.3300000000000002E-4</v>
      </c>
      <c r="R649" s="154" t="str">
        <f t="shared" si="35"/>
        <v>A0250:芝浦電力(株)メニューB</v>
      </c>
      <c r="S649" s="182">
        <f t="shared" si="36"/>
        <v>5.5599999999999996E-4</v>
      </c>
    </row>
    <row r="650" spans="9:19">
      <c r="I650" s="124" t="s">
        <v>737</v>
      </c>
      <c r="J650" s="124" t="s">
        <v>738</v>
      </c>
      <c r="K650" s="182" t="s">
        <v>2010</v>
      </c>
      <c r="L650" s="182">
        <v>4.9799999999999996E-4</v>
      </c>
      <c r="M650" s="182">
        <v>5.4699999999999996E-4</v>
      </c>
      <c r="N650" s="182">
        <v>5.4699999999999996E-4</v>
      </c>
      <c r="O650" s="182">
        <v>5.4699999999999996E-4</v>
      </c>
      <c r="P650" s="182">
        <v>5.4699999999999996E-4</v>
      </c>
      <c r="R650" s="154" t="str">
        <f t="shared" ref="R650:R713" si="37">I650&amp;":"&amp;J650&amp;K650</f>
        <v>A0250:芝浦電力(株)(参考値)事業者全体</v>
      </c>
      <c r="S650" s="182">
        <f t="shared" ref="S650:S713" si="38">HLOOKUP($S$8,$L$8:$P$1500,ROW()-7,FALSE)</f>
        <v>4.9799999999999996E-4</v>
      </c>
    </row>
    <row r="651" spans="9:19">
      <c r="I651" s="124" t="s">
        <v>739</v>
      </c>
      <c r="J651" s="124" t="s">
        <v>740</v>
      </c>
      <c r="K651" s="182"/>
      <c r="L651" s="182">
        <v>3.77E-4</v>
      </c>
      <c r="M651" s="182">
        <v>0</v>
      </c>
      <c r="N651" s="182">
        <v>0</v>
      </c>
      <c r="O651" s="182">
        <v>0</v>
      </c>
      <c r="P651" s="182">
        <v>0</v>
      </c>
      <c r="R651" s="154" t="str">
        <f t="shared" si="37"/>
        <v>A0253:(株)地域創生ホールディングス</v>
      </c>
      <c r="S651" s="182">
        <f t="shared" si="38"/>
        <v>3.77E-4</v>
      </c>
    </row>
    <row r="652" spans="9:19">
      <c r="I652" s="124" t="s">
        <v>741</v>
      </c>
      <c r="J652" s="124" t="s">
        <v>742</v>
      </c>
      <c r="K652" s="182"/>
      <c r="L652" s="182">
        <v>3.2699999999999998E-4</v>
      </c>
      <c r="M652" s="182">
        <v>0</v>
      </c>
      <c r="N652" s="182">
        <v>0</v>
      </c>
      <c r="O652" s="182">
        <v>0</v>
      </c>
      <c r="P652" s="182">
        <v>0</v>
      </c>
      <c r="R652" s="154" t="str">
        <f t="shared" si="37"/>
        <v>A0254:スズカ電工(株)</v>
      </c>
      <c r="S652" s="182">
        <f t="shared" si="38"/>
        <v>3.2699999999999998E-4</v>
      </c>
    </row>
    <row r="653" spans="9:19">
      <c r="I653" s="124" t="s">
        <v>743</v>
      </c>
      <c r="J653" s="124" t="s">
        <v>744</v>
      </c>
      <c r="K653" s="182"/>
      <c r="L653" s="182">
        <v>3.86E-4</v>
      </c>
      <c r="M653" s="182">
        <v>1.0399999999999999E-4</v>
      </c>
      <c r="N653" s="182">
        <v>1.0399999999999999E-4</v>
      </c>
      <c r="O653" s="182">
        <v>1.0399999999999999E-4</v>
      </c>
      <c r="P653" s="182">
        <v>1.0399999999999999E-4</v>
      </c>
      <c r="R653" s="154" t="str">
        <f t="shared" si="37"/>
        <v>A0256:(株)エーコープサービス</v>
      </c>
      <c r="S653" s="182">
        <f t="shared" si="38"/>
        <v>3.86E-4</v>
      </c>
    </row>
    <row r="654" spans="9:19">
      <c r="I654" s="124" t="s">
        <v>745</v>
      </c>
      <c r="J654" s="124" t="s">
        <v>746</v>
      </c>
      <c r="K654" s="182" t="s">
        <v>390</v>
      </c>
      <c r="L654" s="182">
        <v>0</v>
      </c>
      <c r="M654" s="182">
        <v>1.4999999999999999E-4</v>
      </c>
      <c r="N654" s="182">
        <v>1.4999999999999999E-4</v>
      </c>
      <c r="O654" s="182">
        <v>1.4999999999999999E-4</v>
      </c>
      <c r="P654" s="182">
        <v>1.4999999999999999E-4</v>
      </c>
      <c r="R654" s="154" t="str">
        <f t="shared" si="37"/>
        <v>A0257:サンリン(株)メニューA</v>
      </c>
      <c r="S654" s="182">
        <f t="shared" si="38"/>
        <v>0</v>
      </c>
    </row>
    <row r="655" spans="9:19">
      <c r="I655" s="124" t="s">
        <v>745</v>
      </c>
      <c r="J655" s="124" t="s">
        <v>746</v>
      </c>
      <c r="K655" s="182" t="s">
        <v>398</v>
      </c>
      <c r="L655" s="182">
        <v>3.2699999999999998E-4</v>
      </c>
      <c r="M655" s="182">
        <v>0</v>
      </c>
      <c r="N655" s="182">
        <v>0</v>
      </c>
      <c r="O655" s="182">
        <v>0</v>
      </c>
      <c r="P655" s="182">
        <v>0</v>
      </c>
      <c r="R655" s="154" t="str">
        <f t="shared" si="37"/>
        <v>A0257:サンリン(株)メニューB</v>
      </c>
      <c r="S655" s="182">
        <f t="shared" si="38"/>
        <v>3.2699999999999998E-4</v>
      </c>
    </row>
    <row r="656" spans="9:19">
      <c r="I656" s="124" t="s">
        <v>745</v>
      </c>
      <c r="J656" s="124" t="s">
        <v>746</v>
      </c>
      <c r="K656" s="182" t="s">
        <v>2010</v>
      </c>
      <c r="L656" s="182">
        <v>3.2000000000000003E-4</v>
      </c>
      <c r="M656" s="182">
        <v>8.1999999999999998E-4</v>
      </c>
      <c r="N656" s="182">
        <v>8.1999999999999998E-4</v>
      </c>
      <c r="O656" s="182">
        <v>8.1999999999999998E-4</v>
      </c>
      <c r="P656" s="182">
        <v>8.1999999999999998E-4</v>
      </c>
      <c r="R656" s="154" t="str">
        <f t="shared" si="37"/>
        <v>A0257:サンリン(株)(参考値)事業者全体</v>
      </c>
      <c r="S656" s="182">
        <f t="shared" si="38"/>
        <v>3.2000000000000003E-4</v>
      </c>
    </row>
    <row r="657" spans="9:19">
      <c r="I657" s="124" t="s">
        <v>747</v>
      </c>
      <c r="J657" s="124" t="s">
        <v>748</v>
      </c>
      <c r="K657" s="182"/>
      <c r="L657" s="182">
        <v>5.1000000000000004E-4</v>
      </c>
      <c r="M657" s="182">
        <v>0</v>
      </c>
      <c r="N657" s="182">
        <v>0</v>
      </c>
      <c r="O657" s="182">
        <v>0</v>
      </c>
      <c r="P657" s="182">
        <v>0</v>
      </c>
      <c r="R657" s="154" t="str">
        <f t="shared" si="37"/>
        <v>A0258:(株)宮崎ガスリビング</v>
      </c>
      <c r="S657" s="182">
        <f t="shared" si="38"/>
        <v>5.1000000000000004E-4</v>
      </c>
    </row>
    <row r="658" spans="9:19">
      <c r="I658" s="124" t="s">
        <v>749</v>
      </c>
      <c r="J658" s="124" t="s">
        <v>750</v>
      </c>
      <c r="K658" s="182"/>
      <c r="L658" s="182">
        <v>4.1599999999999997E-4</v>
      </c>
      <c r="M658" s="182">
        <v>3.9599999999999998E-4</v>
      </c>
      <c r="N658" s="182">
        <v>3.9599999999999998E-4</v>
      </c>
      <c r="O658" s="182">
        <v>3.9599999999999998E-4</v>
      </c>
      <c r="P658" s="182">
        <v>3.9599999999999998E-4</v>
      </c>
      <c r="R658" s="154" t="str">
        <f t="shared" si="37"/>
        <v>A0259:山陰エレキ・アライアンス(株)</v>
      </c>
      <c r="S658" s="182">
        <f t="shared" si="38"/>
        <v>4.1599999999999997E-4</v>
      </c>
    </row>
    <row r="659" spans="9:19">
      <c r="I659" s="124" t="s">
        <v>751</v>
      </c>
      <c r="J659" s="124" t="s">
        <v>752</v>
      </c>
      <c r="K659" s="182"/>
      <c r="L659" s="182">
        <v>4.9899999999999999E-4</v>
      </c>
      <c r="M659" s="182">
        <v>4.6099999999999998E-4</v>
      </c>
      <c r="N659" s="182">
        <v>4.6099999999999998E-4</v>
      </c>
      <c r="O659" s="182">
        <v>4.6099999999999998E-4</v>
      </c>
      <c r="P659" s="182">
        <v>4.6099999999999998E-4</v>
      </c>
      <c r="R659" s="154" t="str">
        <f t="shared" si="37"/>
        <v>A0260:(株)ジョヴィ</v>
      </c>
      <c r="S659" s="182">
        <f t="shared" si="38"/>
        <v>4.9899999999999999E-4</v>
      </c>
    </row>
    <row r="660" spans="9:19">
      <c r="I660" s="124" t="s">
        <v>753</v>
      </c>
      <c r="J660" s="124" t="s">
        <v>1695</v>
      </c>
      <c r="K660" s="182" t="s">
        <v>390</v>
      </c>
      <c r="L660" s="182">
        <v>0</v>
      </c>
      <c r="M660" s="182">
        <v>0</v>
      </c>
      <c r="N660" s="182">
        <v>0</v>
      </c>
      <c r="O660" s="182">
        <v>0</v>
      </c>
      <c r="P660" s="182">
        <v>0</v>
      </c>
      <c r="R660" s="154" t="str">
        <f t="shared" si="37"/>
        <v>A0261:ミライフ東日本(株)メニューA</v>
      </c>
      <c r="S660" s="182">
        <f t="shared" si="38"/>
        <v>0</v>
      </c>
    </row>
    <row r="661" spans="9:19">
      <c r="I661" s="124" t="s">
        <v>753</v>
      </c>
      <c r="J661" s="124" t="s">
        <v>1695</v>
      </c>
      <c r="K661" s="182" t="s">
        <v>2010</v>
      </c>
      <c r="L661" s="182">
        <v>1.0900000000000001E-4</v>
      </c>
      <c r="M661" s="182">
        <v>5.0699999999999996E-4</v>
      </c>
      <c r="N661" s="182">
        <v>5.0699999999999996E-4</v>
      </c>
      <c r="O661" s="182">
        <v>5.0699999999999996E-4</v>
      </c>
      <c r="P661" s="182">
        <v>5.0699999999999996E-4</v>
      </c>
      <c r="R661" s="154" t="str">
        <f t="shared" si="37"/>
        <v>A0261:ミライフ東日本(株)(参考値)事業者全体</v>
      </c>
      <c r="S661" s="182">
        <f t="shared" si="38"/>
        <v>1.0900000000000001E-4</v>
      </c>
    </row>
    <row r="662" spans="9:19">
      <c r="I662" s="124" t="s">
        <v>754</v>
      </c>
      <c r="J662" s="124" t="s">
        <v>755</v>
      </c>
      <c r="K662" s="182"/>
      <c r="L662" s="182">
        <v>4.1599999999999997E-4</v>
      </c>
      <c r="M662" s="182">
        <v>0</v>
      </c>
      <c r="N662" s="182">
        <v>0</v>
      </c>
      <c r="O662" s="182">
        <v>0</v>
      </c>
      <c r="P662" s="182">
        <v>0</v>
      </c>
      <c r="R662" s="154" t="str">
        <f t="shared" si="37"/>
        <v>A0264:山陰酸素工業(株)</v>
      </c>
      <c r="S662" s="182">
        <f t="shared" si="38"/>
        <v>4.1599999999999997E-4</v>
      </c>
    </row>
    <row r="663" spans="9:19">
      <c r="I663" s="124" t="s">
        <v>756</v>
      </c>
      <c r="J663" s="124" t="s">
        <v>1696</v>
      </c>
      <c r="K663" s="182" t="s">
        <v>390</v>
      </c>
      <c r="L663" s="182">
        <v>0</v>
      </c>
      <c r="M663" s="182">
        <v>0</v>
      </c>
      <c r="N663" s="182">
        <v>0</v>
      </c>
      <c r="O663" s="182">
        <v>0</v>
      </c>
      <c r="P663" s="182">
        <v>0</v>
      </c>
      <c r="R663" s="154" t="str">
        <f t="shared" si="37"/>
        <v>A0265:武陽ガス(株)メニューA</v>
      </c>
      <c r="S663" s="182">
        <f t="shared" si="38"/>
        <v>0</v>
      </c>
    </row>
    <row r="664" spans="9:19">
      <c r="I664" s="124" t="s">
        <v>756</v>
      </c>
      <c r="J664" s="124" t="s">
        <v>1696</v>
      </c>
      <c r="K664" s="182" t="s">
        <v>398</v>
      </c>
      <c r="L664" s="182">
        <v>2.05E-4</v>
      </c>
      <c r="M664" s="182">
        <v>0</v>
      </c>
      <c r="N664" s="182">
        <v>0</v>
      </c>
      <c r="O664" s="182">
        <v>0</v>
      </c>
      <c r="P664" s="182">
        <v>0</v>
      </c>
      <c r="R664" s="154" t="str">
        <f t="shared" si="37"/>
        <v>A0265:武陽ガス(株)メニューB</v>
      </c>
      <c r="S664" s="182">
        <f t="shared" si="38"/>
        <v>2.05E-4</v>
      </c>
    </row>
    <row r="665" spans="9:19">
      <c r="I665" s="124" t="s">
        <v>756</v>
      </c>
      <c r="J665" s="124" t="s">
        <v>1696</v>
      </c>
      <c r="K665" s="182" t="s">
        <v>399</v>
      </c>
      <c r="L665" s="182">
        <v>3.4099999999999999E-4</v>
      </c>
      <c r="M665" s="182">
        <v>0</v>
      </c>
      <c r="N665" s="182">
        <v>0</v>
      </c>
      <c r="O665" s="182">
        <v>0</v>
      </c>
      <c r="P665" s="182">
        <v>0</v>
      </c>
      <c r="R665" s="154" t="str">
        <f t="shared" si="37"/>
        <v>A0265:武陽ガス(株)メニューC</v>
      </c>
      <c r="S665" s="182">
        <f t="shared" si="38"/>
        <v>3.4099999999999999E-4</v>
      </c>
    </row>
    <row r="666" spans="9:19">
      <c r="I666" s="124" t="s">
        <v>756</v>
      </c>
      <c r="J666" s="124" t="s">
        <v>1696</v>
      </c>
      <c r="K666" s="182" t="s">
        <v>2010</v>
      </c>
      <c r="L666" s="182">
        <v>3.3700000000000001E-4</v>
      </c>
      <c r="M666" s="182">
        <v>5.0100000000000003E-4</v>
      </c>
      <c r="N666" s="182">
        <v>5.0100000000000003E-4</v>
      </c>
      <c r="O666" s="182">
        <v>5.0100000000000003E-4</v>
      </c>
      <c r="P666" s="182">
        <v>5.0100000000000003E-4</v>
      </c>
      <c r="R666" s="154" t="str">
        <f t="shared" si="37"/>
        <v>A0265:武陽ガス(株)(参考値)事業者全体</v>
      </c>
      <c r="S666" s="182">
        <f t="shared" si="38"/>
        <v>3.3700000000000001E-4</v>
      </c>
    </row>
    <row r="667" spans="9:19">
      <c r="I667" s="124" t="s">
        <v>757</v>
      </c>
      <c r="J667" s="124" t="s">
        <v>1697</v>
      </c>
      <c r="K667" s="182" t="s">
        <v>390</v>
      </c>
      <c r="L667" s="182">
        <v>0</v>
      </c>
      <c r="M667" s="182">
        <v>4.7399999999999997E-4</v>
      </c>
      <c r="N667" s="182">
        <v>4.7399999999999997E-4</v>
      </c>
      <c r="O667" s="182">
        <v>4.7399999999999997E-4</v>
      </c>
      <c r="P667" s="182">
        <v>4.7399999999999997E-4</v>
      </c>
      <c r="R667" s="154" t="str">
        <f t="shared" si="37"/>
        <v>A0267:北海道電力(株)メニューA</v>
      </c>
      <c r="S667" s="182">
        <f t="shared" si="38"/>
        <v>0</v>
      </c>
    </row>
    <row r="668" spans="9:19">
      <c r="I668" s="124" t="s">
        <v>757</v>
      </c>
      <c r="J668" s="124" t="s">
        <v>1697</v>
      </c>
      <c r="K668" s="182" t="s">
        <v>398</v>
      </c>
      <c r="L668" s="182">
        <v>0</v>
      </c>
      <c r="M668" s="182">
        <v>4.7800000000000002E-4</v>
      </c>
      <c r="N668" s="182">
        <v>4.7800000000000002E-4</v>
      </c>
      <c r="O668" s="182">
        <v>4.7800000000000002E-4</v>
      </c>
      <c r="P668" s="182">
        <v>4.7800000000000002E-4</v>
      </c>
      <c r="R668" s="154" t="str">
        <f t="shared" si="37"/>
        <v>A0267:北海道電力(株)メニューB</v>
      </c>
      <c r="S668" s="182">
        <f t="shared" si="38"/>
        <v>0</v>
      </c>
    </row>
    <row r="669" spans="9:19">
      <c r="I669" s="124" t="s">
        <v>757</v>
      </c>
      <c r="J669" s="124" t="s">
        <v>1697</v>
      </c>
      <c r="K669" s="182" t="s">
        <v>399</v>
      </c>
      <c r="L669" s="182">
        <v>0</v>
      </c>
      <c r="M669" s="182">
        <v>0</v>
      </c>
      <c r="N669" s="182">
        <v>0</v>
      </c>
      <c r="O669" s="182">
        <v>0</v>
      </c>
      <c r="P669" s="182">
        <v>0</v>
      </c>
      <c r="R669" s="154" t="str">
        <f t="shared" si="37"/>
        <v>A0267:北海道電力(株)メニューC</v>
      </c>
      <c r="S669" s="182">
        <f t="shared" si="38"/>
        <v>0</v>
      </c>
    </row>
    <row r="670" spans="9:19">
      <c r="I670" s="124" t="s">
        <v>757</v>
      </c>
      <c r="J670" s="124" t="s">
        <v>1697</v>
      </c>
      <c r="K670" s="182" t="s">
        <v>400</v>
      </c>
      <c r="L670" s="182">
        <v>0</v>
      </c>
      <c r="M670" s="182">
        <v>0</v>
      </c>
      <c r="N670" s="182">
        <v>0</v>
      </c>
      <c r="O670" s="182">
        <v>0</v>
      </c>
      <c r="P670" s="182">
        <v>0</v>
      </c>
      <c r="R670" s="154" t="str">
        <f t="shared" si="37"/>
        <v>A0267:北海道電力(株)メニューD</v>
      </c>
      <c r="S670" s="182">
        <f t="shared" si="38"/>
        <v>0</v>
      </c>
    </row>
    <row r="671" spans="9:19">
      <c r="I671" s="124" t="s">
        <v>757</v>
      </c>
      <c r="J671" s="124" t="s">
        <v>1697</v>
      </c>
      <c r="K671" s="182" t="s">
        <v>401</v>
      </c>
      <c r="L671" s="182">
        <v>0</v>
      </c>
      <c r="M671" s="182">
        <v>2.0599999999999999E-4</v>
      </c>
      <c r="N671" s="182">
        <v>2.0599999999999999E-4</v>
      </c>
      <c r="O671" s="182">
        <v>2.0599999999999999E-4</v>
      </c>
      <c r="P671" s="182">
        <v>2.0599999999999999E-4</v>
      </c>
      <c r="R671" s="154" t="str">
        <f t="shared" si="37"/>
        <v>A0267:北海道電力(株)メニューE</v>
      </c>
      <c r="S671" s="182">
        <f t="shared" si="38"/>
        <v>0</v>
      </c>
    </row>
    <row r="672" spans="9:19">
      <c r="I672" s="124" t="s">
        <v>757</v>
      </c>
      <c r="J672" s="124" t="s">
        <v>1697</v>
      </c>
      <c r="K672" s="182" t="s">
        <v>414</v>
      </c>
      <c r="L672" s="182">
        <v>5.3499999999999999E-4</v>
      </c>
      <c r="M672" s="182">
        <v>3.4099999999999999E-4</v>
      </c>
      <c r="N672" s="182">
        <v>3.4099999999999999E-4</v>
      </c>
      <c r="O672" s="182">
        <v>3.4099999999999999E-4</v>
      </c>
      <c r="P672" s="182">
        <v>3.4099999999999999E-4</v>
      </c>
      <c r="R672" s="154" t="str">
        <f t="shared" si="37"/>
        <v>A0267:北海道電力(株)メニューF</v>
      </c>
      <c r="S672" s="182">
        <f t="shared" si="38"/>
        <v>5.3499999999999999E-4</v>
      </c>
    </row>
    <row r="673" spans="9:19">
      <c r="I673" s="124" t="s">
        <v>757</v>
      </c>
      <c r="J673" s="124" t="s">
        <v>1697</v>
      </c>
      <c r="K673" s="182" t="s">
        <v>2010</v>
      </c>
      <c r="L673" s="182">
        <v>5.3200000000000003E-4</v>
      </c>
      <c r="M673" s="182">
        <v>5.9999999999999995E-4</v>
      </c>
      <c r="N673" s="182">
        <v>5.9999999999999995E-4</v>
      </c>
      <c r="O673" s="182">
        <v>5.9999999999999995E-4</v>
      </c>
      <c r="P673" s="182">
        <v>5.9999999999999995E-4</v>
      </c>
      <c r="R673" s="154" t="str">
        <f t="shared" si="37"/>
        <v>A0267:北海道電力(株)(参考値)事業者全体</v>
      </c>
      <c r="S673" s="182">
        <f t="shared" si="38"/>
        <v>5.3200000000000003E-4</v>
      </c>
    </row>
    <row r="674" spans="9:19">
      <c r="I674" s="124" t="s">
        <v>758</v>
      </c>
      <c r="J674" s="124" t="s">
        <v>759</v>
      </c>
      <c r="K674" s="182" t="s">
        <v>390</v>
      </c>
      <c r="L674" s="182">
        <v>0</v>
      </c>
      <c r="M674" s="182">
        <v>0</v>
      </c>
      <c r="N674" s="182">
        <v>0</v>
      </c>
      <c r="O674" s="182">
        <v>0</v>
      </c>
      <c r="P674" s="182">
        <v>0</v>
      </c>
      <c r="R674" s="154" t="str">
        <f t="shared" si="37"/>
        <v>A0268:東北電力(株)メニューA</v>
      </c>
      <c r="S674" s="182">
        <f t="shared" si="38"/>
        <v>0</v>
      </c>
    </row>
    <row r="675" spans="9:19">
      <c r="I675" s="124" t="s">
        <v>758</v>
      </c>
      <c r="J675" s="124" t="s">
        <v>759</v>
      </c>
      <c r="K675" s="182" t="s">
        <v>398</v>
      </c>
      <c r="L675" s="182">
        <v>0</v>
      </c>
      <c r="M675" s="182">
        <v>5.1699999999999999E-4</v>
      </c>
      <c r="N675" s="182">
        <v>5.1699999999999999E-4</v>
      </c>
      <c r="O675" s="182">
        <v>5.1699999999999999E-4</v>
      </c>
      <c r="P675" s="182">
        <v>5.1699999999999999E-4</v>
      </c>
      <c r="R675" s="154" t="str">
        <f t="shared" si="37"/>
        <v>A0268:東北電力(株)メニューB</v>
      </c>
      <c r="S675" s="182">
        <f t="shared" si="38"/>
        <v>0</v>
      </c>
    </row>
    <row r="676" spans="9:19">
      <c r="I676" s="124" t="s">
        <v>758</v>
      </c>
      <c r="J676" s="124" t="s">
        <v>759</v>
      </c>
      <c r="K676" s="182" t="s">
        <v>399</v>
      </c>
      <c r="L676" s="182">
        <v>0</v>
      </c>
      <c r="M676" s="182">
        <v>0</v>
      </c>
      <c r="N676" s="182">
        <v>0</v>
      </c>
      <c r="O676" s="182">
        <v>0</v>
      </c>
      <c r="P676" s="182">
        <v>0</v>
      </c>
      <c r="R676" s="154" t="str">
        <f t="shared" si="37"/>
        <v>A0268:東北電力(株)メニューC</v>
      </c>
      <c r="S676" s="182">
        <f t="shared" si="38"/>
        <v>0</v>
      </c>
    </row>
    <row r="677" spans="9:19">
      <c r="I677" s="124" t="s">
        <v>758</v>
      </c>
      <c r="J677" s="124" t="s">
        <v>759</v>
      </c>
      <c r="K677" s="182" t="s">
        <v>400</v>
      </c>
      <c r="L677" s="182">
        <v>4.0200000000000001E-4</v>
      </c>
      <c r="M677" s="182">
        <v>0</v>
      </c>
      <c r="N677" s="182">
        <v>0</v>
      </c>
      <c r="O677" s="182">
        <v>0</v>
      </c>
      <c r="P677" s="182">
        <v>0</v>
      </c>
      <c r="R677" s="154" t="str">
        <f t="shared" si="37"/>
        <v>A0268:東北電力(株)メニューD</v>
      </c>
      <c r="S677" s="182">
        <f t="shared" si="38"/>
        <v>4.0200000000000001E-4</v>
      </c>
    </row>
    <row r="678" spans="9:19">
      <c r="I678" s="124" t="s">
        <v>758</v>
      </c>
      <c r="J678" s="124" t="s">
        <v>759</v>
      </c>
      <c r="K678" s="182" t="s">
        <v>2010</v>
      </c>
      <c r="L678" s="182">
        <v>3.8499999999999998E-4</v>
      </c>
      <c r="M678" s="182">
        <v>0</v>
      </c>
      <c r="N678" s="182">
        <v>0</v>
      </c>
      <c r="O678" s="182">
        <v>0</v>
      </c>
      <c r="P678" s="182">
        <v>0</v>
      </c>
      <c r="R678" s="154" t="str">
        <f t="shared" si="37"/>
        <v>A0268:東北電力(株)(参考値)事業者全体</v>
      </c>
      <c r="S678" s="182">
        <f t="shared" si="38"/>
        <v>3.8499999999999998E-4</v>
      </c>
    </row>
    <row r="679" spans="9:19">
      <c r="I679" s="124" t="s">
        <v>761</v>
      </c>
      <c r="J679" s="124" t="s">
        <v>762</v>
      </c>
      <c r="K679" s="182" t="s">
        <v>390</v>
      </c>
      <c r="L679" s="182">
        <v>0</v>
      </c>
      <c r="M679" s="182">
        <v>4.0700000000000003E-4</v>
      </c>
      <c r="N679" s="182">
        <v>4.0700000000000003E-4</v>
      </c>
      <c r="O679" s="182">
        <v>4.0700000000000003E-4</v>
      </c>
      <c r="P679" s="182">
        <v>4.0700000000000003E-4</v>
      </c>
      <c r="R679" s="154" t="str">
        <f t="shared" si="37"/>
        <v>A0270:中部電力ミライズ(株)メニューA</v>
      </c>
      <c r="S679" s="182">
        <f t="shared" si="38"/>
        <v>0</v>
      </c>
    </row>
    <row r="680" spans="9:19">
      <c r="I680" s="124" t="s">
        <v>761</v>
      </c>
      <c r="J680" s="124" t="s">
        <v>762</v>
      </c>
      <c r="K680" s="182" t="s">
        <v>398</v>
      </c>
      <c r="L680" s="182">
        <v>4.2099999999999999E-4</v>
      </c>
      <c r="M680" s="182">
        <v>2.2499999999999999E-4</v>
      </c>
      <c r="N680" s="182">
        <v>2.2499999999999999E-4</v>
      </c>
      <c r="O680" s="182">
        <v>2.2499999999999999E-4</v>
      </c>
      <c r="P680" s="182">
        <v>2.2499999999999999E-4</v>
      </c>
      <c r="R680" s="154" t="str">
        <f t="shared" si="37"/>
        <v>A0270:中部電力ミライズ(株)メニューB</v>
      </c>
      <c r="S680" s="182">
        <f t="shared" si="38"/>
        <v>4.2099999999999999E-4</v>
      </c>
    </row>
    <row r="681" spans="9:19">
      <c r="I681" s="124" t="s">
        <v>761</v>
      </c>
      <c r="J681" s="124" t="s">
        <v>762</v>
      </c>
      <c r="K681" s="182" t="s">
        <v>2010</v>
      </c>
      <c r="L681" s="182">
        <v>3.9300000000000001E-4</v>
      </c>
      <c r="M681" s="182">
        <v>3.4299999999999999E-4</v>
      </c>
      <c r="N681" s="182">
        <v>3.4299999999999999E-4</v>
      </c>
      <c r="O681" s="182">
        <v>3.4299999999999999E-4</v>
      </c>
      <c r="P681" s="182">
        <v>3.4299999999999999E-4</v>
      </c>
      <c r="R681" s="154" t="str">
        <f t="shared" si="37"/>
        <v>A0270:中部電力ミライズ(株)(参考値)事業者全体</v>
      </c>
      <c r="S681" s="182">
        <f t="shared" si="38"/>
        <v>3.9300000000000001E-4</v>
      </c>
    </row>
    <row r="682" spans="9:19">
      <c r="I682" s="124" t="s">
        <v>763</v>
      </c>
      <c r="J682" s="124" t="s">
        <v>764</v>
      </c>
      <c r="K682" s="182" t="s">
        <v>390</v>
      </c>
      <c r="L682" s="182">
        <v>0</v>
      </c>
      <c r="M682" s="182">
        <v>5.8200000000000005E-4</v>
      </c>
      <c r="N682" s="182">
        <v>5.8200000000000005E-4</v>
      </c>
      <c r="O682" s="182">
        <v>5.8200000000000005E-4</v>
      </c>
      <c r="P682" s="182">
        <v>5.8200000000000005E-4</v>
      </c>
      <c r="R682" s="154" t="str">
        <f t="shared" si="37"/>
        <v>A0271:北陸電力(株)メニューA</v>
      </c>
      <c r="S682" s="182">
        <f t="shared" si="38"/>
        <v>0</v>
      </c>
    </row>
    <row r="683" spans="9:19">
      <c r="I683" s="124" t="s">
        <v>763</v>
      </c>
      <c r="J683" s="124" t="s">
        <v>764</v>
      </c>
      <c r="K683" s="182" t="s">
        <v>398</v>
      </c>
      <c r="L683" s="182">
        <v>4.9600000000000002E-4</v>
      </c>
      <c r="M683" s="182">
        <v>5.9500000000000004E-4</v>
      </c>
      <c r="N683" s="182">
        <v>5.9500000000000004E-4</v>
      </c>
      <c r="O683" s="182">
        <v>5.9500000000000004E-4</v>
      </c>
      <c r="P683" s="182">
        <v>5.9500000000000004E-4</v>
      </c>
      <c r="R683" s="154" t="str">
        <f t="shared" si="37"/>
        <v>A0271:北陸電力(株)メニューB</v>
      </c>
      <c r="S683" s="182">
        <f t="shared" si="38"/>
        <v>4.9600000000000002E-4</v>
      </c>
    </row>
    <row r="684" spans="9:19">
      <c r="I684" s="124" t="s">
        <v>763</v>
      </c>
      <c r="J684" s="124" t="s">
        <v>764</v>
      </c>
      <c r="K684" s="182" t="s">
        <v>2010</v>
      </c>
      <c r="L684" s="182">
        <v>4.8099999999999998E-4</v>
      </c>
      <c r="M684" s="182">
        <v>0</v>
      </c>
      <c r="N684" s="182">
        <v>0</v>
      </c>
      <c r="O684" s="182">
        <v>0</v>
      </c>
      <c r="P684" s="182">
        <v>0</v>
      </c>
      <c r="R684" s="154" t="str">
        <f t="shared" si="37"/>
        <v>A0271:北陸電力(株)(参考値)事業者全体</v>
      </c>
      <c r="S684" s="182">
        <f t="shared" si="38"/>
        <v>4.8099999999999998E-4</v>
      </c>
    </row>
    <row r="685" spans="9:19">
      <c r="I685" s="124" t="s">
        <v>765</v>
      </c>
      <c r="J685" s="124" t="s">
        <v>766</v>
      </c>
      <c r="K685" s="182" t="s">
        <v>390</v>
      </c>
      <c r="L685" s="182">
        <v>0</v>
      </c>
      <c r="M685" s="182">
        <v>4.6500000000000003E-4</v>
      </c>
      <c r="N685" s="182">
        <v>4.6500000000000003E-4</v>
      </c>
      <c r="O685" s="182">
        <v>4.6500000000000003E-4</v>
      </c>
      <c r="P685" s="182">
        <v>4.6500000000000003E-4</v>
      </c>
      <c r="R685" s="154" t="str">
        <f t="shared" si="37"/>
        <v>A0272:関西電力(株) メニューA</v>
      </c>
      <c r="S685" s="182">
        <f t="shared" si="38"/>
        <v>0</v>
      </c>
    </row>
    <row r="686" spans="9:19">
      <c r="I686" s="124" t="s">
        <v>765</v>
      </c>
      <c r="J686" s="124" t="s">
        <v>766</v>
      </c>
      <c r="K686" s="182" t="s">
        <v>398</v>
      </c>
      <c r="L686" s="182">
        <v>0</v>
      </c>
      <c r="M686" s="182">
        <v>4.0999999999999999E-4</v>
      </c>
      <c r="N686" s="182">
        <v>4.0999999999999999E-4</v>
      </c>
      <c r="O686" s="182">
        <v>4.0999999999999999E-4</v>
      </c>
      <c r="P686" s="182">
        <v>4.0999999999999999E-4</v>
      </c>
      <c r="R686" s="154" t="str">
        <f t="shared" si="37"/>
        <v>A0272:関西電力(株) メニューB</v>
      </c>
      <c r="S686" s="182">
        <f t="shared" si="38"/>
        <v>0</v>
      </c>
    </row>
    <row r="687" spans="9:19">
      <c r="I687" s="124" t="s">
        <v>765</v>
      </c>
      <c r="J687" s="124" t="s">
        <v>766</v>
      </c>
      <c r="K687" s="182" t="s">
        <v>399</v>
      </c>
      <c r="L687" s="182">
        <v>0</v>
      </c>
      <c r="M687" s="182">
        <v>0</v>
      </c>
      <c r="N687" s="182">
        <v>0</v>
      </c>
      <c r="O687" s="182">
        <v>0</v>
      </c>
      <c r="P687" s="182">
        <v>0</v>
      </c>
      <c r="R687" s="154" t="str">
        <f t="shared" si="37"/>
        <v>A0272:関西電力(株) メニューC</v>
      </c>
      <c r="S687" s="182">
        <f t="shared" si="38"/>
        <v>0</v>
      </c>
    </row>
    <row r="688" spans="9:19">
      <c r="I688" s="124" t="s">
        <v>765</v>
      </c>
      <c r="J688" s="124" t="s">
        <v>766</v>
      </c>
      <c r="K688" s="182" t="s">
        <v>400</v>
      </c>
      <c r="L688" s="182">
        <v>0</v>
      </c>
      <c r="M688" s="182">
        <v>3.0600000000000001E-4</v>
      </c>
      <c r="N688" s="182">
        <v>3.0600000000000001E-4</v>
      </c>
      <c r="O688" s="182">
        <v>3.0600000000000001E-4</v>
      </c>
      <c r="P688" s="182">
        <v>3.0600000000000001E-4</v>
      </c>
      <c r="R688" s="154" t="str">
        <f t="shared" si="37"/>
        <v>A0272:関西電力(株) メニューD</v>
      </c>
      <c r="S688" s="182">
        <f t="shared" si="38"/>
        <v>0</v>
      </c>
    </row>
    <row r="689" spans="9:19">
      <c r="I689" s="124" t="s">
        <v>765</v>
      </c>
      <c r="J689" s="124" t="s">
        <v>766</v>
      </c>
      <c r="K689" s="182" t="s">
        <v>401</v>
      </c>
      <c r="L689" s="182">
        <v>0</v>
      </c>
      <c r="M689" s="182">
        <v>3.4099999999999999E-4</v>
      </c>
      <c r="N689" s="182">
        <v>3.4099999999999999E-4</v>
      </c>
      <c r="O689" s="182">
        <v>3.4099999999999999E-4</v>
      </c>
      <c r="P689" s="182">
        <v>3.4099999999999999E-4</v>
      </c>
      <c r="R689" s="154" t="str">
        <f t="shared" si="37"/>
        <v>A0272:関西電力(株) メニューE</v>
      </c>
      <c r="S689" s="182">
        <f t="shared" si="38"/>
        <v>0</v>
      </c>
    </row>
    <row r="690" spans="9:19">
      <c r="I690" s="124" t="s">
        <v>765</v>
      </c>
      <c r="J690" s="124" t="s">
        <v>766</v>
      </c>
      <c r="K690" s="182" t="s">
        <v>414</v>
      </c>
      <c r="L690" s="182">
        <v>0</v>
      </c>
      <c r="M690" s="182">
        <v>4.6500000000000003E-4</v>
      </c>
      <c r="N690" s="182">
        <v>4.6500000000000003E-4</v>
      </c>
      <c r="O690" s="182">
        <v>4.6500000000000003E-4</v>
      </c>
      <c r="P690" s="182">
        <v>4.6500000000000003E-4</v>
      </c>
      <c r="R690" s="154" t="str">
        <f t="shared" si="37"/>
        <v>A0272:関西電力(株) メニューF</v>
      </c>
      <c r="S690" s="182">
        <f t="shared" si="38"/>
        <v>0</v>
      </c>
    </row>
    <row r="691" spans="9:19">
      <c r="I691" s="124" t="s">
        <v>765</v>
      </c>
      <c r="J691" s="124" t="s">
        <v>766</v>
      </c>
      <c r="K691" s="182" t="s">
        <v>415</v>
      </c>
      <c r="L691" s="182">
        <v>0</v>
      </c>
      <c r="M691" s="182">
        <v>4.2900000000000002E-4</v>
      </c>
      <c r="N691" s="182">
        <v>4.2900000000000002E-4</v>
      </c>
      <c r="O691" s="182">
        <v>4.2900000000000002E-4</v>
      </c>
      <c r="P691" s="182">
        <v>4.2900000000000002E-4</v>
      </c>
      <c r="R691" s="154" t="str">
        <f t="shared" si="37"/>
        <v>A0272:関西電力(株) メニューG</v>
      </c>
      <c r="S691" s="182">
        <f t="shared" si="38"/>
        <v>0</v>
      </c>
    </row>
    <row r="692" spans="9:19">
      <c r="I692" s="124" t="s">
        <v>765</v>
      </c>
      <c r="J692" s="124" t="s">
        <v>766</v>
      </c>
      <c r="K692" s="182" t="s">
        <v>416</v>
      </c>
      <c r="L692" s="182">
        <v>0</v>
      </c>
      <c r="M692" s="182">
        <v>5.9800000000000001E-4</v>
      </c>
      <c r="N692" s="182">
        <v>5.9800000000000001E-4</v>
      </c>
      <c r="O692" s="182">
        <v>5.9800000000000001E-4</v>
      </c>
      <c r="P692" s="182">
        <v>5.9800000000000001E-4</v>
      </c>
      <c r="R692" s="154" t="str">
        <f t="shared" si="37"/>
        <v>A0272:関西電力(株) メニューH</v>
      </c>
      <c r="S692" s="182">
        <f t="shared" si="38"/>
        <v>0</v>
      </c>
    </row>
    <row r="693" spans="9:19">
      <c r="I693" s="124" t="s">
        <v>765</v>
      </c>
      <c r="J693" s="124" t="s">
        <v>766</v>
      </c>
      <c r="K693" s="182" t="s">
        <v>417</v>
      </c>
      <c r="L693" s="182">
        <v>0</v>
      </c>
      <c r="M693" s="182">
        <v>0</v>
      </c>
      <c r="N693" s="182">
        <v>0</v>
      </c>
      <c r="O693" s="182">
        <v>0</v>
      </c>
      <c r="P693" s="182">
        <v>0</v>
      </c>
      <c r="R693" s="154" t="str">
        <f t="shared" si="37"/>
        <v>A0272:関西電力(株) メニューI</v>
      </c>
      <c r="S693" s="182">
        <f t="shared" si="38"/>
        <v>0</v>
      </c>
    </row>
    <row r="694" spans="9:19">
      <c r="I694" s="124" t="s">
        <v>765</v>
      </c>
      <c r="J694" s="124" t="s">
        <v>766</v>
      </c>
      <c r="K694" s="182" t="s">
        <v>418</v>
      </c>
      <c r="L694" s="182">
        <v>4.1899999999999999E-4</v>
      </c>
      <c r="M694" s="182">
        <v>5.4600000000000004E-4</v>
      </c>
      <c r="N694" s="182">
        <v>5.4600000000000004E-4</v>
      </c>
      <c r="O694" s="182">
        <v>5.4600000000000004E-4</v>
      </c>
      <c r="P694" s="182">
        <v>5.4600000000000004E-4</v>
      </c>
      <c r="R694" s="154" t="str">
        <f t="shared" si="37"/>
        <v>A0272:関西電力(株) メニューJ</v>
      </c>
      <c r="S694" s="182">
        <f t="shared" si="38"/>
        <v>4.1899999999999999E-4</v>
      </c>
    </row>
    <row r="695" spans="9:19">
      <c r="I695" s="124" t="s">
        <v>765</v>
      </c>
      <c r="J695" s="124" t="s">
        <v>766</v>
      </c>
      <c r="K695" s="182" t="s">
        <v>2010</v>
      </c>
      <c r="L695" s="182">
        <v>4.0099999999999999E-4</v>
      </c>
      <c r="M695" s="182">
        <v>1.9100000000000001E-4</v>
      </c>
      <c r="N695" s="182">
        <v>1.9100000000000001E-4</v>
      </c>
      <c r="O695" s="182">
        <v>1.9100000000000001E-4</v>
      </c>
      <c r="P695" s="182">
        <v>1.9100000000000001E-4</v>
      </c>
      <c r="R695" s="154" t="str">
        <f t="shared" si="37"/>
        <v>A0272:関西電力(株) (参考値)事業者全体</v>
      </c>
      <c r="S695" s="182">
        <f t="shared" si="38"/>
        <v>4.0099999999999999E-4</v>
      </c>
    </row>
    <row r="696" spans="9:19">
      <c r="I696" s="124" t="s">
        <v>767</v>
      </c>
      <c r="J696" s="124" t="s">
        <v>1698</v>
      </c>
      <c r="K696" s="182" t="s">
        <v>390</v>
      </c>
      <c r="L696" s="182">
        <v>0</v>
      </c>
      <c r="M696" s="182">
        <v>4.8099999999999998E-4</v>
      </c>
      <c r="N696" s="182">
        <v>4.8099999999999998E-4</v>
      </c>
      <c r="O696" s="182">
        <v>4.8099999999999998E-4</v>
      </c>
      <c r="P696" s="182">
        <v>4.8099999999999998E-4</v>
      </c>
      <c r="R696" s="154" t="str">
        <f t="shared" si="37"/>
        <v>A0273:中国電力(株)メニューA</v>
      </c>
      <c r="S696" s="182">
        <f t="shared" si="38"/>
        <v>0</v>
      </c>
    </row>
    <row r="697" spans="9:19">
      <c r="I697" s="124" t="s">
        <v>767</v>
      </c>
      <c r="J697" s="124" t="s">
        <v>1698</v>
      </c>
      <c r="K697" s="182" t="s">
        <v>398</v>
      </c>
      <c r="L697" s="182">
        <v>0</v>
      </c>
      <c r="M697" s="182">
        <v>0</v>
      </c>
      <c r="N697" s="182">
        <v>0</v>
      </c>
      <c r="O697" s="182">
        <v>0</v>
      </c>
      <c r="P697" s="182">
        <v>0</v>
      </c>
      <c r="R697" s="154" t="str">
        <f t="shared" si="37"/>
        <v>A0273:中国電力(株)メニューB</v>
      </c>
      <c r="S697" s="182">
        <f t="shared" si="38"/>
        <v>0</v>
      </c>
    </row>
    <row r="698" spans="9:19">
      <c r="I698" s="124" t="s">
        <v>767</v>
      </c>
      <c r="J698" s="124" t="s">
        <v>1698</v>
      </c>
      <c r="K698" s="182" t="s">
        <v>399</v>
      </c>
      <c r="L698" s="182">
        <v>0</v>
      </c>
      <c r="M698" s="182">
        <v>9.1000000000000003E-5</v>
      </c>
      <c r="N698" s="182">
        <v>9.1000000000000003E-5</v>
      </c>
      <c r="O698" s="182">
        <v>9.1000000000000003E-5</v>
      </c>
      <c r="P698" s="182">
        <v>9.1000000000000003E-5</v>
      </c>
      <c r="R698" s="154" t="str">
        <f t="shared" si="37"/>
        <v>A0273:中国電力(株)メニューC</v>
      </c>
      <c r="S698" s="182">
        <f t="shared" si="38"/>
        <v>0</v>
      </c>
    </row>
    <row r="699" spans="9:19">
      <c r="I699" s="124" t="s">
        <v>767</v>
      </c>
      <c r="J699" s="124" t="s">
        <v>1698</v>
      </c>
      <c r="K699" s="182" t="s">
        <v>400</v>
      </c>
      <c r="L699" s="182">
        <v>0</v>
      </c>
      <c r="M699" s="182">
        <v>3.6299999999999999E-4</v>
      </c>
      <c r="N699" s="182">
        <v>3.6299999999999999E-4</v>
      </c>
      <c r="O699" s="182">
        <v>3.6299999999999999E-4</v>
      </c>
      <c r="P699" s="182">
        <v>3.6299999999999999E-4</v>
      </c>
      <c r="R699" s="154" t="str">
        <f t="shared" si="37"/>
        <v>A0273:中国電力(株)メニューD</v>
      </c>
      <c r="S699" s="182">
        <f t="shared" si="38"/>
        <v>0</v>
      </c>
    </row>
    <row r="700" spans="9:19">
      <c r="I700" s="124" t="s">
        <v>767</v>
      </c>
      <c r="J700" s="124" t="s">
        <v>1698</v>
      </c>
      <c r="K700" s="182" t="s">
        <v>401</v>
      </c>
      <c r="L700" s="182">
        <v>0</v>
      </c>
      <c r="M700" s="182">
        <v>3.4099999999999999E-4</v>
      </c>
      <c r="N700" s="182">
        <v>3.4099999999999999E-4</v>
      </c>
      <c r="O700" s="182">
        <v>3.4099999999999999E-4</v>
      </c>
      <c r="P700" s="182">
        <v>3.4099999999999999E-4</v>
      </c>
      <c r="R700" s="154" t="str">
        <f t="shared" si="37"/>
        <v>A0273:中国電力(株)メニューE</v>
      </c>
      <c r="S700" s="182">
        <f t="shared" si="38"/>
        <v>0</v>
      </c>
    </row>
    <row r="701" spans="9:19">
      <c r="I701" s="124" t="s">
        <v>767</v>
      </c>
      <c r="J701" s="124" t="s">
        <v>1698</v>
      </c>
      <c r="K701" s="182" t="s">
        <v>414</v>
      </c>
      <c r="L701" s="182">
        <v>0</v>
      </c>
      <c r="M701" s="182">
        <v>3.6999999999999999E-4</v>
      </c>
      <c r="N701" s="182">
        <v>3.6999999999999999E-4</v>
      </c>
      <c r="O701" s="182">
        <v>3.6999999999999999E-4</v>
      </c>
      <c r="P701" s="182">
        <v>3.6999999999999999E-4</v>
      </c>
      <c r="R701" s="154" t="str">
        <f t="shared" si="37"/>
        <v>A0273:中国電力(株)メニューF</v>
      </c>
      <c r="S701" s="182">
        <f t="shared" si="38"/>
        <v>0</v>
      </c>
    </row>
    <row r="702" spans="9:19">
      <c r="I702" s="124" t="s">
        <v>767</v>
      </c>
      <c r="J702" s="124" t="s">
        <v>1698</v>
      </c>
      <c r="K702" s="182" t="s">
        <v>415</v>
      </c>
      <c r="L702" s="182">
        <v>3.8700000000000003E-4</v>
      </c>
      <c r="M702" s="182">
        <v>5.6999999999999998E-4</v>
      </c>
      <c r="N702" s="182">
        <v>5.6999999999999998E-4</v>
      </c>
      <c r="O702" s="182">
        <v>5.6999999999999998E-4</v>
      </c>
      <c r="P702" s="182">
        <v>5.6999999999999998E-4</v>
      </c>
      <c r="R702" s="154" t="str">
        <f t="shared" si="37"/>
        <v>A0273:中国電力(株)メニューG</v>
      </c>
      <c r="S702" s="182">
        <f t="shared" si="38"/>
        <v>3.8700000000000003E-4</v>
      </c>
    </row>
    <row r="703" spans="9:19">
      <c r="I703" s="124" t="s">
        <v>767</v>
      </c>
      <c r="J703" s="124" t="s">
        <v>1698</v>
      </c>
      <c r="K703" s="182" t="s">
        <v>416</v>
      </c>
      <c r="L703" s="182">
        <v>5.1999999999999995E-4</v>
      </c>
      <c r="M703" s="182">
        <v>6.0099999999999997E-4</v>
      </c>
      <c r="N703" s="182">
        <v>6.0099999999999997E-4</v>
      </c>
      <c r="O703" s="182">
        <v>6.0099999999999997E-4</v>
      </c>
      <c r="P703" s="182">
        <v>6.0099999999999997E-4</v>
      </c>
      <c r="R703" s="154" t="str">
        <f t="shared" si="37"/>
        <v>A0273:中国電力(株)メニューH</v>
      </c>
      <c r="S703" s="182">
        <f t="shared" si="38"/>
        <v>5.1999999999999995E-4</v>
      </c>
    </row>
    <row r="704" spans="9:19">
      <c r="I704" s="124" t="s">
        <v>767</v>
      </c>
      <c r="J704" s="124" t="s">
        <v>1698</v>
      </c>
      <c r="K704" s="182" t="s">
        <v>2010</v>
      </c>
      <c r="L704" s="182">
        <v>5.1099999999999995E-4</v>
      </c>
      <c r="M704" s="182">
        <v>5.5599999999999996E-4</v>
      </c>
      <c r="N704" s="182">
        <v>5.5599999999999996E-4</v>
      </c>
      <c r="O704" s="182">
        <v>5.5599999999999996E-4</v>
      </c>
      <c r="P704" s="182">
        <v>5.5599999999999996E-4</v>
      </c>
      <c r="R704" s="154" t="str">
        <f t="shared" si="37"/>
        <v>A0273:中国電力(株)(参考値)事業者全体</v>
      </c>
      <c r="S704" s="182">
        <f t="shared" si="38"/>
        <v>5.1099999999999995E-4</v>
      </c>
    </row>
    <row r="705" spans="9:19">
      <c r="I705" s="124" t="s">
        <v>768</v>
      </c>
      <c r="J705" s="124" t="s">
        <v>769</v>
      </c>
      <c r="K705" s="182" t="s">
        <v>390</v>
      </c>
      <c r="L705" s="182">
        <v>0</v>
      </c>
      <c r="M705" s="182">
        <v>0</v>
      </c>
      <c r="N705" s="182">
        <v>0</v>
      </c>
      <c r="O705" s="182">
        <v>0</v>
      </c>
      <c r="P705" s="182">
        <v>0</v>
      </c>
      <c r="R705" s="154" t="str">
        <f t="shared" si="37"/>
        <v>A0274:四国電力(株)メニューA</v>
      </c>
      <c r="S705" s="182">
        <f t="shared" si="38"/>
        <v>0</v>
      </c>
    </row>
    <row r="706" spans="9:19">
      <c r="I706" s="124" t="s">
        <v>768</v>
      </c>
      <c r="J706" s="124" t="s">
        <v>769</v>
      </c>
      <c r="K706" s="182" t="s">
        <v>398</v>
      </c>
      <c r="L706" s="182">
        <v>0</v>
      </c>
      <c r="M706" s="182">
        <v>2.8899999999999998E-4</v>
      </c>
      <c r="N706" s="182">
        <v>2.8899999999999998E-4</v>
      </c>
      <c r="O706" s="182">
        <v>2.8899999999999998E-4</v>
      </c>
      <c r="P706" s="182">
        <v>2.8899999999999998E-4</v>
      </c>
      <c r="R706" s="154" t="str">
        <f t="shared" si="37"/>
        <v>A0274:四国電力(株)メニューB</v>
      </c>
      <c r="S706" s="182">
        <f t="shared" si="38"/>
        <v>0</v>
      </c>
    </row>
    <row r="707" spans="9:19">
      <c r="I707" s="124" t="s">
        <v>768</v>
      </c>
      <c r="J707" s="124" t="s">
        <v>769</v>
      </c>
      <c r="K707" s="182" t="s">
        <v>399</v>
      </c>
      <c r="L707" s="182">
        <v>4.64E-4</v>
      </c>
      <c r="M707" s="182">
        <v>4.8999999999999998E-4</v>
      </c>
      <c r="N707" s="182">
        <v>4.8999999999999998E-4</v>
      </c>
      <c r="O707" s="182">
        <v>4.8999999999999998E-4</v>
      </c>
      <c r="P707" s="182">
        <v>4.8999999999999998E-4</v>
      </c>
      <c r="R707" s="154" t="str">
        <f t="shared" si="37"/>
        <v>A0274:四国電力(株)メニューC</v>
      </c>
      <c r="S707" s="182">
        <f t="shared" si="38"/>
        <v>4.64E-4</v>
      </c>
    </row>
    <row r="708" spans="9:19">
      <c r="I708" s="124" t="s">
        <v>768</v>
      </c>
      <c r="J708" s="124" t="s">
        <v>769</v>
      </c>
      <c r="K708" s="182" t="s">
        <v>2010</v>
      </c>
      <c r="L708" s="182">
        <v>4.5399999999999998E-4</v>
      </c>
      <c r="M708" s="182">
        <v>4.2900000000000002E-4</v>
      </c>
      <c r="N708" s="182">
        <v>4.2900000000000002E-4</v>
      </c>
      <c r="O708" s="182">
        <v>4.2900000000000002E-4</v>
      </c>
      <c r="P708" s="182">
        <v>4.2900000000000002E-4</v>
      </c>
      <c r="R708" s="154" t="str">
        <f t="shared" si="37"/>
        <v>A0274:四国電力(株)(参考値)事業者全体</v>
      </c>
      <c r="S708" s="182">
        <f t="shared" si="38"/>
        <v>4.5399999999999998E-4</v>
      </c>
    </row>
    <row r="709" spans="9:19">
      <c r="I709" s="124" t="s">
        <v>770</v>
      </c>
      <c r="J709" s="124" t="s">
        <v>771</v>
      </c>
      <c r="K709" s="182" t="s">
        <v>390</v>
      </c>
      <c r="L709" s="182">
        <v>0</v>
      </c>
      <c r="M709" s="182">
        <v>4.1599999999999997E-4</v>
      </c>
      <c r="N709" s="182">
        <v>4.1599999999999997E-4</v>
      </c>
      <c r="O709" s="182">
        <v>4.1599999999999997E-4</v>
      </c>
      <c r="P709" s="182">
        <v>4.1599999999999997E-4</v>
      </c>
      <c r="R709" s="154" t="str">
        <f t="shared" si="37"/>
        <v>A0275:九州電力(株)メニューA</v>
      </c>
      <c r="S709" s="182">
        <f t="shared" si="38"/>
        <v>0</v>
      </c>
    </row>
    <row r="710" spans="9:19">
      <c r="I710" s="124" t="s">
        <v>770</v>
      </c>
      <c r="J710" s="124" t="s">
        <v>771</v>
      </c>
      <c r="K710" s="182" t="s">
        <v>398</v>
      </c>
      <c r="L710" s="182">
        <v>4.17E-4</v>
      </c>
      <c r="M710" s="182">
        <v>0</v>
      </c>
      <c r="N710" s="182">
        <v>0</v>
      </c>
      <c r="O710" s="182">
        <v>0</v>
      </c>
      <c r="P710" s="182">
        <v>0</v>
      </c>
      <c r="R710" s="154" t="str">
        <f t="shared" si="37"/>
        <v>A0275:九州電力(株)メニューB</v>
      </c>
      <c r="S710" s="182">
        <f t="shared" si="38"/>
        <v>4.17E-4</v>
      </c>
    </row>
    <row r="711" spans="9:19">
      <c r="I711" s="124" t="s">
        <v>770</v>
      </c>
      <c r="J711" s="124" t="s">
        <v>771</v>
      </c>
      <c r="K711" s="182" t="s">
        <v>2010</v>
      </c>
      <c r="L711" s="182">
        <v>4.0200000000000001E-4</v>
      </c>
      <c r="M711" s="182">
        <v>6.3400000000000001E-4</v>
      </c>
      <c r="N711" s="182">
        <v>6.3400000000000001E-4</v>
      </c>
      <c r="O711" s="182">
        <v>6.3400000000000001E-4</v>
      </c>
      <c r="P711" s="182">
        <v>6.3400000000000001E-4</v>
      </c>
      <c r="R711" s="154" t="str">
        <f t="shared" si="37"/>
        <v>A0275:九州電力(株)(参考値)事業者全体</v>
      </c>
      <c r="S711" s="182">
        <f t="shared" si="38"/>
        <v>4.0200000000000001E-4</v>
      </c>
    </row>
    <row r="712" spans="9:19">
      <c r="I712" s="124" t="s">
        <v>772</v>
      </c>
      <c r="J712" s="124" t="s">
        <v>773</v>
      </c>
      <c r="K712" s="182" t="s">
        <v>390</v>
      </c>
      <c r="L712" s="182">
        <v>0</v>
      </c>
      <c r="M712" s="182">
        <v>6.69E-4</v>
      </c>
      <c r="N712" s="182">
        <v>6.69E-4</v>
      </c>
      <c r="O712" s="182">
        <v>6.69E-4</v>
      </c>
      <c r="P712" s="182">
        <v>6.69E-4</v>
      </c>
      <c r="R712" s="154" t="str">
        <f t="shared" si="37"/>
        <v>A0276:沖縄電力(株)メニューA</v>
      </c>
      <c r="S712" s="182">
        <f t="shared" si="38"/>
        <v>0</v>
      </c>
    </row>
    <row r="713" spans="9:19">
      <c r="I713" s="124" t="s">
        <v>772</v>
      </c>
      <c r="J713" s="124" t="s">
        <v>773</v>
      </c>
      <c r="K713" s="182" t="s">
        <v>398</v>
      </c>
      <c r="L713" s="182">
        <v>6.4400000000000004E-4</v>
      </c>
      <c r="M713" s="182">
        <v>0</v>
      </c>
      <c r="N713" s="182">
        <v>0</v>
      </c>
      <c r="O713" s="182">
        <v>0</v>
      </c>
      <c r="P713" s="182">
        <v>0</v>
      </c>
      <c r="R713" s="154" t="str">
        <f t="shared" si="37"/>
        <v>A0276:沖縄電力(株)メニューB</v>
      </c>
      <c r="S713" s="182">
        <f t="shared" si="38"/>
        <v>6.4400000000000004E-4</v>
      </c>
    </row>
    <row r="714" spans="9:19">
      <c r="I714" s="124" t="s">
        <v>772</v>
      </c>
      <c r="J714" s="124" t="s">
        <v>773</v>
      </c>
      <c r="K714" s="182" t="s">
        <v>2010</v>
      </c>
      <c r="L714" s="182">
        <v>6.38E-4</v>
      </c>
      <c r="M714" s="182">
        <v>6.11E-4</v>
      </c>
      <c r="N714" s="182">
        <v>6.11E-4</v>
      </c>
      <c r="O714" s="182">
        <v>6.11E-4</v>
      </c>
      <c r="P714" s="182">
        <v>6.11E-4</v>
      </c>
      <c r="R714" s="154" t="str">
        <f t="shared" ref="R714:R777" si="39">I714&amp;":"&amp;J714&amp;K714</f>
        <v>A0276:沖縄電力(株)(参考値)事業者全体</v>
      </c>
      <c r="S714" s="182">
        <f t="shared" ref="S714:S777" si="40">HLOOKUP($S$8,$L$8:$P$1500,ROW()-7,FALSE)</f>
        <v>6.38E-4</v>
      </c>
    </row>
    <row r="715" spans="9:19">
      <c r="I715" s="124" t="s">
        <v>774</v>
      </c>
      <c r="J715" s="124" t="s">
        <v>775</v>
      </c>
      <c r="K715" s="182"/>
      <c r="L715" s="182">
        <v>4.3399999999999998E-4</v>
      </c>
      <c r="M715" s="182">
        <v>5.6300000000000002E-4</v>
      </c>
      <c r="N715" s="182">
        <v>5.6300000000000002E-4</v>
      </c>
      <c r="O715" s="182">
        <v>5.6300000000000002E-4</v>
      </c>
      <c r="P715" s="182">
        <v>5.6300000000000002E-4</v>
      </c>
      <c r="R715" s="154" t="str">
        <f t="shared" si="39"/>
        <v>A0277:北日本石油(株)</v>
      </c>
      <c r="S715" s="182">
        <f t="shared" si="40"/>
        <v>4.3399999999999998E-4</v>
      </c>
    </row>
    <row r="716" spans="9:19">
      <c r="I716" s="124" t="s">
        <v>776</v>
      </c>
      <c r="J716" s="124" t="s">
        <v>777</v>
      </c>
      <c r="K716" s="182"/>
      <c r="L716" s="182">
        <v>3.9800000000000002E-4</v>
      </c>
      <c r="M716" s="182">
        <v>5.2700000000000002E-4</v>
      </c>
      <c r="N716" s="182">
        <v>5.2700000000000002E-4</v>
      </c>
      <c r="O716" s="182">
        <v>5.2700000000000002E-4</v>
      </c>
      <c r="P716" s="182">
        <v>5.2700000000000002E-4</v>
      </c>
      <c r="R716" s="154" t="str">
        <f t="shared" si="39"/>
        <v>A0278:千葉電力(株)</v>
      </c>
      <c r="S716" s="182">
        <f t="shared" si="40"/>
        <v>3.9800000000000002E-4</v>
      </c>
    </row>
    <row r="717" spans="9:19">
      <c r="I717" s="124" t="s">
        <v>778</v>
      </c>
      <c r="J717" s="124" t="s">
        <v>779</v>
      </c>
      <c r="K717" s="182"/>
      <c r="L717" s="182">
        <v>4.8200000000000001E-4</v>
      </c>
      <c r="M717" s="182">
        <v>4.3199999999999998E-4</v>
      </c>
      <c r="N717" s="182">
        <v>4.3199999999999998E-4</v>
      </c>
      <c r="O717" s="182">
        <v>4.3199999999999998E-4</v>
      </c>
      <c r="P717" s="182">
        <v>4.3199999999999998E-4</v>
      </c>
      <c r="R717" s="154" t="str">
        <f t="shared" si="39"/>
        <v>A0280:やめエネルギー(株)</v>
      </c>
      <c r="S717" s="182">
        <f t="shared" si="40"/>
        <v>4.8200000000000001E-4</v>
      </c>
    </row>
    <row r="718" spans="9:19">
      <c r="I718" s="124" t="s">
        <v>780</v>
      </c>
      <c r="J718" s="124" t="s">
        <v>781</v>
      </c>
      <c r="K718" s="182"/>
      <c r="L718" s="182">
        <v>4.5800000000000002E-4</v>
      </c>
      <c r="M718" s="182">
        <v>5.0000000000000001E-4</v>
      </c>
      <c r="N718" s="182">
        <v>5.0000000000000001E-4</v>
      </c>
      <c r="O718" s="182">
        <v>5.0000000000000001E-4</v>
      </c>
      <c r="P718" s="182">
        <v>5.0000000000000001E-4</v>
      </c>
      <c r="R718" s="154" t="str">
        <f t="shared" si="39"/>
        <v>A0281:(株)アースインフィニティ</v>
      </c>
      <c r="S718" s="182">
        <f t="shared" si="40"/>
        <v>4.5800000000000002E-4</v>
      </c>
    </row>
    <row r="719" spans="9:19">
      <c r="I719" s="124" t="s">
        <v>782</v>
      </c>
      <c r="J719" s="124" t="s">
        <v>783</v>
      </c>
      <c r="K719" s="182"/>
      <c r="L719" s="182">
        <v>3.4099999999999999E-4</v>
      </c>
      <c r="M719" s="182">
        <v>4.7399999999999997E-4</v>
      </c>
      <c r="N719" s="182">
        <v>4.7399999999999997E-4</v>
      </c>
      <c r="O719" s="182">
        <v>4.7399999999999997E-4</v>
      </c>
      <c r="P719" s="182">
        <v>4.7399999999999997E-4</v>
      </c>
      <c r="R719" s="154" t="str">
        <f t="shared" si="39"/>
        <v>A0283:足利ガス(株)</v>
      </c>
      <c r="S719" s="182">
        <f t="shared" si="40"/>
        <v>3.4099999999999999E-4</v>
      </c>
    </row>
    <row r="720" spans="9:19">
      <c r="I720" s="124" t="s">
        <v>784</v>
      </c>
      <c r="J720" s="124" t="s">
        <v>785</v>
      </c>
      <c r="K720" s="182"/>
      <c r="L720" s="182">
        <v>3.4400000000000001E-4</v>
      </c>
      <c r="M720" s="182">
        <v>4.4499999999999997E-4</v>
      </c>
      <c r="N720" s="182">
        <v>4.4499999999999997E-4</v>
      </c>
      <c r="O720" s="182">
        <v>4.4499999999999997E-4</v>
      </c>
      <c r="P720" s="182">
        <v>4.4499999999999997E-4</v>
      </c>
      <c r="R720" s="154" t="str">
        <f t="shared" si="39"/>
        <v>A0284:(株)Misumi</v>
      </c>
      <c r="S720" s="182">
        <f t="shared" si="40"/>
        <v>3.4400000000000001E-4</v>
      </c>
    </row>
    <row r="721" spans="9:19">
      <c r="I721" s="124" t="s">
        <v>786</v>
      </c>
      <c r="J721" s="124" t="s">
        <v>787</v>
      </c>
      <c r="K721" s="182"/>
      <c r="L721" s="182">
        <v>4.2700000000000002E-4</v>
      </c>
      <c r="M721" s="182">
        <v>5.6899999999999995E-4</v>
      </c>
      <c r="N721" s="182">
        <v>5.6899999999999995E-4</v>
      </c>
      <c r="O721" s="182">
        <v>5.6899999999999995E-4</v>
      </c>
      <c r="P721" s="182">
        <v>5.6899999999999995E-4</v>
      </c>
      <c r="R721" s="154" t="str">
        <f t="shared" si="39"/>
        <v>A0285:米子瓦斯(株)</v>
      </c>
      <c r="S721" s="182">
        <f t="shared" si="40"/>
        <v>4.2700000000000002E-4</v>
      </c>
    </row>
    <row r="722" spans="9:19">
      <c r="I722" s="124" t="s">
        <v>788</v>
      </c>
      <c r="J722" s="124" t="s">
        <v>789</v>
      </c>
      <c r="K722" s="182" t="s">
        <v>390</v>
      </c>
      <c r="L722" s="182">
        <v>0</v>
      </c>
      <c r="M722" s="182">
        <v>6.6299999999999996E-4</v>
      </c>
      <c r="N722" s="182">
        <v>6.6299999999999996E-4</v>
      </c>
      <c r="O722" s="182">
        <v>6.6299999999999996E-4</v>
      </c>
      <c r="P722" s="182">
        <v>6.6299999999999996E-4</v>
      </c>
      <c r="R722" s="154" t="str">
        <f t="shared" si="39"/>
        <v>A0286:(株)エルピオメニューA</v>
      </c>
      <c r="S722" s="182">
        <f t="shared" si="40"/>
        <v>0</v>
      </c>
    </row>
    <row r="723" spans="9:19">
      <c r="I723" s="124" t="s">
        <v>788</v>
      </c>
      <c r="J723" s="124" t="s">
        <v>789</v>
      </c>
      <c r="K723" s="182" t="s">
        <v>2010</v>
      </c>
      <c r="L723" s="182">
        <v>9.9200000000000004E-4</v>
      </c>
      <c r="M723" s="182">
        <v>0</v>
      </c>
      <c r="N723" s="182">
        <v>0</v>
      </c>
      <c r="O723" s="182">
        <v>0</v>
      </c>
      <c r="P723" s="182">
        <v>0</v>
      </c>
      <c r="R723" s="154" t="str">
        <f t="shared" si="39"/>
        <v>A0286:(株)エルピオ(参考値)事業者全体</v>
      </c>
      <c r="S723" s="182">
        <f t="shared" si="40"/>
        <v>9.9200000000000004E-4</v>
      </c>
    </row>
    <row r="724" spans="9:19">
      <c r="I724" s="124" t="s">
        <v>790</v>
      </c>
      <c r="J724" s="124" t="s">
        <v>791</v>
      </c>
      <c r="K724" s="182"/>
      <c r="L724" s="182">
        <v>4.1599999999999997E-4</v>
      </c>
      <c r="M724" s="182">
        <v>5.5699999999999999E-4</v>
      </c>
      <c r="N724" s="182">
        <v>5.5699999999999999E-4</v>
      </c>
      <c r="O724" s="182">
        <v>5.5699999999999999E-4</v>
      </c>
      <c r="P724" s="182">
        <v>5.5699999999999999E-4</v>
      </c>
      <c r="R724" s="154" t="str">
        <f t="shared" si="39"/>
        <v>A0287:浜田ガス(株)</v>
      </c>
      <c r="S724" s="182">
        <f t="shared" si="40"/>
        <v>4.1599999999999997E-4</v>
      </c>
    </row>
    <row r="725" spans="9:19">
      <c r="I725" s="124" t="s">
        <v>792</v>
      </c>
      <c r="J725" s="124" t="s">
        <v>793</v>
      </c>
      <c r="K725" s="182" t="s">
        <v>390</v>
      </c>
      <c r="L725" s="182">
        <v>0</v>
      </c>
      <c r="M725" s="182">
        <v>0</v>
      </c>
      <c r="N725" s="182">
        <v>0</v>
      </c>
      <c r="O725" s="182">
        <v>0</v>
      </c>
      <c r="P725" s="182">
        <v>0</v>
      </c>
      <c r="R725" s="154" t="str">
        <f t="shared" si="39"/>
        <v>A0288:(株)アメニティ電力メニューA</v>
      </c>
      <c r="S725" s="182">
        <f t="shared" si="40"/>
        <v>0</v>
      </c>
    </row>
    <row r="726" spans="9:19">
      <c r="I726" s="124" t="s">
        <v>792</v>
      </c>
      <c r="J726" s="124" t="s">
        <v>793</v>
      </c>
      <c r="K726" s="182" t="s">
        <v>398</v>
      </c>
      <c r="L726" s="182">
        <v>5.8500000000000002E-4</v>
      </c>
      <c r="M726" s="182">
        <v>4.9899999999999999E-4</v>
      </c>
      <c r="N726" s="182">
        <v>4.9899999999999999E-4</v>
      </c>
      <c r="O726" s="182">
        <v>4.9899999999999999E-4</v>
      </c>
      <c r="P726" s="182">
        <v>4.9899999999999999E-4</v>
      </c>
      <c r="R726" s="154" t="str">
        <f t="shared" si="39"/>
        <v>A0288:(株)アメニティ電力メニューB</v>
      </c>
      <c r="S726" s="182">
        <f t="shared" si="40"/>
        <v>5.8500000000000002E-4</v>
      </c>
    </row>
    <row r="727" spans="9:19">
      <c r="I727" s="124" t="s">
        <v>792</v>
      </c>
      <c r="J727" s="124" t="s">
        <v>793</v>
      </c>
      <c r="K727" s="182" t="s">
        <v>2010</v>
      </c>
      <c r="L727" s="182">
        <v>5.5000000000000003E-4</v>
      </c>
      <c r="M727" s="182">
        <v>3.0299999999999999E-4</v>
      </c>
      <c r="N727" s="182">
        <v>3.0299999999999999E-4</v>
      </c>
      <c r="O727" s="182">
        <v>3.0299999999999999E-4</v>
      </c>
      <c r="P727" s="182">
        <v>3.0299999999999999E-4</v>
      </c>
      <c r="R727" s="154" t="str">
        <f t="shared" si="39"/>
        <v>A0288:(株)アメニティ電力(参考値)事業者全体</v>
      </c>
      <c r="S727" s="182">
        <f t="shared" si="40"/>
        <v>5.5000000000000003E-4</v>
      </c>
    </row>
    <row r="728" spans="9:19">
      <c r="I728" s="124" t="s">
        <v>794</v>
      </c>
      <c r="J728" s="124" t="s">
        <v>795</v>
      </c>
      <c r="K728" s="182"/>
      <c r="L728" s="182">
        <v>6.6299999999999996E-4</v>
      </c>
      <c r="M728" s="182">
        <v>5.5000000000000003E-4</v>
      </c>
      <c r="N728" s="182">
        <v>5.5000000000000003E-4</v>
      </c>
      <c r="O728" s="182">
        <v>5.5000000000000003E-4</v>
      </c>
      <c r="P728" s="182">
        <v>5.5000000000000003E-4</v>
      </c>
      <c r="R728" s="154" t="str">
        <f t="shared" si="39"/>
        <v>A0292:岡田建設(株)</v>
      </c>
      <c r="S728" s="182">
        <f t="shared" si="40"/>
        <v>6.6299999999999996E-4</v>
      </c>
    </row>
    <row r="729" spans="9:19">
      <c r="I729" s="124" t="s">
        <v>796</v>
      </c>
      <c r="J729" s="124" t="s">
        <v>797</v>
      </c>
      <c r="K729" s="182"/>
      <c r="L729" s="182">
        <v>4.1599999999999997E-4</v>
      </c>
      <c r="M729" s="182">
        <v>2.8899999999999998E-4</v>
      </c>
      <c r="N729" s="182">
        <v>2.8899999999999998E-4</v>
      </c>
      <c r="O729" s="182">
        <v>2.8899999999999998E-4</v>
      </c>
      <c r="P729" s="182">
        <v>2.8899999999999998E-4</v>
      </c>
      <c r="R729" s="154" t="str">
        <f t="shared" si="39"/>
        <v>A0293:出雲ガス(株)</v>
      </c>
      <c r="S729" s="182">
        <f t="shared" si="40"/>
        <v>4.1599999999999997E-4</v>
      </c>
    </row>
    <row r="730" spans="9:19">
      <c r="I730" s="124" t="s">
        <v>798</v>
      </c>
      <c r="J730" s="124" t="s">
        <v>799</v>
      </c>
      <c r="K730" s="182" t="s">
        <v>390</v>
      </c>
      <c r="L730" s="182">
        <v>0</v>
      </c>
      <c r="M730" s="182">
        <v>0</v>
      </c>
      <c r="N730" s="182">
        <v>0</v>
      </c>
      <c r="O730" s="182">
        <v>0</v>
      </c>
      <c r="P730" s="182">
        <v>0</v>
      </c>
      <c r="R730" s="154" t="str">
        <f t="shared" si="39"/>
        <v>A0295:一般社団法人グリーンコープでんきメニューA</v>
      </c>
      <c r="S730" s="182">
        <f t="shared" si="40"/>
        <v>0</v>
      </c>
    </row>
    <row r="731" spans="9:19">
      <c r="I731" s="124" t="s">
        <v>798</v>
      </c>
      <c r="J731" s="124" t="s">
        <v>799</v>
      </c>
      <c r="K731" s="182" t="s">
        <v>398</v>
      </c>
      <c r="L731" s="182">
        <v>0</v>
      </c>
      <c r="M731" s="182">
        <v>4.6299999999999998E-4</v>
      </c>
      <c r="N731" s="182">
        <v>4.6299999999999998E-4</v>
      </c>
      <c r="O731" s="182">
        <v>4.6299999999999998E-4</v>
      </c>
      <c r="P731" s="182">
        <v>4.6299999999999998E-4</v>
      </c>
      <c r="R731" s="154" t="str">
        <f t="shared" si="39"/>
        <v>A0295:一般社団法人グリーンコープでんきメニューB</v>
      </c>
      <c r="S731" s="182">
        <f t="shared" si="40"/>
        <v>0</v>
      </c>
    </row>
    <row r="732" spans="9:19">
      <c r="I732" s="124" t="s">
        <v>798</v>
      </c>
      <c r="J732" s="124" t="s">
        <v>799</v>
      </c>
      <c r="K732" s="182" t="s">
        <v>399</v>
      </c>
      <c r="L732" s="182">
        <v>4.5300000000000001E-4</v>
      </c>
      <c r="M732" s="182">
        <v>5.5999999999999995E-4</v>
      </c>
      <c r="N732" s="182">
        <v>5.5999999999999995E-4</v>
      </c>
      <c r="O732" s="182">
        <v>5.5999999999999995E-4</v>
      </c>
      <c r="P732" s="182">
        <v>5.5999999999999995E-4</v>
      </c>
      <c r="R732" s="154" t="str">
        <f t="shared" si="39"/>
        <v>A0295:一般社団法人グリーンコープでんきメニューC</v>
      </c>
      <c r="S732" s="182">
        <f t="shared" si="40"/>
        <v>4.5300000000000001E-4</v>
      </c>
    </row>
    <row r="733" spans="9:19">
      <c r="I733" s="124" t="s">
        <v>798</v>
      </c>
      <c r="J733" s="124" t="s">
        <v>799</v>
      </c>
      <c r="K733" s="182" t="s">
        <v>2010</v>
      </c>
      <c r="L733" s="182">
        <v>3.9500000000000001E-4</v>
      </c>
      <c r="M733" s="182">
        <v>0</v>
      </c>
      <c r="N733" s="182">
        <v>0</v>
      </c>
      <c r="O733" s="182">
        <v>0</v>
      </c>
      <c r="P733" s="182">
        <v>0</v>
      </c>
      <c r="R733" s="154" t="str">
        <f t="shared" si="39"/>
        <v>A0295:一般社団法人グリーンコープでんき(参考値)事業者全体</v>
      </c>
      <c r="S733" s="182">
        <f t="shared" si="40"/>
        <v>3.9500000000000001E-4</v>
      </c>
    </row>
    <row r="734" spans="9:19">
      <c r="I734" s="124" t="s">
        <v>800</v>
      </c>
      <c r="J734" s="124" t="s">
        <v>801</v>
      </c>
      <c r="K734" s="182" t="s">
        <v>390</v>
      </c>
      <c r="L734" s="182">
        <v>4.4799999999999999E-4</v>
      </c>
      <c r="M734" s="182">
        <v>3.2200000000000002E-4</v>
      </c>
      <c r="N734" s="182">
        <v>3.2200000000000002E-4</v>
      </c>
      <c r="O734" s="182">
        <v>3.2200000000000002E-4</v>
      </c>
      <c r="P734" s="182">
        <v>3.2200000000000002E-4</v>
      </c>
      <c r="R734" s="154" t="str">
        <f t="shared" si="39"/>
        <v>A0296:公益財団法人東京都環境公社メニューA</v>
      </c>
      <c r="S734" s="182">
        <f t="shared" si="40"/>
        <v>4.4799999999999999E-4</v>
      </c>
    </row>
    <row r="735" spans="9:19">
      <c r="I735" s="124" t="s">
        <v>800</v>
      </c>
      <c r="J735" s="124" t="s">
        <v>801</v>
      </c>
      <c r="K735" s="182" t="s">
        <v>398</v>
      </c>
      <c r="L735" s="182">
        <v>4.4799999999999999E-4</v>
      </c>
      <c r="M735" s="182">
        <v>0</v>
      </c>
      <c r="N735" s="182">
        <v>0</v>
      </c>
      <c r="O735" s="182">
        <v>0</v>
      </c>
      <c r="P735" s="182">
        <v>0</v>
      </c>
      <c r="R735" s="154" t="str">
        <f t="shared" si="39"/>
        <v>A0296:公益財団法人東京都環境公社メニューB</v>
      </c>
      <c r="S735" s="182">
        <f t="shared" si="40"/>
        <v>4.4799999999999999E-4</v>
      </c>
    </row>
    <row r="736" spans="9:19">
      <c r="I736" s="124" t="s">
        <v>800</v>
      </c>
      <c r="J736" s="124" t="s">
        <v>801</v>
      </c>
      <c r="K736" s="182" t="s">
        <v>399</v>
      </c>
      <c r="L736" s="182">
        <v>3.3300000000000002E-4</v>
      </c>
      <c r="M736" s="182">
        <v>3.7199999999999999E-4</v>
      </c>
      <c r="N736" s="182">
        <v>3.7199999999999999E-4</v>
      </c>
      <c r="O736" s="182">
        <v>3.7199999999999999E-4</v>
      </c>
      <c r="P736" s="182">
        <v>3.7199999999999999E-4</v>
      </c>
      <c r="R736" s="154" t="str">
        <f t="shared" si="39"/>
        <v>A0296:公益財団法人東京都環境公社メニューC</v>
      </c>
      <c r="S736" s="182">
        <f t="shared" si="40"/>
        <v>3.3300000000000002E-4</v>
      </c>
    </row>
    <row r="737" spans="9:19">
      <c r="I737" s="124" t="s">
        <v>800</v>
      </c>
      <c r="J737" s="124" t="s">
        <v>801</v>
      </c>
      <c r="K737" s="182" t="s">
        <v>2010</v>
      </c>
      <c r="L737" s="182">
        <v>4.1300000000000001E-4</v>
      </c>
      <c r="M737" s="182">
        <v>4.9399999999999997E-4</v>
      </c>
      <c r="N737" s="182">
        <v>4.9399999999999997E-4</v>
      </c>
      <c r="O737" s="182">
        <v>4.9399999999999997E-4</v>
      </c>
      <c r="P737" s="182">
        <v>4.9399999999999997E-4</v>
      </c>
      <c r="R737" s="154" t="str">
        <f t="shared" si="39"/>
        <v>A0296:公益財団法人東京都環境公社(参考値)事業者全体</v>
      </c>
      <c r="S737" s="182">
        <f t="shared" si="40"/>
        <v>4.1300000000000001E-4</v>
      </c>
    </row>
    <row r="738" spans="9:19">
      <c r="I738" s="124" t="s">
        <v>802</v>
      </c>
      <c r="J738" s="124" t="s">
        <v>803</v>
      </c>
      <c r="K738" s="182"/>
      <c r="L738" s="182">
        <v>2.9999999999999997E-4</v>
      </c>
      <c r="M738" s="182">
        <v>3.28E-4</v>
      </c>
      <c r="N738" s="182">
        <v>3.28E-4</v>
      </c>
      <c r="O738" s="182">
        <v>3.28E-4</v>
      </c>
      <c r="P738" s="182">
        <v>3.28E-4</v>
      </c>
      <c r="R738" s="154" t="str">
        <f t="shared" si="39"/>
        <v>A0298:イオンディライト(株)</v>
      </c>
      <c r="S738" s="182">
        <f t="shared" si="40"/>
        <v>2.9999999999999997E-4</v>
      </c>
    </row>
    <row r="739" spans="9:19">
      <c r="I739" s="124" t="s">
        <v>804</v>
      </c>
      <c r="J739" s="124" t="s">
        <v>805</v>
      </c>
      <c r="K739" s="182" t="s">
        <v>390</v>
      </c>
      <c r="L739" s="182">
        <v>0</v>
      </c>
      <c r="M739" s="182">
        <v>0</v>
      </c>
      <c r="N739" s="182">
        <v>0</v>
      </c>
      <c r="O739" s="182">
        <v>0</v>
      </c>
      <c r="P739" s="182">
        <v>0</v>
      </c>
      <c r="R739" s="154" t="str">
        <f t="shared" si="39"/>
        <v>A0300:(株)ファミリーネット・ジャパンメニューA</v>
      </c>
      <c r="S739" s="182">
        <f t="shared" si="40"/>
        <v>0</v>
      </c>
    </row>
    <row r="740" spans="9:19">
      <c r="I740" s="124" t="s">
        <v>804</v>
      </c>
      <c r="J740" s="124" t="s">
        <v>805</v>
      </c>
      <c r="K740" s="182" t="s">
        <v>398</v>
      </c>
      <c r="L740" s="182">
        <v>0</v>
      </c>
      <c r="M740" s="182">
        <v>3.8500000000000003E-4</v>
      </c>
      <c r="N740" s="182">
        <v>3.8500000000000003E-4</v>
      </c>
      <c r="O740" s="182">
        <v>3.8500000000000003E-4</v>
      </c>
      <c r="P740" s="182">
        <v>3.8500000000000003E-4</v>
      </c>
      <c r="R740" s="154" t="str">
        <f t="shared" si="39"/>
        <v>A0300:(株)ファミリーネット・ジャパンメニューB</v>
      </c>
      <c r="S740" s="182">
        <f t="shared" si="40"/>
        <v>0</v>
      </c>
    </row>
    <row r="741" spans="9:19">
      <c r="I741" s="124" t="s">
        <v>804</v>
      </c>
      <c r="J741" s="124" t="s">
        <v>805</v>
      </c>
      <c r="K741" s="182" t="s">
        <v>399</v>
      </c>
      <c r="L741" s="182">
        <v>0</v>
      </c>
      <c r="M741" s="182">
        <v>3.4900000000000003E-4</v>
      </c>
      <c r="N741" s="182">
        <v>3.4900000000000003E-4</v>
      </c>
      <c r="O741" s="182">
        <v>3.4900000000000003E-4</v>
      </c>
      <c r="P741" s="182">
        <v>3.4900000000000003E-4</v>
      </c>
      <c r="R741" s="154" t="str">
        <f t="shared" si="39"/>
        <v>A0300:(株)ファミリーネット・ジャパンメニューC</v>
      </c>
      <c r="S741" s="182">
        <f t="shared" si="40"/>
        <v>0</v>
      </c>
    </row>
    <row r="742" spans="9:19">
      <c r="I742" s="124" t="s">
        <v>804</v>
      </c>
      <c r="J742" s="124" t="s">
        <v>805</v>
      </c>
      <c r="K742" s="182" t="s">
        <v>400</v>
      </c>
      <c r="L742" s="182">
        <v>0</v>
      </c>
      <c r="M742" s="182">
        <v>2.7500000000000002E-4</v>
      </c>
      <c r="N742" s="182">
        <v>2.7500000000000002E-4</v>
      </c>
      <c r="O742" s="182">
        <v>2.7500000000000002E-4</v>
      </c>
      <c r="P742" s="182">
        <v>2.7500000000000002E-4</v>
      </c>
      <c r="R742" s="154" t="str">
        <f t="shared" si="39"/>
        <v>A0300:(株)ファミリーネット・ジャパンメニューD</v>
      </c>
      <c r="S742" s="182">
        <f t="shared" si="40"/>
        <v>0</v>
      </c>
    </row>
    <row r="743" spans="9:19">
      <c r="I743" s="124" t="s">
        <v>804</v>
      </c>
      <c r="J743" s="124" t="s">
        <v>805</v>
      </c>
      <c r="K743" s="182" t="s">
        <v>401</v>
      </c>
      <c r="L743" s="182">
        <v>5.2999999999999998E-4</v>
      </c>
      <c r="M743" s="182">
        <v>0</v>
      </c>
      <c r="N743" s="182">
        <v>0</v>
      </c>
      <c r="O743" s="182">
        <v>0</v>
      </c>
      <c r="P743" s="182">
        <v>0</v>
      </c>
      <c r="R743" s="154" t="str">
        <f t="shared" si="39"/>
        <v>A0300:(株)ファミリーネット・ジャパンメニューE</v>
      </c>
      <c r="S743" s="182">
        <f t="shared" si="40"/>
        <v>5.2999999999999998E-4</v>
      </c>
    </row>
    <row r="744" spans="9:19">
      <c r="I744" s="124" t="s">
        <v>804</v>
      </c>
      <c r="J744" s="124" t="s">
        <v>805</v>
      </c>
      <c r="K744" s="182" t="s">
        <v>2010</v>
      </c>
      <c r="L744" s="182">
        <v>4.7399999999999997E-4</v>
      </c>
      <c r="M744" s="182">
        <v>3.4099999999999999E-4</v>
      </c>
      <c r="N744" s="182">
        <v>3.4099999999999999E-4</v>
      </c>
      <c r="O744" s="182">
        <v>3.4099999999999999E-4</v>
      </c>
      <c r="P744" s="182">
        <v>3.4099999999999999E-4</v>
      </c>
      <c r="R744" s="154" t="str">
        <f t="shared" si="39"/>
        <v>A0300:(株)ファミリーネット・ジャパン(参考値)事業者全体</v>
      </c>
      <c r="S744" s="182">
        <f t="shared" si="40"/>
        <v>4.7399999999999997E-4</v>
      </c>
    </row>
    <row r="745" spans="9:19">
      <c r="I745" s="124" t="s">
        <v>806</v>
      </c>
      <c r="J745" s="124" t="s">
        <v>807</v>
      </c>
      <c r="K745" s="182"/>
      <c r="L745" s="182">
        <v>6.2299999999999996E-4</v>
      </c>
      <c r="M745" s="182">
        <v>2.1100000000000001E-4</v>
      </c>
      <c r="N745" s="182">
        <v>2.1100000000000001E-4</v>
      </c>
      <c r="O745" s="182">
        <v>2.1100000000000001E-4</v>
      </c>
      <c r="P745" s="182">
        <v>2.1100000000000001E-4</v>
      </c>
      <c r="R745" s="154" t="str">
        <f t="shared" si="39"/>
        <v>A0303:MKステーションズ(株)</v>
      </c>
      <c r="S745" s="182">
        <f t="shared" si="40"/>
        <v>6.2299999999999996E-4</v>
      </c>
    </row>
    <row r="746" spans="9:19">
      <c r="I746" s="124" t="s">
        <v>808</v>
      </c>
      <c r="J746" s="124" t="s">
        <v>809</v>
      </c>
      <c r="K746" s="182"/>
      <c r="L746" s="182">
        <v>5.8799999999999998E-4</v>
      </c>
      <c r="M746" s="182">
        <v>3.4099999999999999E-4</v>
      </c>
      <c r="N746" s="182">
        <v>3.4099999999999999E-4</v>
      </c>
      <c r="O746" s="182">
        <v>3.4099999999999999E-4</v>
      </c>
      <c r="P746" s="182">
        <v>3.4099999999999999E-4</v>
      </c>
      <c r="R746" s="154" t="str">
        <f t="shared" si="39"/>
        <v>A0305:フラワーペイメント(株)</v>
      </c>
      <c r="S746" s="182">
        <f t="shared" si="40"/>
        <v>5.8799999999999998E-4</v>
      </c>
    </row>
    <row r="747" spans="9:19">
      <c r="I747" s="124" t="s">
        <v>810</v>
      </c>
      <c r="J747" s="124" t="s">
        <v>811</v>
      </c>
      <c r="K747" s="182"/>
      <c r="L747" s="182">
        <v>4.2900000000000002E-4</v>
      </c>
      <c r="M747" s="182">
        <v>5.5199999999999997E-4</v>
      </c>
      <c r="N747" s="182">
        <v>5.5199999999999997E-4</v>
      </c>
      <c r="O747" s="182">
        <v>5.5199999999999997E-4</v>
      </c>
      <c r="P747" s="182">
        <v>5.5199999999999997E-4</v>
      </c>
      <c r="R747" s="154" t="str">
        <f t="shared" si="39"/>
        <v>A0306:(株)JTBコミュニケーションデザイン</v>
      </c>
      <c r="S747" s="182">
        <f t="shared" si="40"/>
        <v>4.2900000000000002E-4</v>
      </c>
    </row>
    <row r="748" spans="9:19">
      <c r="I748" s="124" t="s">
        <v>812</v>
      </c>
      <c r="J748" s="124" t="s">
        <v>813</v>
      </c>
      <c r="K748" s="182" t="s">
        <v>390</v>
      </c>
      <c r="L748" s="182">
        <v>0</v>
      </c>
      <c r="M748" s="182">
        <v>0</v>
      </c>
      <c r="N748" s="182">
        <v>0</v>
      </c>
      <c r="O748" s="182">
        <v>0</v>
      </c>
      <c r="P748" s="182">
        <v>0</v>
      </c>
      <c r="R748" s="154" t="str">
        <f t="shared" si="39"/>
        <v>A0308:積水化学工業(株)メニューA</v>
      </c>
      <c r="S748" s="182">
        <f t="shared" si="40"/>
        <v>0</v>
      </c>
    </row>
    <row r="749" spans="9:19">
      <c r="I749" s="124" t="s">
        <v>812</v>
      </c>
      <c r="J749" s="124" t="s">
        <v>813</v>
      </c>
      <c r="K749" s="182" t="s">
        <v>398</v>
      </c>
      <c r="L749" s="182">
        <v>0</v>
      </c>
      <c r="M749" s="182">
        <v>4.46E-4</v>
      </c>
      <c r="N749" s="182">
        <v>4.46E-4</v>
      </c>
      <c r="O749" s="182">
        <v>4.46E-4</v>
      </c>
      <c r="P749" s="182">
        <v>4.46E-4</v>
      </c>
      <c r="R749" s="154" t="str">
        <f t="shared" si="39"/>
        <v>A0308:積水化学工業(株)メニューB</v>
      </c>
      <c r="S749" s="182">
        <f t="shared" si="40"/>
        <v>0</v>
      </c>
    </row>
    <row r="750" spans="9:19">
      <c r="I750" s="124" t="s">
        <v>812</v>
      </c>
      <c r="J750" s="124" t="s">
        <v>813</v>
      </c>
      <c r="K750" s="182" t="s">
        <v>2010</v>
      </c>
      <c r="L750" s="182">
        <v>0</v>
      </c>
      <c r="M750" s="182">
        <v>0</v>
      </c>
      <c r="N750" s="182">
        <v>0</v>
      </c>
      <c r="O750" s="182">
        <v>0</v>
      </c>
      <c r="P750" s="182">
        <v>0</v>
      </c>
      <c r="R750" s="154" t="str">
        <f t="shared" si="39"/>
        <v>A0308:積水化学工業(株)(参考値)事業者全体</v>
      </c>
      <c r="S750" s="182">
        <f t="shared" si="40"/>
        <v>0</v>
      </c>
    </row>
    <row r="751" spans="9:19">
      <c r="I751" s="124" t="s">
        <v>814</v>
      </c>
      <c r="J751" s="124" t="s">
        <v>815</v>
      </c>
      <c r="K751" s="182" t="s">
        <v>390</v>
      </c>
      <c r="L751" s="182">
        <v>0</v>
      </c>
      <c r="M751" s="182">
        <v>0</v>
      </c>
      <c r="N751" s="182">
        <v>0</v>
      </c>
      <c r="O751" s="182">
        <v>0</v>
      </c>
      <c r="P751" s="182">
        <v>0</v>
      </c>
      <c r="R751" s="154" t="str">
        <f t="shared" si="39"/>
        <v>A0310:全農エネルギー(株)メニューA</v>
      </c>
      <c r="S751" s="182">
        <f t="shared" si="40"/>
        <v>0</v>
      </c>
    </row>
    <row r="752" spans="9:19">
      <c r="I752" s="124" t="s">
        <v>814</v>
      </c>
      <c r="J752" s="124" t="s">
        <v>815</v>
      </c>
      <c r="K752" s="182" t="s">
        <v>398</v>
      </c>
      <c r="L752" s="182">
        <v>5.8399999999999999E-4</v>
      </c>
      <c r="M752" s="182">
        <v>0</v>
      </c>
      <c r="N752" s="182">
        <v>0</v>
      </c>
      <c r="O752" s="182">
        <v>0</v>
      </c>
      <c r="P752" s="182">
        <v>0</v>
      </c>
      <c r="R752" s="154" t="str">
        <f t="shared" si="39"/>
        <v>A0310:全農エネルギー(株)メニューB</v>
      </c>
      <c r="S752" s="182">
        <f t="shared" si="40"/>
        <v>5.8399999999999999E-4</v>
      </c>
    </row>
    <row r="753" spans="9:19">
      <c r="I753" s="124" t="s">
        <v>814</v>
      </c>
      <c r="J753" s="124" t="s">
        <v>815</v>
      </c>
      <c r="K753" s="182" t="s">
        <v>2010</v>
      </c>
      <c r="L753" s="182">
        <v>5.8299999999999997E-4</v>
      </c>
      <c r="M753" s="182">
        <v>0</v>
      </c>
      <c r="N753" s="182">
        <v>0</v>
      </c>
      <c r="O753" s="182">
        <v>0</v>
      </c>
      <c r="P753" s="182">
        <v>0</v>
      </c>
      <c r="R753" s="154" t="str">
        <f t="shared" si="39"/>
        <v>A0310:全農エネルギー(株)(参考値)事業者全体</v>
      </c>
      <c r="S753" s="182">
        <f t="shared" si="40"/>
        <v>5.8299999999999997E-4</v>
      </c>
    </row>
    <row r="754" spans="9:19">
      <c r="I754" s="124" t="s">
        <v>816</v>
      </c>
      <c r="J754" s="124" t="s">
        <v>817</v>
      </c>
      <c r="K754" s="182" t="s">
        <v>390</v>
      </c>
      <c r="L754" s="182">
        <v>0</v>
      </c>
      <c r="M754" s="182">
        <v>0</v>
      </c>
      <c r="N754" s="182">
        <v>0</v>
      </c>
      <c r="O754" s="182">
        <v>0</v>
      </c>
      <c r="P754" s="182">
        <v>0</v>
      </c>
      <c r="R754" s="154" t="str">
        <f t="shared" si="39"/>
        <v>A0311:(株)ハルエネメニューA</v>
      </c>
      <c r="S754" s="182">
        <f t="shared" si="40"/>
        <v>0</v>
      </c>
    </row>
    <row r="755" spans="9:19">
      <c r="I755" s="124" t="s">
        <v>816</v>
      </c>
      <c r="J755" s="124" t="s">
        <v>817</v>
      </c>
      <c r="K755" s="182" t="s">
        <v>398</v>
      </c>
      <c r="L755" s="182">
        <v>0</v>
      </c>
      <c r="M755" s="182">
        <v>0</v>
      </c>
      <c r="N755" s="182">
        <v>0</v>
      </c>
      <c r="O755" s="182">
        <v>0</v>
      </c>
      <c r="P755" s="182">
        <v>0</v>
      </c>
      <c r="R755" s="154" t="str">
        <f t="shared" si="39"/>
        <v>A0311:(株)ハルエネメニューB</v>
      </c>
      <c r="S755" s="182">
        <f t="shared" si="40"/>
        <v>0</v>
      </c>
    </row>
    <row r="756" spans="9:19">
      <c r="I756" s="124" t="s">
        <v>816</v>
      </c>
      <c r="J756" s="124" t="s">
        <v>817</v>
      </c>
      <c r="K756" s="182" t="s">
        <v>399</v>
      </c>
      <c r="L756" s="182">
        <v>3.1799999999999998E-4</v>
      </c>
      <c r="M756" s="182">
        <v>5.8799999999999998E-4</v>
      </c>
      <c r="N756" s="182">
        <v>5.8799999999999998E-4</v>
      </c>
      <c r="O756" s="182">
        <v>5.8799999999999998E-4</v>
      </c>
      <c r="P756" s="182">
        <v>5.8799999999999998E-4</v>
      </c>
      <c r="R756" s="154" t="str">
        <f t="shared" si="39"/>
        <v>A0311:(株)ハルエネメニューC</v>
      </c>
      <c r="S756" s="182">
        <f t="shared" si="40"/>
        <v>3.1799999999999998E-4</v>
      </c>
    </row>
    <row r="757" spans="9:19">
      <c r="I757" s="124" t="s">
        <v>816</v>
      </c>
      <c r="J757" s="124" t="s">
        <v>817</v>
      </c>
      <c r="K757" s="182" t="s">
        <v>2010</v>
      </c>
      <c r="L757" s="182">
        <v>3.1800000000000003E-4</v>
      </c>
      <c r="M757" s="182">
        <v>5.8500000000000002E-4</v>
      </c>
      <c r="N757" s="182">
        <v>5.8500000000000002E-4</v>
      </c>
      <c r="O757" s="182">
        <v>5.8500000000000002E-4</v>
      </c>
      <c r="P757" s="182">
        <v>5.8500000000000002E-4</v>
      </c>
      <c r="R757" s="154" t="str">
        <f t="shared" si="39"/>
        <v>A0311:(株)ハルエネ(参考値)事業者全体</v>
      </c>
      <c r="S757" s="182">
        <f t="shared" si="40"/>
        <v>3.1800000000000003E-4</v>
      </c>
    </row>
    <row r="758" spans="9:19">
      <c r="I758" s="124" t="s">
        <v>818</v>
      </c>
      <c r="J758" s="124" t="s">
        <v>819</v>
      </c>
      <c r="K758" s="182"/>
      <c r="L758" s="182">
        <v>3.6200000000000002E-4</v>
      </c>
      <c r="M758" s="182">
        <v>5.8399999999999999E-4</v>
      </c>
      <c r="N758" s="182">
        <v>5.8399999999999999E-4</v>
      </c>
      <c r="O758" s="182">
        <v>5.8399999999999999E-4</v>
      </c>
      <c r="P758" s="182">
        <v>5.8399999999999999E-4</v>
      </c>
      <c r="R758" s="154" t="str">
        <f t="shared" si="39"/>
        <v>A0313:(株)リケン工業</v>
      </c>
      <c r="S758" s="182">
        <f t="shared" si="40"/>
        <v>3.6200000000000002E-4</v>
      </c>
    </row>
    <row r="759" spans="9:19">
      <c r="I759" s="124" t="s">
        <v>820</v>
      </c>
      <c r="J759" s="124" t="s">
        <v>821</v>
      </c>
      <c r="K759" s="182"/>
      <c r="L759" s="182">
        <v>4.4099999999999999E-4</v>
      </c>
      <c r="M759" s="182">
        <v>5.8E-4</v>
      </c>
      <c r="N759" s="182">
        <v>5.8E-4</v>
      </c>
      <c r="O759" s="182">
        <v>5.8E-4</v>
      </c>
      <c r="P759" s="182">
        <v>5.8E-4</v>
      </c>
      <c r="R759" s="154" t="str">
        <f t="shared" si="39"/>
        <v>A0314:(株)ビビット</v>
      </c>
      <c r="S759" s="182">
        <f t="shared" si="40"/>
        <v>4.4099999999999999E-4</v>
      </c>
    </row>
    <row r="760" spans="9:19">
      <c r="I760" s="124" t="s">
        <v>822</v>
      </c>
      <c r="J760" s="124" t="s">
        <v>823</v>
      </c>
      <c r="K760" s="182"/>
      <c r="L760" s="182">
        <v>3.4099999999999999E-4</v>
      </c>
      <c r="M760" s="182">
        <v>0</v>
      </c>
      <c r="N760" s="182">
        <v>0</v>
      </c>
      <c r="O760" s="182">
        <v>0</v>
      </c>
      <c r="P760" s="182">
        <v>0</v>
      </c>
      <c r="R760" s="154" t="str">
        <f t="shared" si="39"/>
        <v>A0315:(株)おおた電力</v>
      </c>
      <c r="S760" s="182">
        <f t="shared" si="40"/>
        <v>3.4099999999999999E-4</v>
      </c>
    </row>
    <row r="761" spans="9:19">
      <c r="I761" s="124" t="s">
        <v>824</v>
      </c>
      <c r="J761" s="124" t="s">
        <v>825</v>
      </c>
      <c r="K761" s="182"/>
      <c r="L761" s="182">
        <v>5.9500000000000004E-4</v>
      </c>
      <c r="M761" s="182">
        <v>5.8399999999999999E-4</v>
      </c>
      <c r="N761" s="182">
        <v>5.8399999999999999E-4</v>
      </c>
      <c r="O761" s="182">
        <v>5.8399999999999999E-4</v>
      </c>
      <c r="P761" s="182">
        <v>5.8399999999999999E-4</v>
      </c>
      <c r="R761" s="154" t="str">
        <f t="shared" si="39"/>
        <v>A0317:伊藤忠プランテック(株)</v>
      </c>
      <c r="S761" s="182">
        <f t="shared" si="40"/>
        <v>5.9500000000000004E-4</v>
      </c>
    </row>
    <row r="762" spans="9:19">
      <c r="I762" s="124" t="s">
        <v>826</v>
      </c>
      <c r="J762" s="124" t="s">
        <v>827</v>
      </c>
      <c r="K762" s="182"/>
      <c r="L762" s="182">
        <v>6.2E-4</v>
      </c>
      <c r="M762" s="182">
        <v>0</v>
      </c>
      <c r="N762" s="182">
        <v>0</v>
      </c>
      <c r="O762" s="182">
        <v>0</v>
      </c>
      <c r="P762" s="182">
        <v>0</v>
      </c>
      <c r="R762" s="154" t="str">
        <f t="shared" si="39"/>
        <v>A0318:(株)オカモト</v>
      </c>
      <c r="S762" s="182">
        <f t="shared" si="40"/>
        <v>6.2E-4</v>
      </c>
    </row>
    <row r="763" spans="9:19">
      <c r="I763" s="124" t="s">
        <v>828</v>
      </c>
      <c r="J763" s="124" t="s">
        <v>829</v>
      </c>
      <c r="K763" s="182"/>
      <c r="L763" s="182">
        <v>4.2700000000000002E-4</v>
      </c>
      <c r="M763" s="182">
        <v>4.3199999999999998E-4</v>
      </c>
      <c r="N763" s="182">
        <v>4.3199999999999998E-4</v>
      </c>
      <c r="O763" s="182">
        <v>4.3199999999999998E-4</v>
      </c>
      <c r="P763" s="182">
        <v>4.3199999999999998E-4</v>
      </c>
      <c r="R763" s="154" t="str">
        <f t="shared" si="39"/>
        <v>A0323:キタコー(株)</v>
      </c>
      <c r="S763" s="182">
        <f t="shared" si="40"/>
        <v>4.2700000000000002E-4</v>
      </c>
    </row>
    <row r="764" spans="9:19">
      <c r="I764" s="124" t="s">
        <v>830</v>
      </c>
      <c r="J764" s="124" t="s">
        <v>831</v>
      </c>
      <c r="K764" s="182" t="s">
        <v>390</v>
      </c>
      <c r="L764" s="182">
        <v>0</v>
      </c>
      <c r="M764" s="182">
        <v>2.2499999999999999E-4</v>
      </c>
      <c r="N764" s="182">
        <v>2.2499999999999999E-4</v>
      </c>
      <c r="O764" s="182">
        <v>2.2499999999999999E-4</v>
      </c>
      <c r="P764" s="182">
        <v>2.2499999999999999E-4</v>
      </c>
      <c r="R764" s="154" t="str">
        <f t="shared" si="39"/>
        <v>A0324:生活協同組合コープしがメニューA</v>
      </c>
      <c r="S764" s="182">
        <f t="shared" si="40"/>
        <v>0</v>
      </c>
    </row>
    <row r="765" spans="9:19">
      <c r="I765" s="124" t="s">
        <v>830</v>
      </c>
      <c r="J765" s="124" t="s">
        <v>831</v>
      </c>
      <c r="K765" s="182" t="s">
        <v>398</v>
      </c>
      <c r="L765" s="182">
        <v>3.1500000000000001E-4</v>
      </c>
      <c r="M765" s="182">
        <v>2.2499999999999999E-4</v>
      </c>
      <c r="N765" s="182">
        <v>2.2499999999999999E-4</v>
      </c>
      <c r="O765" s="182">
        <v>2.2499999999999999E-4</v>
      </c>
      <c r="P765" s="182">
        <v>2.2499999999999999E-4</v>
      </c>
      <c r="R765" s="154" t="str">
        <f t="shared" si="39"/>
        <v>A0324:生活協同組合コープしがメニューB</v>
      </c>
      <c r="S765" s="182">
        <f t="shared" si="40"/>
        <v>3.1500000000000001E-4</v>
      </c>
    </row>
    <row r="766" spans="9:19">
      <c r="I766" s="124" t="s">
        <v>830</v>
      </c>
      <c r="J766" s="124" t="s">
        <v>831</v>
      </c>
      <c r="K766" s="182" t="s">
        <v>2010</v>
      </c>
      <c r="L766" s="182">
        <v>3.1399999999999999E-4</v>
      </c>
      <c r="M766" s="182">
        <v>2.2499999999999999E-4</v>
      </c>
      <c r="N766" s="182">
        <v>2.2499999999999999E-4</v>
      </c>
      <c r="O766" s="182">
        <v>2.2499999999999999E-4</v>
      </c>
      <c r="P766" s="182">
        <v>2.2499999999999999E-4</v>
      </c>
      <c r="R766" s="154" t="str">
        <f t="shared" si="39"/>
        <v>A0324:生活協同組合コープしが(参考値)事業者全体</v>
      </c>
      <c r="S766" s="182">
        <f t="shared" si="40"/>
        <v>3.1399999999999999E-4</v>
      </c>
    </row>
    <row r="767" spans="9:19">
      <c r="I767" s="124" t="s">
        <v>832</v>
      </c>
      <c r="J767" s="124" t="s">
        <v>1699</v>
      </c>
      <c r="K767" s="182" t="s">
        <v>390</v>
      </c>
      <c r="L767" s="182">
        <v>0</v>
      </c>
      <c r="M767" s="182">
        <v>5.0799999999999999E-4</v>
      </c>
      <c r="N767" s="182">
        <v>5.0799999999999999E-4</v>
      </c>
      <c r="O767" s="182">
        <v>5.0799999999999999E-4</v>
      </c>
      <c r="P767" s="182">
        <v>5.0799999999999999E-4</v>
      </c>
      <c r="R767" s="154" t="str">
        <f t="shared" si="39"/>
        <v>A0330:香川電力(株)　メニューA</v>
      </c>
      <c r="S767" s="182">
        <f t="shared" si="40"/>
        <v>0</v>
      </c>
    </row>
    <row r="768" spans="9:19">
      <c r="I768" s="124" t="s">
        <v>832</v>
      </c>
      <c r="J768" s="124" t="s">
        <v>1699</v>
      </c>
      <c r="K768" s="182" t="s">
        <v>398</v>
      </c>
      <c r="L768" s="182">
        <v>1.84E-4</v>
      </c>
      <c r="M768" s="182">
        <v>4.2400000000000001E-4</v>
      </c>
      <c r="N768" s="182">
        <v>4.2400000000000001E-4</v>
      </c>
      <c r="O768" s="182">
        <v>4.2400000000000001E-4</v>
      </c>
      <c r="P768" s="182">
        <v>4.2400000000000001E-4</v>
      </c>
      <c r="R768" s="154" t="str">
        <f t="shared" si="39"/>
        <v>A0330:香川電力(株)　メニューB</v>
      </c>
      <c r="S768" s="182">
        <f t="shared" si="40"/>
        <v>1.84E-4</v>
      </c>
    </row>
    <row r="769" spans="9:19">
      <c r="I769" s="124" t="s">
        <v>832</v>
      </c>
      <c r="J769" s="124" t="s">
        <v>1699</v>
      </c>
      <c r="K769" s="182" t="s">
        <v>399</v>
      </c>
      <c r="L769" s="182">
        <v>3.1199999999999999E-4</v>
      </c>
      <c r="M769" s="182">
        <v>5.2499999999999997E-4</v>
      </c>
      <c r="N769" s="182">
        <v>5.2499999999999997E-4</v>
      </c>
      <c r="O769" s="182">
        <v>5.2499999999999997E-4</v>
      </c>
      <c r="P769" s="182">
        <v>5.2499999999999997E-4</v>
      </c>
      <c r="R769" s="154" t="str">
        <f t="shared" si="39"/>
        <v>A0330:香川電力(株)　メニューC</v>
      </c>
      <c r="S769" s="182">
        <f t="shared" si="40"/>
        <v>3.1199999999999999E-4</v>
      </c>
    </row>
    <row r="770" spans="9:19">
      <c r="I770" s="124" t="s">
        <v>832</v>
      </c>
      <c r="J770" s="124" t="s">
        <v>1699</v>
      </c>
      <c r="K770" s="182" t="s">
        <v>400</v>
      </c>
      <c r="L770" s="182">
        <v>5.6099999999999998E-4</v>
      </c>
      <c r="M770" s="182">
        <v>0</v>
      </c>
      <c r="N770" s="182">
        <v>0</v>
      </c>
      <c r="O770" s="182">
        <v>0</v>
      </c>
      <c r="P770" s="182">
        <v>0</v>
      </c>
      <c r="R770" s="154" t="str">
        <f t="shared" si="39"/>
        <v>A0330:香川電力(株)　メニューD</v>
      </c>
      <c r="S770" s="182">
        <f t="shared" si="40"/>
        <v>5.6099999999999998E-4</v>
      </c>
    </row>
    <row r="771" spans="9:19">
      <c r="I771" s="124" t="s">
        <v>832</v>
      </c>
      <c r="J771" s="124" t="s">
        <v>1699</v>
      </c>
      <c r="K771" s="182" t="s">
        <v>2010</v>
      </c>
      <c r="L771" s="182">
        <v>5.5999999999999995E-4</v>
      </c>
      <c r="M771" s="182">
        <v>3.9800000000000002E-4</v>
      </c>
      <c r="N771" s="182">
        <v>3.9800000000000002E-4</v>
      </c>
      <c r="O771" s="182">
        <v>3.9800000000000002E-4</v>
      </c>
      <c r="P771" s="182">
        <v>3.9800000000000002E-4</v>
      </c>
      <c r="R771" s="154" t="str">
        <f t="shared" si="39"/>
        <v>A0330:香川電力(株)　(参考値)事業者全体</v>
      </c>
      <c r="S771" s="182">
        <f t="shared" si="40"/>
        <v>5.5999999999999995E-4</v>
      </c>
    </row>
    <row r="772" spans="9:19">
      <c r="I772" s="124" t="s">
        <v>833</v>
      </c>
      <c r="J772" s="124" t="s">
        <v>834</v>
      </c>
      <c r="K772" s="182" t="s">
        <v>390</v>
      </c>
      <c r="L772" s="182">
        <v>0</v>
      </c>
      <c r="M772" s="182">
        <v>5.0500000000000002E-4</v>
      </c>
      <c r="N772" s="182">
        <v>5.0500000000000002E-4</v>
      </c>
      <c r="O772" s="182">
        <v>5.0500000000000002E-4</v>
      </c>
      <c r="P772" s="182">
        <v>5.0500000000000002E-4</v>
      </c>
      <c r="R772" s="154" t="str">
        <f t="shared" si="39"/>
        <v>A0332:(株)PinTメニューA</v>
      </c>
      <c r="S772" s="182">
        <f t="shared" si="40"/>
        <v>0</v>
      </c>
    </row>
    <row r="773" spans="9:19">
      <c r="I773" s="124" t="s">
        <v>833</v>
      </c>
      <c r="J773" s="124" t="s">
        <v>834</v>
      </c>
      <c r="K773" s="182" t="s">
        <v>398</v>
      </c>
      <c r="L773" s="182">
        <v>0</v>
      </c>
      <c r="M773" s="182">
        <v>3.4099999999999999E-4</v>
      </c>
      <c r="N773" s="182">
        <v>3.4099999999999999E-4</v>
      </c>
      <c r="O773" s="182">
        <v>3.4099999999999999E-4</v>
      </c>
      <c r="P773" s="182">
        <v>3.4099999999999999E-4</v>
      </c>
      <c r="R773" s="154" t="str">
        <f t="shared" si="39"/>
        <v>A0332:(株)PinTメニューB</v>
      </c>
      <c r="S773" s="182">
        <f t="shared" si="40"/>
        <v>0</v>
      </c>
    </row>
    <row r="774" spans="9:19">
      <c r="I774" s="124" t="s">
        <v>833</v>
      </c>
      <c r="J774" s="124" t="s">
        <v>834</v>
      </c>
      <c r="K774" s="182" t="s">
        <v>399</v>
      </c>
      <c r="L774" s="182">
        <v>3.6900000000000002E-4</v>
      </c>
      <c r="M774" s="182">
        <v>0</v>
      </c>
      <c r="N774" s="182">
        <v>0</v>
      </c>
      <c r="O774" s="182">
        <v>0</v>
      </c>
      <c r="P774" s="182">
        <v>0</v>
      </c>
      <c r="R774" s="154" t="str">
        <f t="shared" si="39"/>
        <v>A0332:(株)PinTメニューC</v>
      </c>
      <c r="S774" s="182">
        <f t="shared" si="40"/>
        <v>3.6900000000000002E-4</v>
      </c>
    </row>
    <row r="775" spans="9:19">
      <c r="I775" s="124" t="s">
        <v>833</v>
      </c>
      <c r="J775" s="124" t="s">
        <v>834</v>
      </c>
      <c r="K775" s="182" t="s">
        <v>2010</v>
      </c>
      <c r="L775" s="182">
        <v>3.6699999999999998E-4</v>
      </c>
      <c r="M775" s="182">
        <v>1.6700000000000002E-4</v>
      </c>
      <c r="N775" s="182">
        <v>1.6700000000000002E-4</v>
      </c>
      <c r="O775" s="182">
        <v>1.6700000000000002E-4</v>
      </c>
      <c r="P775" s="182">
        <v>1.6700000000000002E-4</v>
      </c>
      <c r="R775" s="154" t="str">
        <f t="shared" si="39"/>
        <v>A0332:(株)PinT(参考値)事業者全体</v>
      </c>
      <c r="S775" s="182">
        <f t="shared" si="40"/>
        <v>3.6699999999999998E-4</v>
      </c>
    </row>
    <row r="776" spans="9:19">
      <c r="I776" s="124" t="s">
        <v>835</v>
      </c>
      <c r="J776" s="124" t="s">
        <v>836</v>
      </c>
      <c r="K776" s="182" t="s">
        <v>390</v>
      </c>
      <c r="L776" s="182">
        <v>0</v>
      </c>
      <c r="M776" s="182">
        <v>2.1000000000000001E-4</v>
      </c>
      <c r="N776" s="182">
        <v>2.1000000000000001E-4</v>
      </c>
      <c r="O776" s="182">
        <v>2.1000000000000001E-4</v>
      </c>
      <c r="P776" s="182">
        <v>2.1000000000000001E-4</v>
      </c>
      <c r="R776" s="154" t="str">
        <f t="shared" si="39"/>
        <v>A0336:(株)沖縄ガスニューパワーメニューA</v>
      </c>
      <c r="S776" s="182">
        <f t="shared" si="40"/>
        <v>0</v>
      </c>
    </row>
    <row r="777" spans="9:19">
      <c r="I777" s="124" t="s">
        <v>835</v>
      </c>
      <c r="J777" s="124" t="s">
        <v>836</v>
      </c>
      <c r="K777" s="182" t="s">
        <v>398</v>
      </c>
      <c r="L777" s="182">
        <v>4.5199999999999998E-4</v>
      </c>
      <c r="M777" s="182">
        <v>2.7400000000000005E-4</v>
      </c>
      <c r="N777" s="182">
        <v>2.7400000000000005E-4</v>
      </c>
      <c r="O777" s="182">
        <v>2.7400000000000005E-4</v>
      </c>
      <c r="P777" s="182">
        <v>2.7400000000000005E-4</v>
      </c>
      <c r="R777" s="154" t="str">
        <f t="shared" si="39"/>
        <v>A0336:(株)沖縄ガスニューパワーメニューB</v>
      </c>
      <c r="S777" s="182">
        <f t="shared" si="40"/>
        <v>4.5199999999999998E-4</v>
      </c>
    </row>
    <row r="778" spans="9:19">
      <c r="I778" s="124" t="s">
        <v>835</v>
      </c>
      <c r="J778" s="124" t="s">
        <v>836</v>
      </c>
      <c r="K778" s="182" t="s">
        <v>2010</v>
      </c>
      <c r="L778" s="182">
        <v>4.3800000000000002E-4</v>
      </c>
      <c r="M778" s="182">
        <v>2.9500000000000001E-4</v>
      </c>
      <c r="N778" s="182">
        <v>2.9500000000000001E-4</v>
      </c>
      <c r="O778" s="182">
        <v>2.9500000000000001E-4</v>
      </c>
      <c r="P778" s="182">
        <v>2.9500000000000001E-4</v>
      </c>
      <c r="R778" s="154" t="str">
        <f t="shared" ref="R778:R841" si="41">I778&amp;":"&amp;J778&amp;K778</f>
        <v>A0336:(株)沖縄ガスニューパワー(参考値)事業者全体</v>
      </c>
      <c r="S778" s="182">
        <f t="shared" ref="S778:S841" si="42">HLOOKUP($S$8,$L$8:$P$1500,ROW()-7,FALSE)</f>
        <v>4.3800000000000002E-4</v>
      </c>
    </row>
    <row r="779" spans="9:19">
      <c r="I779" s="124" t="s">
        <v>837</v>
      </c>
      <c r="J779" s="124" t="s">
        <v>838</v>
      </c>
      <c r="K779" s="182"/>
      <c r="L779" s="182">
        <v>3.4099999999999999E-4</v>
      </c>
      <c r="M779" s="182">
        <v>3.8000000000000002E-4</v>
      </c>
      <c r="N779" s="182">
        <v>3.8000000000000002E-4</v>
      </c>
      <c r="O779" s="182">
        <v>3.8000000000000002E-4</v>
      </c>
      <c r="P779" s="182">
        <v>3.8000000000000002E-4</v>
      </c>
      <c r="R779" s="154" t="str">
        <f t="shared" si="41"/>
        <v>A0337:諏訪瓦斯(株)</v>
      </c>
      <c r="S779" s="182">
        <f t="shared" si="42"/>
        <v>3.4099999999999999E-4</v>
      </c>
    </row>
    <row r="780" spans="9:19">
      <c r="I780" s="124" t="s">
        <v>839</v>
      </c>
      <c r="J780" s="124" t="s">
        <v>840</v>
      </c>
      <c r="K780" s="182"/>
      <c r="L780" s="182">
        <v>6.0999999999999997E-4</v>
      </c>
      <c r="M780" s="182">
        <v>5.0699999999999996E-4</v>
      </c>
      <c r="N780" s="182">
        <v>5.0699999999999996E-4</v>
      </c>
      <c r="O780" s="182">
        <v>5.0699999999999996E-4</v>
      </c>
      <c r="P780" s="182">
        <v>5.0699999999999996E-4</v>
      </c>
      <c r="R780" s="154" t="str">
        <f t="shared" si="41"/>
        <v>A0338:エッセンシャルエナジー(株)</v>
      </c>
      <c r="S780" s="182">
        <f t="shared" si="42"/>
        <v>6.0999999999999997E-4</v>
      </c>
    </row>
    <row r="781" spans="9:19">
      <c r="I781" s="124" t="s">
        <v>841</v>
      </c>
      <c r="J781" s="124" t="s">
        <v>842</v>
      </c>
      <c r="K781" s="182"/>
      <c r="L781" s="182">
        <v>5.53E-4</v>
      </c>
      <c r="M781" s="182">
        <v>3.4099999999999999E-4</v>
      </c>
      <c r="N781" s="182">
        <v>3.4099999999999999E-4</v>
      </c>
      <c r="O781" s="182">
        <v>3.4099999999999999E-4</v>
      </c>
      <c r="P781" s="182">
        <v>3.4099999999999999E-4</v>
      </c>
      <c r="R781" s="154" t="str">
        <f t="shared" si="41"/>
        <v>A0342:(株)いちき串木野電力</v>
      </c>
      <c r="S781" s="182">
        <f t="shared" si="42"/>
        <v>5.53E-4</v>
      </c>
    </row>
    <row r="782" spans="9:19">
      <c r="I782" s="124" t="s">
        <v>843</v>
      </c>
      <c r="J782" s="124" t="s">
        <v>844</v>
      </c>
      <c r="K782" s="182"/>
      <c r="L782" s="182">
        <v>2.32E-4</v>
      </c>
      <c r="M782" s="182">
        <v>1E-4</v>
      </c>
      <c r="N782" s="182">
        <v>1E-4</v>
      </c>
      <c r="O782" s="182">
        <v>1E-4</v>
      </c>
      <c r="P782" s="182">
        <v>1E-4</v>
      </c>
      <c r="R782" s="154" t="str">
        <f t="shared" si="41"/>
        <v>A0343:(株)クローバー・テクノロジーズ</v>
      </c>
      <c r="S782" s="182">
        <f t="shared" si="42"/>
        <v>2.32E-4</v>
      </c>
    </row>
    <row r="783" spans="9:19">
      <c r="I783" s="124" t="s">
        <v>847</v>
      </c>
      <c r="J783" s="124" t="s">
        <v>848</v>
      </c>
      <c r="K783" s="182" t="s">
        <v>390</v>
      </c>
      <c r="L783" s="182">
        <v>0</v>
      </c>
      <c r="M783" s="182">
        <v>0</v>
      </c>
      <c r="N783" s="182">
        <v>0</v>
      </c>
      <c r="O783" s="182">
        <v>0</v>
      </c>
      <c r="P783" s="182">
        <v>0</v>
      </c>
      <c r="R783" s="154" t="str">
        <f t="shared" si="41"/>
        <v>A0345:松本ガス(株)メニューA</v>
      </c>
      <c r="S783" s="182">
        <f t="shared" si="42"/>
        <v>0</v>
      </c>
    </row>
    <row r="784" spans="9:19">
      <c r="I784" s="124" t="s">
        <v>847</v>
      </c>
      <c r="J784" s="124" t="s">
        <v>848</v>
      </c>
      <c r="K784" s="182" t="s">
        <v>398</v>
      </c>
      <c r="L784" s="182">
        <v>3.3100000000000002E-4</v>
      </c>
      <c r="M784" s="182">
        <v>2.1100000000000001E-4</v>
      </c>
      <c r="N784" s="182">
        <v>2.1100000000000001E-4</v>
      </c>
      <c r="O784" s="182">
        <v>2.1100000000000001E-4</v>
      </c>
      <c r="P784" s="182">
        <v>2.1100000000000001E-4</v>
      </c>
      <c r="R784" s="154" t="str">
        <f t="shared" si="41"/>
        <v>A0345:松本ガス(株)メニューB</v>
      </c>
      <c r="S784" s="182">
        <f t="shared" si="42"/>
        <v>3.3100000000000002E-4</v>
      </c>
    </row>
    <row r="785" spans="9:19">
      <c r="I785" s="124" t="s">
        <v>847</v>
      </c>
      <c r="J785" s="124" t="s">
        <v>848</v>
      </c>
      <c r="K785" s="182" t="s">
        <v>2010</v>
      </c>
      <c r="L785" s="182">
        <v>2.8200000000000002E-4</v>
      </c>
      <c r="M785" s="182">
        <v>3.4099999999999999E-4</v>
      </c>
      <c r="N785" s="182">
        <v>3.4099999999999999E-4</v>
      </c>
      <c r="O785" s="182">
        <v>3.4099999999999999E-4</v>
      </c>
      <c r="P785" s="182">
        <v>3.4099999999999999E-4</v>
      </c>
      <c r="R785" s="154" t="str">
        <f t="shared" si="41"/>
        <v>A0345:松本ガス(株)(参考値)事業者全体</v>
      </c>
      <c r="S785" s="182">
        <f t="shared" si="42"/>
        <v>2.8200000000000002E-4</v>
      </c>
    </row>
    <row r="786" spans="9:19">
      <c r="I786" s="124" t="s">
        <v>849</v>
      </c>
      <c r="J786" s="124" t="s">
        <v>850</v>
      </c>
      <c r="K786" s="182"/>
      <c r="L786" s="182">
        <v>4.9299999999999995E-4</v>
      </c>
      <c r="M786" s="182">
        <v>0</v>
      </c>
      <c r="N786" s="182">
        <v>0</v>
      </c>
      <c r="O786" s="182">
        <v>0</v>
      </c>
      <c r="P786" s="182">
        <v>0</v>
      </c>
      <c r="R786" s="154" t="str">
        <f t="shared" si="41"/>
        <v>A0348:南部だんだんエナジー(株)</v>
      </c>
      <c r="S786" s="182">
        <f t="shared" si="42"/>
        <v>4.9299999999999995E-4</v>
      </c>
    </row>
    <row r="787" spans="9:19">
      <c r="I787" s="124" t="s">
        <v>851</v>
      </c>
      <c r="J787" s="124" t="s">
        <v>852</v>
      </c>
      <c r="K787" s="182"/>
      <c r="L787" s="182">
        <v>5.3399999999999997E-4</v>
      </c>
      <c r="M787" s="182">
        <v>8.7000000000000001E-5</v>
      </c>
      <c r="N787" s="182">
        <v>8.7000000000000001E-5</v>
      </c>
      <c r="O787" s="182">
        <v>8.7000000000000001E-5</v>
      </c>
      <c r="P787" s="182">
        <v>8.7000000000000001E-5</v>
      </c>
      <c r="R787" s="154" t="str">
        <f t="shared" si="41"/>
        <v>A0349:(株)エフエネ</v>
      </c>
      <c r="S787" s="182">
        <f t="shared" si="42"/>
        <v>5.3399999999999997E-4</v>
      </c>
    </row>
    <row r="788" spans="9:19">
      <c r="I788" s="124" t="s">
        <v>853</v>
      </c>
      <c r="J788" s="124" t="s">
        <v>854</v>
      </c>
      <c r="K788" s="182"/>
      <c r="L788" s="182">
        <v>4.37E-4</v>
      </c>
      <c r="M788" s="182">
        <v>1.76E-4</v>
      </c>
      <c r="N788" s="182">
        <v>1.76E-4</v>
      </c>
      <c r="O788" s="182">
        <v>1.76E-4</v>
      </c>
      <c r="P788" s="182">
        <v>1.76E-4</v>
      </c>
      <c r="R788" s="154" t="str">
        <f t="shared" si="41"/>
        <v>A0350:こなんウルトラパワー(株)</v>
      </c>
      <c r="S788" s="182">
        <f t="shared" si="42"/>
        <v>4.37E-4</v>
      </c>
    </row>
    <row r="789" spans="9:19">
      <c r="I789" s="124" t="s">
        <v>855</v>
      </c>
      <c r="J789" s="124" t="s">
        <v>856</v>
      </c>
      <c r="K789" s="182"/>
      <c r="L789" s="182">
        <v>3.4400000000000001E-4</v>
      </c>
      <c r="M789" s="182">
        <v>4.7699999999999999E-4</v>
      </c>
      <c r="N789" s="182">
        <v>4.7699999999999999E-4</v>
      </c>
      <c r="O789" s="182">
        <v>4.7699999999999999E-4</v>
      </c>
      <c r="P789" s="182">
        <v>4.7699999999999999E-4</v>
      </c>
      <c r="R789" s="154" t="str">
        <f t="shared" si="41"/>
        <v>A0351:(株)CHIBAむつざわエナジー</v>
      </c>
      <c r="S789" s="182">
        <f t="shared" si="42"/>
        <v>3.4400000000000001E-4</v>
      </c>
    </row>
    <row r="790" spans="9:19">
      <c r="I790" s="124" t="s">
        <v>857</v>
      </c>
      <c r="J790" s="124" t="s">
        <v>858</v>
      </c>
      <c r="K790" s="182"/>
      <c r="L790" s="182">
        <v>5.13E-4</v>
      </c>
      <c r="M790" s="182">
        <v>0</v>
      </c>
      <c r="N790" s="182">
        <v>0</v>
      </c>
      <c r="O790" s="182">
        <v>0</v>
      </c>
      <c r="P790" s="182">
        <v>0</v>
      </c>
      <c r="R790" s="154" t="str">
        <f t="shared" si="41"/>
        <v>A0352:(株)関西空調　</v>
      </c>
      <c r="S790" s="182">
        <f t="shared" si="42"/>
        <v>5.13E-4</v>
      </c>
    </row>
    <row r="791" spans="9:19">
      <c r="I791" s="124" t="s">
        <v>859</v>
      </c>
      <c r="J791" s="124" t="s">
        <v>860</v>
      </c>
      <c r="K791" s="182"/>
      <c r="L791" s="182">
        <v>4.86E-4</v>
      </c>
      <c r="M791" s="182">
        <v>2.99E-4</v>
      </c>
      <c r="N791" s="182">
        <v>2.99E-4</v>
      </c>
      <c r="O791" s="182">
        <v>2.99E-4</v>
      </c>
      <c r="P791" s="182">
        <v>2.99E-4</v>
      </c>
      <c r="R791" s="154" t="str">
        <f t="shared" si="41"/>
        <v>A0353:奥出雲電力(株)</v>
      </c>
      <c r="S791" s="182">
        <f t="shared" si="42"/>
        <v>4.86E-4</v>
      </c>
    </row>
    <row r="792" spans="9:19">
      <c r="I792" s="124" t="s">
        <v>861</v>
      </c>
      <c r="J792" s="124" t="s">
        <v>862</v>
      </c>
      <c r="K792" s="182" t="s">
        <v>390</v>
      </c>
      <c r="L792" s="182">
        <v>0</v>
      </c>
      <c r="M792" s="182">
        <v>3.1199999999999999E-4</v>
      </c>
      <c r="N792" s="182">
        <v>3.1199999999999999E-4</v>
      </c>
      <c r="O792" s="182">
        <v>3.1199999999999999E-4</v>
      </c>
      <c r="P792" s="182">
        <v>3.1199999999999999E-4</v>
      </c>
      <c r="R792" s="154" t="str">
        <f t="shared" si="41"/>
        <v>A0355:レジル(株)(旧:中央電力(株))メニューA</v>
      </c>
      <c r="S792" s="182">
        <f t="shared" si="42"/>
        <v>0</v>
      </c>
    </row>
    <row r="793" spans="9:19">
      <c r="I793" s="124" t="s">
        <v>861</v>
      </c>
      <c r="J793" s="124" t="s">
        <v>862</v>
      </c>
      <c r="K793" s="182" t="s">
        <v>398</v>
      </c>
      <c r="L793" s="182">
        <v>0</v>
      </c>
      <c r="M793" s="182">
        <v>4.35E-4</v>
      </c>
      <c r="N793" s="182">
        <v>4.35E-4</v>
      </c>
      <c r="O793" s="182">
        <v>4.35E-4</v>
      </c>
      <c r="P793" s="182">
        <v>4.35E-4</v>
      </c>
      <c r="R793" s="154" t="str">
        <f t="shared" si="41"/>
        <v>A0355:レジル(株)(旧:中央電力(株))メニューB</v>
      </c>
      <c r="S793" s="182">
        <f t="shared" si="42"/>
        <v>0</v>
      </c>
    </row>
    <row r="794" spans="9:19">
      <c r="I794" s="124" t="s">
        <v>861</v>
      </c>
      <c r="J794" s="124" t="s">
        <v>862</v>
      </c>
      <c r="K794" s="182" t="s">
        <v>399</v>
      </c>
      <c r="L794" s="182">
        <v>0</v>
      </c>
      <c r="M794" s="182">
        <v>6.0599999999999998E-4</v>
      </c>
      <c r="N794" s="182">
        <v>6.0599999999999998E-4</v>
      </c>
      <c r="O794" s="182">
        <v>6.0599999999999998E-4</v>
      </c>
      <c r="P794" s="182">
        <v>6.0599999999999998E-4</v>
      </c>
      <c r="R794" s="154" t="str">
        <f t="shared" si="41"/>
        <v>A0355:レジル(株)(旧:中央電力(株))メニューC</v>
      </c>
      <c r="S794" s="182">
        <f t="shared" si="42"/>
        <v>0</v>
      </c>
    </row>
    <row r="795" spans="9:19">
      <c r="I795" s="124" t="s">
        <v>861</v>
      </c>
      <c r="J795" s="124" t="s">
        <v>862</v>
      </c>
      <c r="K795" s="182" t="s">
        <v>400</v>
      </c>
      <c r="L795" s="182">
        <v>4.3899999999999999E-4</v>
      </c>
      <c r="M795" s="182">
        <v>4.17E-4</v>
      </c>
      <c r="N795" s="182">
        <v>4.17E-4</v>
      </c>
      <c r="O795" s="182">
        <v>4.17E-4</v>
      </c>
      <c r="P795" s="182">
        <v>4.17E-4</v>
      </c>
      <c r="R795" s="154" t="str">
        <f t="shared" si="41"/>
        <v>A0355:レジル(株)(旧:中央電力(株))メニューD</v>
      </c>
      <c r="S795" s="182">
        <f t="shared" si="42"/>
        <v>4.3899999999999999E-4</v>
      </c>
    </row>
    <row r="796" spans="9:19">
      <c r="I796" s="124" t="s">
        <v>861</v>
      </c>
      <c r="J796" s="124" t="s">
        <v>862</v>
      </c>
      <c r="K796" s="182" t="s">
        <v>2010</v>
      </c>
      <c r="L796" s="182">
        <v>2.9799999999999998E-4</v>
      </c>
      <c r="M796" s="182">
        <v>5.71E-4</v>
      </c>
      <c r="N796" s="182">
        <v>5.71E-4</v>
      </c>
      <c r="O796" s="182">
        <v>5.71E-4</v>
      </c>
      <c r="P796" s="182">
        <v>5.71E-4</v>
      </c>
      <c r="R796" s="154" t="str">
        <f t="shared" si="41"/>
        <v>A0355:レジル(株)(旧:中央電力(株))(参考値)事業者全体</v>
      </c>
      <c r="S796" s="182">
        <f t="shared" si="42"/>
        <v>2.9799999999999998E-4</v>
      </c>
    </row>
    <row r="797" spans="9:19">
      <c r="I797" s="124" t="s">
        <v>863</v>
      </c>
      <c r="J797" s="124" t="s">
        <v>864</v>
      </c>
      <c r="K797" s="182"/>
      <c r="L797" s="182">
        <v>4.3399999999999998E-4</v>
      </c>
      <c r="M797" s="182">
        <v>6.0599999999999998E-4</v>
      </c>
      <c r="N797" s="182">
        <v>6.0599999999999998E-4</v>
      </c>
      <c r="O797" s="182">
        <v>6.0599999999999998E-4</v>
      </c>
      <c r="P797" s="182">
        <v>6.0599999999999998E-4</v>
      </c>
      <c r="R797" s="154" t="str">
        <f t="shared" si="41"/>
        <v>A0356:(株)成田香取エネルギー</v>
      </c>
      <c r="S797" s="182">
        <f t="shared" si="42"/>
        <v>4.3399999999999998E-4</v>
      </c>
    </row>
    <row r="798" spans="9:19">
      <c r="I798" s="124" t="s">
        <v>865</v>
      </c>
      <c r="J798" s="124" t="s">
        <v>866</v>
      </c>
      <c r="K798" s="182"/>
      <c r="L798" s="182">
        <v>3.8900000000000002E-4</v>
      </c>
      <c r="M798" s="182">
        <v>2.5000000000000001E-4</v>
      </c>
      <c r="N798" s="182">
        <v>2.5000000000000001E-4</v>
      </c>
      <c r="O798" s="182">
        <v>2.5000000000000001E-4</v>
      </c>
      <c r="P798" s="182">
        <v>2.5000000000000001E-4</v>
      </c>
      <c r="R798" s="154" t="str">
        <f t="shared" si="41"/>
        <v>A0360:グローバルソリューションサービス(株)</v>
      </c>
      <c r="S798" s="182">
        <f t="shared" si="42"/>
        <v>3.8900000000000002E-4</v>
      </c>
    </row>
    <row r="799" spans="9:19">
      <c r="I799" s="124" t="s">
        <v>867</v>
      </c>
      <c r="J799" s="124" t="s">
        <v>868</v>
      </c>
      <c r="K799" s="182"/>
      <c r="L799" s="182">
        <v>3.7500000000000001E-4</v>
      </c>
      <c r="M799" s="182">
        <v>5.6499999999999996E-4</v>
      </c>
      <c r="N799" s="182">
        <v>5.6499999999999996E-4</v>
      </c>
      <c r="O799" s="182">
        <v>5.6499999999999996E-4</v>
      </c>
      <c r="P799" s="182">
        <v>5.6499999999999996E-4</v>
      </c>
      <c r="R799" s="154" t="str">
        <f t="shared" si="41"/>
        <v>A0362:(株)CWS</v>
      </c>
      <c r="S799" s="182">
        <f t="shared" si="42"/>
        <v>3.7500000000000001E-4</v>
      </c>
    </row>
    <row r="800" spans="9:19">
      <c r="I800" s="124" t="s">
        <v>869</v>
      </c>
      <c r="J800" s="124" t="s">
        <v>870</v>
      </c>
      <c r="K800" s="182"/>
      <c r="L800" s="182">
        <v>4.5300000000000001E-4</v>
      </c>
      <c r="M800" s="182">
        <v>3.77E-4</v>
      </c>
      <c r="N800" s="182">
        <v>3.77E-4</v>
      </c>
      <c r="O800" s="182">
        <v>3.77E-4</v>
      </c>
      <c r="P800" s="182">
        <v>3.77E-4</v>
      </c>
      <c r="R800" s="154" t="str">
        <f t="shared" si="41"/>
        <v>A0364:ふくしま新電力(株)</v>
      </c>
      <c r="S800" s="182">
        <f t="shared" si="42"/>
        <v>4.5300000000000001E-4</v>
      </c>
    </row>
    <row r="801" spans="9:19">
      <c r="I801" s="124" t="s">
        <v>871</v>
      </c>
      <c r="J801" s="124" t="s">
        <v>872</v>
      </c>
      <c r="K801" s="182" t="s">
        <v>390</v>
      </c>
      <c r="L801" s="182">
        <v>0</v>
      </c>
      <c r="M801" s="182">
        <v>0</v>
      </c>
      <c r="N801" s="182">
        <v>0</v>
      </c>
      <c r="O801" s="182">
        <v>0</v>
      </c>
      <c r="P801" s="182">
        <v>0</v>
      </c>
      <c r="R801" s="154" t="str">
        <f t="shared" si="41"/>
        <v>A0365:ティーダッシュ合同会社メニューA</v>
      </c>
      <c r="S801" s="182">
        <f t="shared" si="42"/>
        <v>0</v>
      </c>
    </row>
    <row r="802" spans="9:19">
      <c r="I802" s="124" t="s">
        <v>871</v>
      </c>
      <c r="J802" s="124" t="s">
        <v>872</v>
      </c>
      <c r="K802" s="182" t="s">
        <v>398</v>
      </c>
      <c r="L802" s="182">
        <v>4.4700000000000002E-4</v>
      </c>
      <c r="M802" s="182">
        <v>4.2700000000000002E-4</v>
      </c>
      <c r="N802" s="182">
        <v>4.2700000000000002E-4</v>
      </c>
      <c r="O802" s="182">
        <v>4.2700000000000002E-4</v>
      </c>
      <c r="P802" s="182">
        <v>4.2700000000000002E-4</v>
      </c>
      <c r="R802" s="154" t="str">
        <f t="shared" si="41"/>
        <v>A0365:ティーダッシュ合同会社メニューB</v>
      </c>
      <c r="S802" s="182">
        <f t="shared" si="42"/>
        <v>4.4700000000000002E-4</v>
      </c>
    </row>
    <row r="803" spans="9:19">
      <c r="I803" s="124" t="s">
        <v>871</v>
      </c>
      <c r="J803" s="124" t="s">
        <v>872</v>
      </c>
      <c r="K803" s="182" t="s">
        <v>2010</v>
      </c>
      <c r="L803" s="182">
        <v>4.3899999999999999E-4</v>
      </c>
      <c r="M803" s="182">
        <v>3.7600000000000003E-4</v>
      </c>
      <c r="N803" s="182">
        <v>3.7600000000000003E-4</v>
      </c>
      <c r="O803" s="182">
        <v>3.7600000000000003E-4</v>
      </c>
      <c r="P803" s="182">
        <v>3.7600000000000003E-4</v>
      </c>
      <c r="R803" s="154" t="str">
        <f t="shared" si="41"/>
        <v>A0365:ティーダッシュ合同会社(参考値)事業者全体</v>
      </c>
      <c r="S803" s="182">
        <f t="shared" si="42"/>
        <v>4.3899999999999999E-4</v>
      </c>
    </row>
    <row r="804" spans="9:19">
      <c r="I804" s="124" t="s">
        <v>873</v>
      </c>
      <c r="J804" s="124" t="s">
        <v>874</v>
      </c>
      <c r="K804" s="182"/>
      <c r="L804" s="182">
        <v>3.6900000000000002E-4</v>
      </c>
      <c r="M804" s="182">
        <v>2.9999999999999997E-4</v>
      </c>
      <c r="N804" s="182">
        <v>2.9999999999999997E-4</v>
      </c>
      <c r="O804" s="182">
        <v>2.9999999999999997E-4</v>
      </c>
      <c r="P804" s="182">
        <v>2.9999999999999997E-4</v>
      </c>
      <c r="R804" s="154" t="str">
        <f t="shared" si="41"/>
        <v>A0366:(株)エネクスライフサービス</v>
      </c>
      <c r="S804" s="182">
        <f t="shared" si="42"/>
        <v>3.6900000000000002E-4</v>
      </c>
    </row>
    <row r="805" spans="9:19">
      <c r="I805" s="124" t="s">
        <v>875</v>
      </c>
      <c r="J805" s="124" t="s">
        <v>876</v>
      </c>
      <c r="K805" s="182"/>
      <c r="L805" s="182">
        <v>4.6000000000000001E-4</v>
      </c>
      <c r="M805" s="182">
        <v>3.4099999999999999E-4</v>
      </c>
      <c r="N805" s="182">
        <v>3.4099999999999999E-4</v>
      </c>
      <c r="O805" s="182">
        <v>3.4099999999999999E-4</v>
      </c>
      <c r="P805" s="182">
        <v>3.4099999999999999E-4</v>
      </c>
      <c r="R805" s="154" t="str">
        <f t="shared" si="41"/>
        <v>A0367:ネイチャーエナジー小国(株)</v>
      </c>
      <c r="S805" s="182">
        <f t="shared" si="42"/>
        <v>4.6000000000000001E-4</v>
      </c>
    </row>
    <row r="806" spans="9:19">
      <c r="I806" s="124" t="s">
        <v>877</v>
      </c>
      <c r="J806" s="124" t="s">
        <v>878</v>
      </c>
      <c r="K806" s="182"/>
      <c r="L806" s="182">
        <v>3.68E-4</v>
      </c>
      <c r="M806" s="182">
        <v>0</v>
      </c>
      <c r="N806" s="182">
        <v>0</v>
      </c>
      <c r="O806" s="182">
        <v>0</v>
      </c>
      <c r="P806" s="182">
        <v>0</v>
      </c>
      <c r="R806" s="154" t="str">
        <f t="shared" si="41"/>
        <v>A0368:リエスパワーネクスト(株)</v>
      </c>
      <c r="S806" s="182">
        <f t="shared" si="42"/>
        <v>3.68E-4</v>
      </c>
    </row>
    <row r="807" spans="9:19">
      <c r="I807" s="124" t="s">
        <v>879</v>
      </c>
      <c r="J807" s="124" t="s">
        <v>880</v>
      </c>
      <c r="K807" s="182" t="s">
        <v>390</v>
      </c>
      <c r="L807" s="182">
        <v>0</v>
      </c>
      <c r="M807" s="182">
        <v>2.9999999999999997E-4</v>
      </c>
      <c r="N807" s="182">
        <v>2.9999999999999997E-4</v>
      </c>
      <c r="O807" s="182">
        <v>2.9999999999999997E-4</v>
      </c>
      <c r="P807" s="182">
        <v>2.9999999999999997E-4</v>
      </c>
      <c r="R807" s="154" t="str">
        <f t="shared" si="41"/>
        <v>A0369:京都生活協同組合メニューA</v>
      </c>
      <c r="S807" s="182">
        <f t="shared" si="42"/>
        <v>0</v>
      </c>
    </row>
    <row r="808" spans="9:19">
      <c r="I808" s="124" t="s">
        <v>879</v>
      </c>
      <c r="J808" s="124" t="s">
        <v>880</v>
      </c>
      <c r="K808" s="182" t="s">
        <v>398</v>
      </c>
      <c r="L808" s="182">
        <v>3.3300000000000002E-4</v>
      </c>
      <c r="M808" s="182">
        <v>4.2900000000000002E-4</v>
      </c>
      <c r="N808" s="182">
        <v>4.2900000000000002E-4</v>
      </c>
      <c r="O808" s="182">
        <v>4.2900000000000002E-4</v>
      </c>
      <c r="P808" s="182">
        <v>4.2900000000000002E-4</v>
      </c>
      <c r="R808" s="154" t="str">
        <f t="shared" si="41"/>
        <v>A0369:京都生活協同組合メニューB</v>
      </c>
      <c r="S808" s="182">
        <f t="shared" si="42"/>
        <v>3.3300000000000002E-4</v>
      </c>
    </row>
    <row r="809" spans="9:19">
      <c r="I809" s="124" t="s">
        <v>879</v>
      </c>
      <c r="J809" s="124" t="s">
        <v>880</v>
      </c>
      <c r="K809" s="182" t="s">
        <v>2010</v>
      </c>
      <c r="L809" s="182">
        <v>3.3300000000000002E-4</v>
      </c>
      <c r="M809" s="182">
        <v>4.2900000000000002E-4</v>
      </c>
      <c r="N809" s="182">
        <v>4.2900000000000002E-4</v>
      </c>
      <c r="O809" s="182">
        <v>4.2900000000000002E-4</v>
      </c>
      <c r="P809" s="182">
        <v>4.2900000000000002E-4</v>
      </c>
      <c r="R809" s="154" t="str">
        <f t="shared" si="41"/>
        <v>A0369:京都生活協同組合(参考値)事業者全体</v>
      </c>
      <c r="S809" s="182">
        <f t="shared" si="42"/>
        <v>3.3300000000000002E-4</v>
      </c>
    </row>
    <row r="810" spans="9:19">
      <c r="I810" s="124" t="s">
        <v>881</v>
      </c>
      <c r="J810" s="124" t="s">
        <v>882</v>
      </c>
      <c r="K810" s="182"/>
      <c r="L810" s="182">
        <v>5.4699999999999996E-4</v>
      </c>
      <c r="M810" s="182">
        <v>0</v>
      </c>
      <c r="N810" s="182">
        <v>0</v>
      </c>
      <c r="O810" s="182">
        <v>0</v>
      </c>
      <c r="P810" s="182">
        <v>0</v>
      </c>
      <c r="R810" s="154" t="str">
        <f t="shared" si="41"/>
        <v>A0371:エネルギーパワー(株)</v>
      </c>
      <c r="S810" s="182">
        <f t="shared" si="42"/>
        <v>5.4699999999999996E-4</v>
      </c>
    </row>
    <row r="811" spans="9:19">
      <c r="I811" s="124" t="s">
        <v>883</v>
      </c>
      <c r="J811" s="124" t="s">
        <v>884</v>
      </c>
      <c r="K811" s="182" t="s">
        <v>390</v>
      </c>
      <c r="L811" s="182">
        <v>0</v>
      </c>
      <c r="M811" s="182">
        <v>4.95E-4</v>
      </c>
      <c r="N811" s="182">
        <v>4.95E-4</v>
      </c>
      <c r="O811" s="182">
        <v>4.95E-4</v>
      </c>
      <c r="P811" s="182">
        <v>4.95E-4</v>
      </c>
      <c r="R811" s="154" t="str">
        <f t="shared" si="41"/>
        <v>A0372:(株)グリムスパワーメニューA</v>
      </c>
      <c r="S811" s="182">
        <f t="shared" si="42"/>
        <v>0</v>
      </c>
    </row>
    <row r="812" spans="9:19">
      <c r="I812" s="124" t="s">
        <v>883</v>
      </c>
      <c r="J812" s="124" t="s">
        <v>884</v>
      </c>
      <c r="K812" s="182" t="s">
        <v>2010</v>
      </c>
      <c r="L812" s="182">
        <v>4.6899999999999996E-4</v>
      </c>
      <c r="M812" s="182">
        <v>2.99E-4</v>
      </c>
      <c r="N812" s="182">
        <v>2.99E-4</v>
      </c>
      <c r="O812" s="182">
        <v>2.99E-4</v>
      </c>
      <c r="P812" s="182">
        <v>2.99E-4</v>
      </c>
      <c r="R812" s="154" t="str">
        <f t="shared" si="41"/>
        <v>A0372:(株)グリムスパワー(参考値)事業者全体</v>
      </c>
      <c r="S812" s="182">
        <f t="shared" si="42"/>
        <v>4.6899999999999996E-4</v>
      </c>
    </row>
    <row r="813" spans="9:19">
      <c r="I813" s="124" t="s">
        <v>885</v>
      </c>
      <c r="J813" s="124" t="s">
        <v>886</v>
      </c>
      <c r="K813" s="182" t="s">
        <v>390</v>
      </c>
      <c r="L813" s="182">
        <v>0</v>
      </c>
      <c r="M813" s="182">
        <v>3.1100000000000002E-4</v>
      </c>
      <c r="N813" s="182">
        <v>3.1100000000000002E-4</v>
      </c>
      <c r="O813" s="182">
        <v>3.1100000000000002E-4</v>
      </c>
      <c r="P813" s="182">
        <v>3.1100000000000002E-4</v>
      </c>
      <c r="R813" s="154" t="str">
        <f t="shared" si="41"/>
        <v>A0373:日本ファシリティ・ソリューション(株)メニューA</v>
      </c>
      <c r="S813" s="182">
        <f t="shared" si="42"/>
        <v>0</v>
      </c>
    </row>
    <row r="814" spans="9:19">
      <c r="I814" s="124" t="s">
        <v>885</v>
      </c>
      <c r="J814" s="124" t="s">
        <v>886</v>
      </c>
      <c r="K814" s="182" t="s">
        <v>2010</v>
      </c>
      <c r="L814" s="182">
        <v>0</v>
      </c>
      <c r="M814" s="182">
        <v>4.2499999999999998E-4</v>
      </c>
      <c r="N814" s="182">
        <v>4.2499999999999998E-4</v>
      </c>
      <c r="O814" s="182">
        <v>4.2499999999999998E-4</v>
      </c>
      <c r="P814" s="182">
        <v>4.2499999999999998E-4</v>
      </c>
      <c r="R814" s="154" t="str">
        <f t="shared" si="41"/>
        <v>A0373:日本ファシリティ・ソリューション(株)(参考値)事業者全体</v>
      </c>
      <c r="S814" s="182">
        <f t="shared" si="42"/>
        <v>0</v>
      </c>
    </row>
    <row r="815" spans="9:19">
      <c r="I815" s="124" t="s">
        <v>887</v>
      </c>
      <c r="J815" s="124" t="s">
        <v>888</v>
      </c>
      <c r="K815" s="182"/>
      <c r="L815" s="182">
        <v>1.0399999999999999E-4</v>
      </c>
      <c r="M815" s="182">
        <v>4.2900000000000002E-4</v>
      </c>
      <c r="N815" s="182">
        <v>4.2900000000000002E-4</v>
      </c>
      <c r="O815" s="182">
        <v>4.2900000000000002E-4</v>
      </c>
      <c r="P815" s="182">
        <v>4.2900000000000002E-4</v>
      </c>
      <c r="R815" s="154" t="str">
        <f t="shared" si="41"/>
        <v>A0377:(株)オノプロックス</v>
      </c>
      <c r="S815" s="182">
        <f t="shared" si="42"/>
        <v>1.0399999999999999E-4</v>
      </c>
    </row>
    <row r="816" spans="9:19">
      <c r="I816" s="124" t="s">
        <v>891</v>
      </c>
      <c r="J816" s="124" t="s">
        <v>892</v>
      </c>
      <c r="K816" s="182"/>
      <c r="L816" s="182">
        <v>1.4999999999999999E-4</v>
      </c>
      <c r="M816" s="182">
        <v>5.1800000000000001E-4</v>
      </c>
      <c r="N816" s="182">
        <v>5.1800000000000001E-4</v>
      </c>
      <c r="O816" s="182">
        <v>5.1800000000000001E-4</v>
      </c>
      <c r="P816" s="182">
        <v>5.1800000000000001E-4</v>
      </c>
      <c r="R816" s="154" t="str">
        <f t="shared" si="41"/>
        <v>A0380:青森県民エナジー(株)</v>
      </c>
      <c r="S816" s="182">
        <f t="shared" si="42"/>
        <v>1.4999999999999999E-4</v>
      </c>
    </row>
    <row r="817" spans="9:19">
      <c r="I817" s="124" t="s">
        <v>893</v>
      </c>
      <c r="J817" s="124" t="s">
        <v>894</v>
      </c>
      <c r="K817" s="182" t="s">
        <v>390</v>
      </c>
      <c r="L817" s="182">
        <v>0</v>
      </c>
      <c r="M817" s="182">
        <v>4.5899999999999999E-4</v>
      </c>
      <c r="N817" s="182">
        <v>4.5899999999999999E-4</v>
      </c>
      <c r="O817" s="182">
        <v>4.5899999999999999E-4</v>
      </c>
      <c r="P817" s="182">
        <v>4.5899999999999999E-4</v>
      </c>
      <c r="R817" s="154" t="str">
        <f t="shared" si="41"/>
        <v>A0381:国際航業(株)メニューA</v>
      </c>
      <c r="S817" s="182">
        <f t="shared" si="42"/>
        <v>0</v>
      </c>
    </row>
    <row r="818" spans="9:19">
      <c r="I818" s="124" t="s">
        <v>893</v>
      </c>
      <c r="J818" s="124" t="s">
        <v>894</v>
      </c>
      <c r="K818" s="182" t="s">
        <v>398</v>
      </c>
      <c r="L818" s="182">
        <v>8.1999999999999998E-4</v>
      </c>
      <c r="M818" s="182">
        <v>3.4099999999999999E-4</v>
      </c>
      <c r="N818" s="182">
        <v>3.4099999999999999E-4</v>
      </c>
      <c r="O818" s="182">
        <v>3.4099999999999999E-4</v>
      </c>
      <c r="P818" s="182">
        <v>3.4099999999999999E-4</v>
      </c>
      <c r="R818" s="154" t="str">
        <f t="shared" si="41"/>
        <v>A0381:国際航業(株)メニューB</v>
      </c>
      <c r="S818" s="182">
        <f t="shared" si="42"/>
        <v>8.1999999999999998E-4</v>
      </c>
    </row>
    <row r="819" spans="9:19">
      <c r="I819" s="124" t="s">
        <v>893</v>
      </c>
      <c r="J819" s="124" t="s">
        <v>894</v>
      </c>
      <c r="K819" s="182" t="s">
        <v>2010</v>
      </c>
      <c r="L819" s="182">
        <v>2.0599999999999999E-4</v>
      </c>
      <c r="M819" s="182">
        <v>0</v>
      </c>
      <c r="N819" s="182">
        <v>0</v>
      </c>
      <c r="O819" s="182">
        <v>0</v>
      </c>
      <c r="P819" s="182">
        <v>0</v>
      </c>
      <c r="R819" s="154" t="str">
        <f t="shared" si="41"/>
        <v>A0381:国際航業(株)(参考値)事業者全体</v>
      </c>
      <c r="S819" s="182">
        <f t="shared" si="42"/>
        <v>2.0599999999999999E-4</v>
      </c>
    </row>
    <row r="820" spans="9:19">
      <c r="I820" s="124" t="s">
        <v>895</v>
      </c>
      <c r="J820" s="124" t="s">
        <v>896</v>
      </c>
      <c r="K820" s="182" t="s">
        <v>390</v>
      </c>
      <c r="L820" s="182">
        <v>0</v>
      </c>
      <c r="M820" s="182">
        <v>0</v>
      </c>
      <c r="N820" s="182">
        <v>0</v>
      </c>
      <c r="O820" s="182">
        <v>0</v>
      </c>
      <c r="P820" s="182">
        <v>0</v>
      </c>
      <c r="R820" s="154" t="str">
        <f t="shared" si="41"/>
        <v>A0382:ローカルでんき(株)メニューA</v>
      </c>
      <c r="S820" s="182">
        <f t="shared" si="42"/>
        <v>0</v>
      </c>
    </row>
    <row r="821" spans="9:19">
      <c r="I821" s="124" t="s">
        <v>895</v>
      </c>
      <c r="J821" s="124" t="s">
        <v>896</v>
      </c>
      <c r="K821" s="182" t="s">
        <v>398</v>
      </c>
      <c r="L821" s="182">
        <v>3.9599999999999998E-4</v>
      </c>
      <c r="M821" s="182">
        <v>7.7000000000000001E-5</v>
      </c>
      <c r="N821" s="182">
        <v>7.7000000000000001E-5</v>
      </c>
      <c r="O821" s="182">
        <v>7.7000000000000001E-5</v>
      </c>
      <c r="P821" s="182">
        <v>7.7000000000000001E-5</v>
      </c>
      <c r="R821" s="154" t="str">
        <f t="shared" si="41"/>
        <v>A0382:ローカルでんき(株)メニューB</v>
      </c>
      <c r="S821" s="182">
        <f t="shared" si="42"/>
        <v>3.9599999999999998E-4</v>
      </c>
    </row>
    <row r="822" spans="9:19">
      <c r="I822" s="124" t="s">
        <v>895</v>
      </c>
      <c r="J822" s="124" t="s">
        <v>896</v>
      </c>
      <c r="K822" s="182" t="s">
        <v>2010</v>
      </c>
      <c r="L822" s="182">
        <v>3.79E-4</v>
      </c>
      <c r="M822" s="182">
        <v>6.1700000000000004E-4</v>
      </c>
      <c r="N822" s="182">
        <v>6.1700000000000004E-4</v>
      </c>
      <c r="O822" s="182">
        <v>6.1700000000000004E-4</v>
      </c>
      <c r="P822" s="182">
        <v>6.1700000000000004E-4</v>
      </c>
      <c r="R822" s="154" t="str">
        <f t="shared" si="41"/>
        <v>A0382:ローカルでんき(株)(参考値)事業者全体</v>
      </c>
      <c r="S822" s="182">
        <f t="shared" si="42"/>
        <v>3.79E-4</v>
      </c>
    </row>
    <row r="823" spans="9:19">
      <c r="I823" s="124" t="s">
        <v>897</v>
      </c>
      <c r="J823" s="124" t="s">
        <v>898</v>
      </c>
      <c r="K823" s="182"/>
      <c r="L823" s="182">
        <v>4.6099999999999998E-4</v>
      </c>
      <c r="M823" s="182">
        <v>0</v>
      </c>
      <c r="N823" s="182">
        <v>0</v>
      </c>
      <c r="O823" s="182">
        <v>0</v>
      </c>
      <c r="P823" s="182">
        <v>0</v>
      </c>
      <c r="R823" s="154" t="str">
        <f t="shared" si="41"/>
        <v>A0383:(株)明治産業</v>
      </c>
      <c r="S823" s="182">
        <f t="shared" si="42"/>
        <v>4.6099999999999998E-4</v>
      </c>
    </row>
    <row r="824" spans="9:19">
      <c r="I824" s="124" t="s">
        <v>899</v>
      </c>
      <c r="J824" s="124" t="s">
        <v>900</v>
      </c>
      <c r="K824" s="182" t="s">
        <v>390</v>
      </c>
      <c r="L824" s="182">
        <v>0</v>
      </c>
      <c r="M824" s="182">
        <v>6.1700000000000004E-4</v>
      </c>
      <c r="N824" s="182">
        <v>6.1700000000000004E-4</v>
      </c>
      <c r="O824" s="182">
        <v>6.1700000000000004E-4</v>
      </c>
      <c r="P824" s="182">
        <v>6.1700000000000004E-4</v>
      </c>
      <c r="R824" s="154" t="str">
        <f t="shared" si="41"/>
        <v>A0385:岡山電力(株)メニューA</v>
      </c>
      <c r="S824" s="182">
        <f t="shared" si="42"/>
        <v>0</v>
      </c>
    </row>
    <row r="825" spans="9:19">
      <c r="I825" s="124" t="s">
        <v>899</v>
      </c>
      <c r="J825" s="124" t="s">
        <v>900</v>
      </c>
      <c r="K825" s="182" t="s">
        <v>398</v>
      </c>
      <c r="L825" s="182">
        <v>5.0699999999999996E-4</v>
      </c>
      <c r="M825" s="182">
        <v>0</v>
      </c>
      <c r="N825" s="182">
        <v>0</v>
      </c>
      <c r="O825" s="182">
        <v>0</v>
      </c>
      <c r="P825" s="182">
        <v>0</v>
      </c>
      <c r="R825" s="154" t="str">
        <f t="shared" si="41"/>
        <v>A0385:岡山電力(株)メニューB</v>
      </c>
      <c r="S825" s="182">
        <f t="shared" si="42"/>
        <v>5.0699999999999996E-4</v>
      </c>
    </row>
    <row r="826" spans="9:19">
      <c r="I826" s="124" t="s">
        <v>899</v>
      </c>
      <c r="J826" s="124" t="s">
        <v>900</v>
      </c>
      <c r="K826" s="182" t="s">
        <v>2010</v>
      </c>
      <c r="L826" s="182">
        <v>4.8899999999999996E-4</v>
      </c>
      <c r="M826" s="182">
        <v>3.21E-4</v>
      </c>
      <c r="N826" s="182">
        <v>3.21E-4</v>
      </c>
      <c r="O826" s="182">
        <v>3.21E-4</v>
      </c>
      <c r="P826" s="182">
        <v>3.21E-4</v>
      </c>
      <c r="R826" s="154" t="str">
        <f t="shared" si="41"/>
        <v>A0385:岡山電力(株)(参考値)事業者全体</v>
      </c>
      <c r="S826" s="182">
        <f t="shared" si="42"/>
        <v>4.8899999999999996E-4</v>
      </c>
    </row>
    <row r="827" spans="9:19">
      <c r="I827" s="124" t="s">
        <v>901</v>
      </c>
      <c r="J827" s="124" t="s">
        <v>902</v>
      </c>
      <c r="K827" s="182" t="s">
        <v>390</v>
      </c>
      <c r="L827" s="182">
        <v>0</v>
      </c>
      <c r="M827" s="182">
        <v>5.3899999999999998E-4</v>
      </c>
      <c r="N827" s="182">
        <v>5.3899999999999998E-4</v>
      </c>
      <c r="O827" s="182">
        <v>5.3899999999999998E-4</v>
      </c>
      <c r="P827" s="182">
        <v>5.3899999999999998E-4</v>
      </c>
      <c r="R827" s="154" t="str">
        <f t="shared" si="41"/>
        <v>A0386:ミライフ(株)メニューA</v>
      </c>
      <c r="S827" s="182">
        <f t="shared" si="42"/>
        <v>0</v>
      </c>
    </row>
    <row r="828" spans="9:19">
      <c r="I828" s="124" t="s">
        <v>901</v>
      </c>
      <c r="J828" s="124" t="s">
        <v>902</v>
      </c>
      <c r="K828" s="182" t="s">
        <v>398</v>
      </c>
      <c r="L828" s="182">
        <v>0</v>
      </c>
      <c r="M828" s="182">
        <v>2.7E-4</v>
      </c>
      <c r="N828" s="182">
        <v>2.7E-4</v>
      </c>
      <c r="O828" s="182">
        <v>2.7E-4</v>
      </c>
      <c r="P828" s="182">
        <v>2.7E-4</v>
      </c>
      <c r="R828" s="154" t="str">
        <f t="shared" si="41"/>
        <v>A0386:ミライフ(株)メニューB</v>
      </c>
      <c r="S828" s="182">
        <f t="shared" si="42"/>
        <v>0</v>
      </c>
    </row>
    <row r="829" spans="9:19">
      <c r="I829" s="124" t="s">
        <v>901</v>
      </c>
      <c r="J829" s="124" t="s">
        <v>902</v>
      </c>
      <c r="K829" s="182" t="s">
        <v>2010</v>
      </c>
      <c r="L829" s="182">
        <v>0</v>
      </c>
      <c r="M829" s="182">
        <v>0</v>
      </c>
      <c r="N829" s="182">
        <v>0</v>
      </c>
      <c r="O829" s="182">
        <v>0</v>
      </c>
      <c r="P829" s="182">
        <v>0</v>
      </c>
      <c r="R829" s="154" t="str">
        <f t="shared" si="41"/>
        <v>A0386:ミライフ(株)(参考値)事業者全体</v>
      </c>
      <c r="S829" s="182">
        <f t="shared" si="42"/>
        <v>0</v>
      </c>
    </row>
    <row r="830" spans="9:19">
      <c r="I830" s="124" t="s">
        <v>903</v>
      </c>
      <c r="J830" s="124" t="s">
        <v>1700</v>
      </c>
      <c r="K830" s="182" t="s">
        <v>390</v>
      </c>
      <c r="L830" s="182">
        <v>0</v>
      </c>
      <c r="M830" s="182">
        <v>3.3599999999999998E-4</v>
      </c>
      <c r="N830" s="182">
        <v>3.3599999999999998E-4</v>
      </c>
      <c r="O830" s="182">
        <v>3.3599999999999998E-4</v>
      </c>
      <c r="P830" s="182">
        <v>3.3599999999999998E-4</v>
      </c>
      <c r="R830" s="154" t="str">
        <f t="shared" si="41"/>
        <v>A0388:楽天モバイル(株)（旧：楽天エナジー(株)）メニューA</v>
      </c>
      <c r="S830" s="182">
        <f t="shared" si="42"/>
        <v>0</v>
      </c>
    </row>
    <row r="831" spans="9:19">
      <c r="I831" s="124" t="s">
        <v>903</v>
      </c>
      <c r="J831" s="124" t="s">
        <v>1700</v>
      </c>
      <c r="K831" s="182" t="s">
        <v>398</v>
      </c>
      <c r="L831" s="182">
        <v>0</v>
      </c>
      <c r="M831" s="182">
        <v>0</v>
      </c>
      <c r="N831" s="182">
        <v>0</v>
      </c>
      <c r="O831" s="182">
        <v>0</v>
      </c>
      <c r="P831" s="182">
        <v>0</v>
      </c>
      <c r="R831" s="154" t="str">
        <f t="shared" si="41"/>
        <v>A0388:楽天モバイル(株)（旧：楽天エナジー(株)）メニューB</v>
      </c>
      <c r="S831" s="182">
        <f t="shared" si="42"/>
        <v>0</v>
      </c>
    </row>
    <row r="832" spans="9:19">
      <c r="I832" s="124" t="s">
        <v>903</v>
      </c>
      <c r="J832" s="124" t="s">
        <v>1700</v>
      </c>
      <c r="K832" s="182" t="s">
        <v>399</v>
      </c>
      <c r="L832" s="182">
        <v>5.0100000000000003E-4</v>
      </c>
      <c r="M832" s="182">
        <v>4.0099999999999999E-4</v>
      </c>
      <c r="N832" s="182">
        <v>4.0099999999999999E-4</v>
      </c>
      <c r="O832" s="182">
        <v>4.0099999999999999E-4</v>
      </c>
      <c r="P832" s="182">
        <v>4.0099999999999999E-4</v>
      </c>
      <c r="R832" s="154" t="str">
        <f t="shared" si="41"/>
        <v>A0388:楽天モバイル(株)（旧：楽天エナジー(株)）メニューC</v>
      </c>
      <c r="S832" s="182">
        <f t="shared" si="42"/>
        <v>5.0100000000000003E-4</v>
      </c>
    </row>
    <row r="833" spans="9:19">
      <c r="I833" s="124" t="s">
        <v>903</v>
      </c>
      <c r="J833" s="124" t="s">
        <v>1700</v>
      </c>
      <c r="K833" s="182" t="s">
        <v>2010</v>
      </c>
      <c r="L833" s="182">
        <v>4.9399999999999997E-4</v>
      </c>
      <c r="M833" s="182">
        <v>0</v>
      </c>
      <c r="N833" s="182">
        <v>0</v>
      </c>
      <c r="O833" s="182">
        <v>0</v>
      </c>
      <c r="P833" s="182">
        <v>0</v>
      </c>
      <c r="R833" s="154" t="str">
        <f t="shared" si="41"/>
        <v>A0388:楽天モバイル(株)（旧：楽天エナジー(株)）(参考値)事業者全体</v>
      </c>
      <c r="S833" s="182">
        <f t="shared" si="42"/>
        <v>4.9399999999999997E-4</v>
      </c>
    </row>
    <row r="834" spans="9:19">
      <c r="I834" s="124" t="s">
        <v>904</v>
      </c>
      <c r="J834" s="124" t="s">
        <v>905</v>
      </c>
      <c r="K834" s="182"/>
      <c r="L834" s="182">
        <v>4.7399999999999997E-4</v>
      </c>
      <c r="M834" s="182">
        <v>0</v>
      </c>
      <c r="N834" s="182">
        <v>0</v>
      </c>
      <c r="O834" s="182">
        <v>0</v>
      </c>
      <c r="P834" s="182">
        <v>0</v>
      </c>
      <c r="R834" s="154" t="str">
        <f t="shared" si="41"/>
        <v>A0389:うすきエネルギー(株)</v>
      </c>
      <c r="S834" s="182">
        <f t="shared" si="42"/>
        <v>4.7399999999999997E-4</v>
      </c>
    </row>
    <row r="835" spans="9:19">
      <c r="I835" s="124" t="s">
        <v>906</v>
      </c>
      <c r="J835" s="124" t="s">
        <v>907</v>
      </c>
      <c r="K835" s="182"/>
      <c r="L835" s="182">
        <v>4.7800000000000002E-4</v>
      </c>
      <c r="M835" s="182">
        <v>0</v>
      </c>
      <c r="N835" s="182">
        <v>0</v>
      </c>
      <c r="O835" s="182">
        <v>0</v>
      </c>
      <c r="P835" s="182">
        <v>0</v>
      </c>
      <c r="R835" s="154" t="str">
        <f t="shared" si="41"/>
        <v>A0391:森のエネルギー(株)</v>
      </c>
      <c r="S835" s="182">
        <f t="shared" si="42"/>
        <v>4.7800000000000002E-4</v>
      </c>
    </row>
    <row r="836" spans="9:19">
      <c r="I836" s="124" t="s">
        <v>908</v>
      </c>
      <c r="J836" s="124" t="s">
        <v>909</v>
      </c>
      <c r="K836" s="182" t="s">
        <v>390</v>
      </c>
      <c r="L836" s="182">
        <v>0</v>
      </c>
      <c r="M836" s="182">
        <v>5.8699999999999996E-4</v>
      </c>
      <c r="N836" s="182">
        <v>5.8699999999999996E-4</v>
      </c>
      <c r="O836" s="182">
        <v>5.8699999999999996E-4</v>
      </c>
      <c r="P836" s="182">
        <v>5.8699999999999996E-4</v>
      </c>
      <c r="R836" s="154" t="str">
        <f t="shared" si="41"/>
        <v>A0392:岐阜電力(株)メニューA</v>
      </c>
      <c r="S836" s="182">
        <f t="shared" si="42"/>
        <v>0</v>
      </c>
    </row>
    <row r="837" spans="9:19">
      <c r="I837" s="124" t="s">
        <v>908</v>
      </c>
      <c r="J837" s="124" t="s">
        <v>909</v>
      </c>
      <c r="K837" s="182" t="s">
        <v>398</v>
      </c>
      <c r="L837" s="182">
        <v>0</v>
      </c>
      <c r="M837" s="182">
        <v>3.4099999999999999E-4</v>
      </c>
      <c r="N837" s="182">
        <v>3.4099999999999999E-4</v>
      </c>
      <c r="O837" s="182">
        <v>3.4099999999999999E-4</v>
      </c>
      <c r="P837" s="182">
        <v>3.4099999999999999E-4</v>
      </c>
      <c r="R837" s="154" t="str">
        <f t="shared" si="41"/>
        <v>A0392:岐阜電力(株)メニューB</v>
      </c>
      <c r="S837" s="182">
        <f t="shared" si="42"/>
        <v>0</v>
      </c>
    </row>
    <row r="838" spans="9:19">
      <c r="I838" s="124" t="s">
        <v>908</v>
      </c>
      <c r="J838" s="124" t="s">
        <v>909</v>
      </c>
      <c r="K838" s="182" t="s">
        <v>2010</v>
      </c>
      <c r="L838" s="182">
        <v>0</v>
      </c>
      <c r="M838" s="182">
        <v>0</v>
      </c>
      <c r="N838" s="182">
        <v>0</v>
      </c>
      <c r="O838" s="182">
        <v>0</v>
      </c>
      <c r="P838" s="182">
        <v>0</v>
      </c>
      <c r="R838" s="154" t="str">
        <f t="shared" si="41"/>
        <v>A0392:岐阜電力(株)(参考値)事業者全体</v>
      </c>
      <c r="S838" s="182">
        <f t="shared" si="42"/>
        <v>0</v>
      </c>
    </row>
    <row r="839" spans="9:19">
      <c r="I839" s="124" t="s">
        <v>910</v>
      </c>
      <c r="J839" s="124" t="s">
        <v>911</v>
      </c>
      <c r="K839" s="182"/>
      <c r="L839" s="182">
        <v>2.0599999999999999E-4</v>
      </c>
      <c r="M839" s="182">
        <v>0</v>
      </c>
      <c r="N839" s="182">
        <v>0</v>
      </c>
      <c r="O839" s="182">
        <v>0</v>
      </c>
      <c r="P839" s="182">
        <v>0</v>
      </c>
      <c r="R839" s="154" t="str">
        <f t="shared" si="41"/>
        <v>A0396:(株)エスケーエナジー</v>
      </c>
      <c r="S839" s="182">
        <f t="shared" si="42"/>
        <v>2.0599999999999999E-4</v>
      </c>
    </row>
    <row r="840" spans="9:19">
      <c r="I840" s="124" t="s">
        <v>912</v>
      </c>
      <c r="J840" s="124" t="s">
        <v>913</v>
      </c>
      <c r="K840" s="182"/>
      <c r="L840" s="182">
        <v>3.4099999999999999E-4</v>
      </c>
      <c r="M840" s="182">
        <v>0</v>
      </c>
      <c r="N840" s="182">
        <v>0</v>
      </c>
      <c r="O840" s="182">
        <v>0</v>
      </c>
      <c r="P840" s="182">
        <v>0</v>
      </c>
      <c r="R840" s="154" t="str">
        <f t="shared" si="41"/>
        <v>A0397:名南共同エネルギー(株)</v>
      </c>
      <c r="S840" s="182">
        <f t="shared" si="42"/>
        <v>3.4099999999999999E-4</v>
      </c>
    </row>
    <row r="841" spans="9:19">
      <c r="I841" s="124" t="s">
        <v>914</v>
      </c>
      <c r="J841" s="124" t="s">
        <v>915</v>
      </c>
      <c r="K841" s="182"/>
      <c r="L841" s="182">
        <v>5.9999999999999995E-4</v>
      </c>
      <c r="M841" s="182">
        <v>0</v>
      </c>
      <c r="N841" s="182">
        <v>0</v>
      </c>
      <c r="O841" s="182">
        <v>0</v>
      </c>
      <c r="P841" s="182">
        <v>0</v>
      </c>
      <c r="R841" s="154" t="str">
        <f t="shared" si="41"/>
        <v>A0398:Apaman Energy(株)</v>
      </c>
      <c r="S841" s="182">
        <f t="shared" si="42"/>
        <v>5.9999999999999995E-4</v>
      </c>
    </row>
    <row r="842" spans="9:19">
      <c r="I842" s="124" t="s">
        <v>916</v>
      </c>
      <c r="J842" s="124" t="s">
        <v>917</v>
      </c>
      <c r="K842" s="182" t="s">
        <v>390</v>
      </c>
      <c r="L842" s="182">
        <v>0</v>
      </c>
      <c r="M842" s="182">
        <v>6.4000000000000005E-4</v>
      </c>
      <c r="N842" s="182">
        <v>6.4000000000000005E-4</v>
      </c>
      <c r="O842" s="182">
        <v>6.4000000000000005E-4</v>
      </c>
      <c r="P842" s="182">
        <v>6.4000000000000005E-4</v>
      </c>
      <c r="R842" s="154" t="str">
        <f t="shared" ref="R842:R905" si="43">I842&amp;":"&amp;J842&amp;K842</f>
        <v>A0403:大分ケーブルテレコム(株)メニューA</v>
      </c>
      <c r="S842" s="182">
        <f t="shared" ref="S842:S905" si="44">HLOOKUP($S$8,$L$8:$P$1500,ROW()-7,FALSE)</f>
        <v>0</v>
      </c>
    </row>
    <row r="843" spans="9:19">
      <c r="I843" s="124" t="s">
        <v>916</v>
      </c>
      <c r="J843" s="124" t="s">
        <v>917</v>
      </c>
      <c r="K843" s="182" t="s">
        <v>398</v>
      </c>
      <c r="L843" s="182">
        <v>5.1699999999999999E-4</v>
      </c>
      <c r="M843" s="182">
        <v>5.9100000000000005E-4</v>
      </c>
      <c r="N843" s="182">
        <v>5.9100000000000005E-4</v>
      </c>
      <c r="O843" s="182">
        <v>5.9100000000000005E-4</v>
      </c>
      <c r="P843" s="182">
        <v>5.9100000000000005E-4</v>
      </c>
      <c r="R843" s="154" t="str">
        <f t="shared" si="43"/>
        <v>A0403:大分ケーブルテレコム(株)メニューB</v>
      </c>
      <c r="S843" s="182">
        <f t="shared" si="44"/>
        <v>5.1699999999999999E-4</v>
      </c>
    </row>
    <row r="844" spans="9:19">
      <c r="I844" s="124" t="s">
        <v>916</v>
      </c>
      <c r="J844" s="124" t="s">
        <v>917</v>
      </c>
      <c r="K844" s="182" t="s">
        <v>2010</v>
      </c>
      <c r="L844" s="182">
        <v>5.1699999999999999E-4</v>
      </c>
      <c r="M844" s="182">
        <v>4.6999999999999999E-4</v>
      </c>
      <c r="N844" s="182">
        <v>4.6999999999999999E-4</v>
      </c>
      <c r="O844" s="182">
        <v>4.6999999999999999E-4</v>
      </c>
      <c r="P844" s="182">
        <v>4.6999999999999999E-4</v>
      </c>
      <c r="R844" s="154" t="str">
        <f t="shared" si="43"/>
        <v>A0403:大分ケーブルテレコム(株)(参考値)事業者全体</v>
      </c>
      <c r="S844" s="182">
        <f t="shared" si="44"/>
        <v>5.1699999999999999E-4</v>
      </c>
    </row>
    <row r="845" spans="9:19">
      <c r="I845" s="124" t="s">
        <v>918</v>
      </c>
      <c r="J845" s="124" t="s">
        <v>919</v>
      </c>
      <c r="K845" s="182" t="s">
        <v>390</v>
      </c>
      <c r="L845" s="182">
        <v>0</v>
      </c>
      <c r="M845" s="182">
        <v>0</v>
      </c>
      <c r="N845" s="182">
        <v>0</v>
      </c>
      <c r="O845" s="182">
        <v>0</v>
      </c>
      <c r="P845" s="182">
        <v>0</v>
      </c>
      <c r="R845" s="154" t="str">
        <f t="shared" si="43"/>
        <v>A0405:アストマックス・エネルギー(株)メニューA</v>
      </c>
      <c r="S845" s="182">
        <f t="shared" si="44"/>
        <v>0</v>
      </c>
    </row>
    <row r="846" spans="9:19">
      <c r="I846" s="124" t="s">
        <v>918</v>
      </c>
      <c r="J846" s="124" t="s">
        <v>919</v>
      </c>
      <c r="K846" s="182" t="s">
        <v>398</v>
      </c>
      <c r="L846" s="182">
        <v>0</v>
      </c>
      <c r="M846" s="182">
        <v>6.1300000000000005E-4</v>
      </c>
      <c r="N846" s="182">
        <v>6.1300000000000005E-4</v>
      </c>
      <c r="O846" s="182">
        <v>6.1300000000000005E-4</v>
      </c>
      <c r="P846" s="182">
        <v>6.1300000000000005E-4</v>
      </c>
      <c r="R846" s="154" t="str">
        <f t="shared" si="43"/>
        <v>A0405:アストマックス・エネルギー(株)メニューB</v>
      </c>
      <c r="S846" s="182">
        <f t="shared" si="44"/>
        <v>0</v>
      </c>
    </row>
    <row r="847" spans="9:19">
      <c r="I847" s="124" t="s">
        <v>918</v>
      </c>
      <c r="J847" s="124" t="s">
        <v>919</v>
      </c>
      <c r="K847" s="182" t="s">
        <v>399</v>
      </c>
      <c r="L847" s="182">
        <v>0</v>
      </c>
      <c r="M847" s="182">
        <v>6.0499999999999996E-4</v>
      </c>
      <c r="N847" s="182">
        <v>6.0499999999999996E-4</v>
      </c>
      <c r="O847" s="182">
        <v>6.0499999999999996E-4</v>
      </c>
      <c r="P847" s="182">
        <v>6.0499999999999996E-4</v>
      </c>
      <c r="R847" s="154" t="str">
        <f t="shared" si="43"/>
        <v>A0405:アストマックス・エネルギー(株)メニューC</v>
      </c>
      <c r="S847" s="182">
        <f t="shared" si="44"/>
        <v>0</v>
      </c>
    </row>
    <row r="848" spans="9:19">
      <c r="I848" s="124" t="s">
        <v>918</v>
      </c>
      <c r="J848" s="124" t="s">
        <v>919</v>
      </c>
      <c r="K848" s="182" t="s">
        <v>400</v>
      </c>
      <c r="L848" s="182">
        <v>4.0700000000000003E-4</v>
      </c>
      <c r="M848" s="182">
        <v>4.86E-4</v>
      </c>
      <c r="N848" s="182">
        <v>4.86E-4</v>
      </c>
      <c r="O848" s="182">
        <v>4.86E-4</v>
      </c>
      <c r="P848" s="182">
        <v>4.86E-4</v>
      </c>
      <c r="R848" s="154" t="str">
        <f t="shared" si="43"/>
        <v>A0405:アストマックス・エネルギー(株)メニューD</v>
      </c>
      <c r="S848" s="182">
        <f t="shared" si="44"/>
        <v>4.0700000000000003E-4</v>
      </c>
    </row>
    <row r="849" spans="9:19">
      <c r="I849" s="124" t="s">
        <v>918</v>
      </c>
      <c r="J849" s="124" t="s">
        <v>919</v>
      </c>
      <c r="K849" s="182" t="s">
        <v>2010</v>
      </c>
      <c r="L849" s="182">
        <v>3.9800000000000002E-4</v>
      </c>
      <c r="M849" s="182">
        <v>4.7800000000000002E-4</v>
      </c>
      <c r="N849" s="182">
        <v>4.7800000000000002E-4</v>
      </c>
      <c r="O849" s="182">
        <v>4.7800000000000002E-4</v>
      </c>
      <c r="P849" s="182">
        <v>4.7800000000000002E-4</v>
      </c>
      <c r="R849" s="154" t="str">
        <f t="shared" si="43"/>
        <v>A0405:アストマックス・エネルギー(株)(参考値)事業者全体</v>
      </c>
      <c r="S849" s="182">
        <f t="shared" si="44"/>
        <v>3.9800000000000002E-4</v>
      </c>
    </row>
    <row r="850" spans="9:19">
      <c r="I850" s="124" t="s">
        <v>920</v>
      </c>
      <c r="J850" s="124" t="s">
        <v>921</v>
      </c>
      <c r="K850" s="182"/>
      <c r="L850" s="182">
        <v>2.2499999999999999E-4</v>
      </c>
      <c r="M850" s="182">
        <v>0</v>
      </c>
      <c r="N850" s="182">
        <v>0</v>
      </c>
      <c r="O850" s="182">
        <v>0</v>
      </c>
      <c r="P850" s="182">
        <v>0</v>
      </c>
      <c r="R850" s="154" t="str">
        <f t="shared" si="43"/>
        <v>A0406:生活協同組合コープみらい</v>
      </c>
      <c r="S850" s="182">
        <f t="shared" si="44"/>
        <v>2.2499999999999999E-4</v>
      </c>
    </row>
    <row r="851" spans="9:19">
      <c r="I851" s="124" t="s">
        <v>922</v>
      </c>
      <c r="J851" s="124" t="s">
        <v>923</v>
      </c>
      <c r="K851" s="182"/>
      <c r="L851" s="182">
        <v>3.4299999999999999E-4</v>
      </c>
      <c r="M851" s="182">
        <v>1.64E-4</v>
      </c>
      <c r="N851" s="182">
        <v>1.64E-4</v>
      </c>
      <c r="O851" s="182">
        <v>1.64E-4</v>
      </c>
      <c r="P851" s="182">
        <v>1.64E-4</v>
      </c>
      <c r="R851" s="154" t="str">
        <f t="shared" si="43"/>
        <v>A0407:ALL GREEN POWER(株)</v>
      </c>
      <c r="S851" s="182">
        <f t="shared" si="44"/>
        <v>3.4299999999999999E-4</v>
      </c>
    </row>
    <row r="852" spans="9:19">
      <c r="I852" s="124" t="s">
        <v>924</v>
      </c>
      <c r="J852" s="124" t="s">
        <v>925</v>
      </c>
      <c r="K852" s="182"/>
      <c r="L852" s="182">
        <v>5.8200000000000005E-4</v>
      </c>
      <c r="M852" s="182">
        <v>2.7400000000000005E-4</v>
      </c>
      <c r="N852" s="182">
        <v>2.7400000000000005E-4</v>
      </c>
      <c r="O852" s="182">
        <v>2.7400000000000005E-4</v>
      </c>
      <c r="P852" s="182">
        <v>2.7400000000000005E-4</v>
      </c>
      <c r="R852" s="154" t="str">
        <f t="shared" si="43"/>
        <v>A0411:福井電力(株)</v>
      </c>
      <c r="S852" s="182">
        <f t="shared" si="44"/>
        <v>5.8200000000000005E-4</v>
      </c>
    </row>
    <row r="853" spans="9:19">
      <c r="I853" s="124" t="s">
        <v>926</v>
      </c>
      <c r="J853" s="124" t="s">
        <v>927</v>
      </c>
      <c r="K853" s="182"/>
      <c r="L853" s="182">
        <v>5.9500000000000004E-4</v>
      </c>
      <c r="M853" s="182">
        <v>2.9500000000000001E-4</v>
      </c>
      <c r="N853" s="182">
        <v>2.9500000000000001E-4</v>
      </c>
      <c r="O853" s="182">
        <v>2.9500000000000001E-4</v>
      </c>
      <c r="P853" s="182">
        <v>2.9500000000000001E-4</v>
      </c>
      <c r="R853" s="154" t="str">
        <f t="shared" si="43"/>
        <v>A0413:(株)MKエネルギー</v>
      </c>
      <c r="S853" s="182">
        <f t="shared" si="44"/>
        <v>5.9500000000000004E-4</v>
      </c>
    </row>
    <row r="854" spans="9:19">
      <c r="I854" s="124" t="s">
        <v>928</v>
      </c>
      <c r="J854" s="124" t="s">
        <v>929</v>
      </c>
      <c r="K854" s="182" t="s">
        <v>390</v>
      </c>
      <c r="L854" s="182">
        <v>0</v>
      </c>
      <c r="M854" s="182">
        <v>5.4600000000000004E-4</v>
      </c>
      <c r="N854" s="182">
        <v>5.4600000000000004E-4</v>
      </c>
      <c r="O854" s="182">
        <v>5.4600000000000004E-4</v>
      </c>
      <c r="P854" s="182">
        <v>5.4600000000000004E-4</v>
      </c>
      <c r="R854" s="154" t="str">
        <f t="shared" si="43"/>
        <v>A0415:エネラボ(株)メニューA</v>
      </c>
      <c r="S854" s="182">
        <f t="shared" si="44"/>
        <v>0</v>
      </c>
    </row>
    <row r="855" spans="9:19">
      <c r="I855" s="124" t="s">
        <v>928</v>
      </c>
      <c r="J855" s="124" t="s">
        <v>929</v>
      </c>
      <c r="K855" s="182" t="s">
        <v>398</v>
      </c>
      <c r="L855" s="182">
        <v>4.6500000000000003E-4</v>
      </c>
      <c r="M855" s="182">
        <v>4.3199999999999998E-4</v>
      </c>
      <c r="N855" s="182">
        <v>4.3199999999999998E-4</v>
      </c>
      <c r="O855" s="182">
        <v>4.3199999999999998E-4</v>
      </c>
      <c r="P855" s="182">
        <v>4.3199999999999998E-4</v>
      </c>
      <c r="R855" s="154" t="str">
        <f t="shared" si="43"/>
        <v>A0415:エネラボ(株)メニューB</v>
      </c>
      <c r="S855" s="182">
        <f t="shared" si="44"/>
        <v>4.6500000000000003E-4</v>
      </c>
    </row>
    <row r="856" spans="9:19">
      <c r="I856" s="124" t="s">
        <v>928</v>
      </c>
      <c r="J856" s="124" t="s">
        <v>929</v>
      </c>
      <c r="K856" s="182" t="s">
        <v>2010</v>
      </c>
      <c r="L856" s="182">
        <v>4.6500000000000003E-4</v>
      </c>
      <c r="M856" s="182">
        <v>4.1800000000000002E-4</v>
      </c>
      <c r="N856" s="182">
        <v>4.1800000000000002E-4</v>
      </c>
      <c r="O856" s="182">
        <v>4.1800000000000002E-4</v>
      </c>
      <c r="P856" s="182">
        <v>4.1800000000000002E-4</v>
      </c>
      <c r="R856" s="154" t="str">
        <f t="shared" si="43"/>
        <v>A0415:エネラボ(株)(参考値)事業者全体</v>
      </c>
      <c r="S856" s="182">
        <f t="shared" si="44"/>
        <v>4.6500000000000003E-4</v>
      </c>
    </row>
    <row r="857" spans="9:19">
      <c r="I857" s="124" t="s">
        <v>930</v>
      </c>
      <c r="J857" s="124" t="s">
        <v>931</v>
      </c>
      <c r="K857" s="182"/>
      <c r="L857" s="182">
        <v>4.0999999999999999E-4</v>
      </c>
      <c r="M857" s="182">
        <v>0</v>
      </c>
      <c r="N857" s="182">
        <v>0</v>
      </c>
      <c r="O857" s="182">
        <v>0</v>
      </c>
      <c r="P857" s="182">
        <v>0</v>
      </c>
      <c r="R857" s="154" t="str">
        <f t="shared" si="43"/>
        <v>A0418:横浜ウォーター(株)</v>
      </c>
      <c r="S857" s="182">
        <f t="shared" si="44"/>
        <v>4.0999999999999999E-4</v>
      </c>
    </row>
    <row r="858" spans="9:19">
      <c r="I858" s="124" t="s">
        <v>932</v>
      </c>
      <c r="J858" s="124" t="s">
        <v>933</v>
      </c>
      <c r="K858" s="182" t="s">
        <v>390</v>
      </c>
      <c r="L858" s="182">
        <v>0</v>
      </c>
      <c r="M858" s="182">
        <v>0</v>
      </c>
      <c r="N858" s="182">
        <v>0</v>
      </c>
      <c r="O858" s="182">
        <v>0</v>
      </c>
      <c r="P858" s="182">
        <v>0</v>
      </c>
      <c r="R858" s="154" t="str">
        <f t="shared" si="43"/>
        <v>A0419:スマートエナジー磐田(株)メニューA</v>
      </c>
      <c r="S858" s="182">
        <f t="shared" si="44"/>
        <v>0</v>
      </c>
    </row>
    <row r="859" spans="9:19">
      <c r="I859" s="124" t="s">
        <v>932</v>
      </c>
      <c r="J859" s="124" t="s">
        <v>933</v>
      </c>
      <c r="K859" s="182" t="s">
        <v>398</v>
      </c>
      <c r="L859" s="182">
        <v>3.0600000000000001E-4</v>
      </c>
      <c r="M859" s="182">
        <v>3.7800000000000003E-4</v>
      </c>
      <c r="N859" s="182">
        <v>3.7800000000000003E-4</v>
      </c>
      <c r="O859" s="182">
        <v>3.7800000000000003E-4</v>
      </c>
      <c r="P859" s="182">
        <v>3.7800000000000003E-4</v>
      </c>
      <c r="R859" s="154" t="str">
        <f t="shared" si="43"/>
        <v>A0419:スマートエナジー磐田(株)メニューB</v>
      </c>
      <c r="S859" s="182">
        <f t="shared" si="44"/>
        <v>3.0600000000000001E-4</v>
      </c>
    </row>
    <row r="860" spans="9:19">
      <c r="I860" s="124" t="s">
        <v>932</v>
      </c>
      <c r="J860" s="124" t="s">
        <v>933</v>
      </c>
      <c r="K860" s="182" t="s">
        <v>399</v>
      </c>
      <c r="L860" s="182">
        <v>3.4099999999999999E-4</v>
      </c>
      <c r="M860" s="182">
        <v>3.8700000000000003E-4</v>
      </c>
      <c r="N860" s="182">
        <v>3.8700000000000003E-4</v>
      </c>
      <c r="O860" s="182">
        <v>3.8700000000000003E-4</v>
      </c>
      <c r="P860" s="182">
        <v>3.8700000000000003E-4</v>
      </c>
      <c r="R860" s="154" t="str">
        <f t="shared" si="43"/>
        <v>A0419:スマートエナジー磐田(株)メニューC</v>
      </c>
      <c r="S860" s="182">
        <f t="shared" si="44"/>
        <v>3.4099999999999999E-4</v>
      </c>
    </row>
    <row r="861" spans="9:19">
      <c r="I861" s="124" t="s">
        <v>932</v>
      </c>
      <c r="J861" s="124" t="s">
        <v>933</v>
      </c>
      <c r="K861" s="182" t="s">
        <v>2010</v>
      </c>
      <c r="L861" s="182">
        <v>3.3199999999999999E-4</v>
      </c>
      <c r="M861" s="182">
        <v>3.8700000000000003E-4</v>
      </c>
      <c r="N861" s="182">
        <v>3.8700000000000003E-4</v>
      </c>
      <c r="O861" s="182">
        <v>3.8700000000000003E-4</v>
      </c>
      <c r="P861" s="182">
        <v>3.8700000000000003E-4</v>
      </c>
      <c r="R861" s="154" t="str">
        <f t="shared" si="43"/>
        <v>A0419:スマートエナジー磐田(株)(参考値)事業者全体</v>
      </c>
      <c r="S861" s="182">
        <f t="shared" si="44"/>
        <v>3.3199999999999999E-4</v>
      </c>
    </row>
    <row r="862" spans="9:19">
      <c r="I862" s="124" t="s">
        <v>934</v>
      </c>
      <c r="J862" s="124" t="s">
        <v>935</v>
      </c>
      <c r="K862" s="182"/>
      <c r="L862" s="182">
        <v>4.6500000000000003E-4</v>
      </c>
      <c r="M862" s="182">
        <v>4.0300000000000004E-4</v>
      </c>
      <c r="N862" s="182">
        <v>4.0300000000000004E-4</v>
      </c>
      <c r="O862" s="182">
        <v>4.0300000000000004E-4</v>
      </c>
      <c r="P862" s="182">
        <v>4.0300000000000004E-4</v>
      </c>
      <c r="R862" s="154" t="str">
        <f t="shared" si="43"/>
        <v>A0420:そうまIグリッド合同会社</v>
      </c>
      <c r="S862" s="182">
        <f t="shared" si="44"/>
        <v>4.6500000000000003E-4</v>
      </c>
    </row>
    <row r="863" spans="9:19">
      <c r="I863" s="124" t="s">
        <v>936</v>
      </c>
      <c r="J863" s="124" t="s">
        <v>937</v>
      </c>
      <c r="K863" s="182"/>
      <c r="L863" s="182">
        <v>4.2900000000000002E-4</v>
      </c>
      <c r="M863" s="182">
        <v>2.8200000000000002E-4</v>
      </c>
      <c r="N863" s="182">
        <v>2.8200000000000002E-4</v>
      </c>
      <c r="O863" s="182">
        <v>2.8200000000000002E-4</v>
      </c>
      <c r="P863" s="182">
        <v>2.8200000000000002E-4</v>
      </c>
      <c r="R863" s="154" t="str">
        <f t="shared" si="43"/>
        <v>A0425:エネトレード(株)</v>
      </c>
      <c r="S863" s="182">
        <f t="shared" si="44"/>
        <v>4.2900000000000002E-4</v>
      </c>
    </row>
    <row r="864" spans="9:19">
      <c r="I864" s="124" t="s">
        <v>938</v>
      </c>
      <c r="J864" s="124" t="s">
        <v>939</v>
      </c>
      <c r="K864" s="182"/>
      <c r="L864" s="182">
        <v>5.9800000000000001E-4</v>
      </c>
      <c r="M864" s="182">
        <v>5.9699999999999998E-4</v>
      </c>
      <c r="N864" s="182">
        <v>5.9699999999999998E-4</v>
      </c>
      <c r="O864" s="182">
        <v>5.9699999999999998E-4</v>
      </c>
      <c r="P864" s="182">
        <v>5.9699999999999998E-4</v>
      </c>
      <c r="R864" s="154" t="str">
        <f t="shared" si="43"/>
        <v>A0429:ニシムラ(株)</v>
      </c>
      <c r="S864" s="182">
        <f t="shared" si="44"/>
        <v>5.9800000000000001E-4</v>
      </c>
    </row>
    <row r="865" spans="9:19">
      <c r="I865" s="124" t="s">
        <v>940</v>
      </c>
      <c r="J865" s="124" t="s">
        <v>941</v>
      </c>
      <c r="K865" s="182" t="s">
        <v>390</v>
      </c>
      <c r="L865" s="182">
        <v>0</v>
      </c>
      <c r="M865" s="182">
        <v>0</v>
      </c>
      <c r="N865" s="182">
        <v>0</v>
      </c>
      <c r="O865" s="182">
        <v>0</v>
      </c>
      <c r="P865" s="182">
        <v>0</v>
      </c>
      <c r="R865" s="154" t="str">
        <f t="shared" si="43"/>
        <v>A0430:(株)さくら新電力メニューA</v>
      </c>
      <c r="S865" s="182">
        <f t="shared" si="44"/>
        <v>0</v>
      </c>
    </row>
    <row r="866" spans="9:19">
      <c r="I866" s="124" t="s">
        <v>940</v>
      </c>
      <c r="J866" s="124" t="s">
        <v>941</v>
      </c>
      <c r="K866" s="182" t="s">
        <v>398</v>
      </c>
      <c r="L866" s="182">
        <v>5.4600000000000004E-4</v>
      </c>
      <c r="M866" s="182">
        <v>5.6099999999999998E-4</v>
      </c>
      <c r="N866" s="182">
        <v>5.6099999999999998E-4</v>
      </c>
      <c r="O866" s="182">
        <v>5.6099999999999998E-4</v>
      </c>
      <c r="P866" s="182">
        <v>5.6099999999999998E-4</v>
      </c>
      <c r="R866" s="154" t="str">
        <f t="shared" si="43"/>
        <v>A0430:(株)さくら新電力メニューB</v>
      </c>
      <c r="S866" s="182">
        <f t="shared" si="44"/>
        <v>5.4600000000000004E-4</v>
      </c>
    </row>
    <row r="867" spans="9:19">
      <c r="I867" s="124" t="s">
        <v>940</v>
      </c>
      <c r="J867" s="124" t="s">
        <v>941</v>
      </c>
      <c r="K867" s="182" t="s">
        <v>2010</v>
      </c>
      <c r="L867" s="182">
        <v>5.0900000000000001E-4</v>
      </c>
      <c r="M867" s="182">
        <v>1.356E-3</v>
      </c>
      <c r="N867" s="182">
        <v>1.356E-3</v>
      </c>
      <c r="O867" s="182">
        <v>1.356E-3</v>
      </c>
      <c r="P867" s="182">
        <v>1.356E-3</v>
      </c>
      <c r="R867" s="154" t="str">
        <f t="shared" si="43"/>
        <v>A0430:(株)さくら新電力(参考値)事業者全体</v>
      </c>
      <c r="S867" s="182">
        <f t="shared" si="44"/>
        <v>5.0900000000000001E-4</v>
      </c>
    </row>
    <row r="868" spans="9:19">
      <c r="I868" s="124" t="s">
        <v>942</v>
      </c>
      <c r="J868" s="124" t="s">
        <v>943</v>
      </c>
      <c r="K868" s="182"/>
      <c r="L868" s="182">
        <v>1.9100000000000001E-4</v>
      </c>
      <c r="M868" s="182">
        <v>0</v>
      </c>
      <c r="N868" s="182">
        <v>0</v>
      </c>
      <c r="O868" s="182">
        <v>0</v>
      </c>
      <c r="P868" s="182">
        <v>0</v>
      </c>
      <c r="R868" s="154" t="str">
        <f t="shared" si="43"/>
        <v>A0431:(株)グローアップ</v>
      </c>
      <c r="S868" s="182">
        <f t="shared" si="44"/>
        <v>1.9100000000000001E-4</v>
      </c>
    </row>
    <row r="869" spans="9:19">
      <c r="I869" s="124" t="s">
        <v>944</v>
      </c>
      <c r="J869" s="124" t="s">
        <v>945</v>
      </c>
      <c r="K869" s="182"/>
      <c r="L869" s="182">
        <v>4.8099999999999998E-4</v>
      </c>
      <c r="M869" s="182">
        <v>3.4099999999999999E-4</v>
      </c>
      <c r="N869" s="182">
        <v>3.4099999999999999E-4</v>
      </c>
      <c r="O869" s="182">
        <v>3.4099999999999999E-4</v>
      </c>
      <c r="P869" s="182">
        <v>3.4099999999999999E-4</v>
      </c>
      <c r="R869" s="154" t="str">
        <f t="shared" si="43"/>
        <v>A0435:いこま市民パワー(株)</v>
      </c>
      <c r="S869" s="182">
        <f t="shared" si="44"/>
        <v>4.8099999999999998E-4</v>
      </c>
    </row>
    <row r="870" spans="9:19">
      <c r="I870" s="124" t="s">
        <v>946</v>
      </c>
      <c r="J870" s="124" t="s">
        <v>947</v>
      </c>
      <c r="K870" s="182" t="s">
        <v>390</v>
      </c>
      <c r="L870" s="182">
        <v>0</v>
      </c>
      <c r="M870" s="182">
        <v>6.0899999999999995E-4</v>
      </c>
      <c r="N870" s="182">
        <v>6.0899999999999995E-4</v>
      </c>
      <c r="O870" s="182">
        <v>6.0899999999999995E-4</v>
      </c>
      <c r="P870" s="182">
        <v>6.0899999999999995E-4</v>
      </c>
      <c r="R870" s="154" t="str">
        <f t="shared" si="43"/>
        <v>A0437:おもてなし山形(株)メニューA</v>
      </c>
      <c r="S870" s="182">
        <f t="shared" si="44"/>
        <v>0</v>
      </c>
    </row>
    <row r="871" spans="9:19">
      <c r="I871" s="124" t="s">
        <v>946</v>
      </c>
      <c r="J871" s="124" t="s">
        <v>947</v>
      </c>
      <c r="K871" s="182" t="s">
        <v>398</v>
      </c>
      <c r="L871" s="182">
        <v>9.1000000000000003E-5</v>
      </c>
      <c r="M871" s="182">
        <v>4.2999999999999999E-4</v>
      </c>
      <c r="N871" s="182">
        <v>4.2999999999999999E-4</v>
      </c>
      <c r="O871" s="182">
        <v>4.2999999999999999E-4</v>
      </c>
      <c r="P871" s="182">
        <v>4.2999999999999999E-4</v>
      </c>
      <c r="R871" s="154" t="str">
        <f t="shared" si="43"/>
        <v>A0437:おもてなし山形(株)メニューB</v>
      </c>
      <c r="S871" s="182">
        <f t="shared" si="44"/>
        <v>9.1000000000000003E-5</v>
      </c>
    </row>
    <row r="872" spans="9:19">
      <c r="I872" s="124" t="s">
        <v>946</v>
      </c>
      <c r="J872" s="124" t="s">
        <v>947</v>
      </c>
      <c r="K872" s="182" t="s">
        <v>2010</v>
      </c>
      <c r="L872" s="182">
        <v>0</v>
      </c>
      <c r="M872" s="182">
        <v>0</v>
      </c>
      <c r="N872" s="182">
        <v>0</v>
      </c>
      <c r="O872" s="182">
        <v>0</v>
      </c>
      <c r="P872" s="182">
        <v>0</v>
      </c>
      <c r="R872" s="154" t="str">
        <f t="shared" si="43"/>
        <v>A0437:おもてなし山形(株)(参考値)事業者全体</v>
      </c>
      <c r="S872" s="182">
        <f t="shared" si="44"/>
        <v>0</v>
      </c>
    </row>
    <row r="873" spans="9:19">
      <c r="I873" s="124" t="s">
        <v>948</v>
      </c>
      <c r="J873" s="124" t="s">
        <v>949</v>
      </c>
      <c r="K873" s="182"/>
      <c r="L873" s="182">
        <v>3.6299999999999999E-4</v>
      </c>
      <c r="M873" s="182">
        <v>0</v>
      </c>
      <c r="N873" s="182">
        <v>0</v>
      </c>
      <c r="O873" s="182">
        <v>0</v>
      </c>
      <c r="P873" s="182">
        <v>0</v>
      </c>
      <c r="R873" s="154" t="str">
        <f t="shared" si="43"/>
        <v>A0438:長野都市ガス(株)</v>
      </c>
      <c r="S873" s="182">
        <f t="shared" si="44"/>
        <v>3.6299999999999999E-4</v>
      </c>
    </row>
    <row r="874" spans="9:19">
      <c r="I874" s="124" t="s">
        <v>950</v>
      </c>
      <c r="J874" s="124" t="s">
        <v>951</v>
      </c>
      <c r="K874" s="182"/>
      <c r="L874" s="182">
        <v>3.4099999999999999E-4</v>
      </c>
      <c r="M874" s="182">
        <v>4.2900000000000002E-4</v>
      </c>
      <c r="N874" s="182">
        <v>4.2900000000000002E-4</v>
      </c>
      <c r="O874" s="182">
        <v>4.2900000000000002E-4</v>
      </c>
      <c r="P874" s="182">
        <v>4.2900000000000002E-4</v>
      </c>
      <c r="R874" s="154" t="str">
        <f t="shared" si="43"/>
        <v>A0439:上田ガス(株)</v>
      </c>
      <c r="S874" s="182">
        <f t="shared" si="44"/>
        <v>3.4099999999999999E-4</v>
      </c>
    </row>
    <row r="875" spans="9:19">
      <c r="I875" s="124" t="s">
        <v>954</v>
      </c>
      <c r="J875" s="124" t="s">
        <v>955</v>
      </c>
      <c r="K875" s="182"/>
      <c r="L875" s="182">
        <v>3.6999999999999999E-4</v>
      </c>
      <c r="M875" s="182">
        <v>3.8700000000000003E-4</v>
      </c>
      <c r="N875" s="182">
        <v>3.8700000000000003E-4</v>
      </c>
      <c r="O875" s="182">
        <v>3.8700000000000003E-4</v>
      </c>
      <c r="P875" s="182">
        <v>3.8700000000000003E-4</v>
      </c>
      <c r="R875" s="154" t="str">
        <f t="shared" si="43"/>
        <v>A0442:(株)シグナストラスト</v>
      </c>
      <c r="S875" s="182">
        <f t="shared" si="44"/>
        <v>3.6999999999999999E-4</v>
      </c>
    </row>
    <row r="876" spans="9:19">
      <c r="I876" s="124" t="s">
        <v>956</v>
      </c>
      <c r="J876" s="124" t="s">
        <v>957</v>
      </c>
      <c r="K876" s="182"/>
      <c r="L876" s="182">
        <v>5.6999999999999998E-4</v>
      </c>
      <c r="M876" s="182">
        <v>3.8400000000000001E-4</v>
      </c>
      <c r="N876" s="182">
        <v>3.8400000000000001E-4</v>
      </c>
      <c r="O876" s="182">
        <v>3.8400000000000001E-4</v>
      </c>
      <c r="P876" s="182">
        <v>3.8400000000000001E-4</v>
      </c>
      <c r="R876" s="154" t="str">
        <f t="shared" si="43"/>
        <v>A0443:ゲーテハウス(株)</v>
      </c>
      <c r="S876" s="182">
        <f t="shared" si="44"/>
        <v>5.6999999999999998E-4</v>
      </c>
    </row>
    <row r="877" spans="9:19">
      <c r="I877" s="124" t="s">
        <v>958</v>
      </c>
      <c r="J877" s="124" t="s">
        <v>959</v>
      </c>
      <c r="K877" s="182"/>
      <c r="L877" s="182">
        <v>6.0099999999999997E-4</v>
      </c>
      <c r="M877" s="182">
        <v>0</v>
      </c>
      <c r="N877" s="182">
        <v>0</v>
      </c>
      <c r="O877" s="182">
        <v>0</v>
      </c>
      <c r="P877" s="182">
        <v>0</v>
      </c>
      <c r="R877" s="154" t="str">
        <f t="shared" si="43"/>
        <v>A0446:JPエネルギー(株)</v>
      </c>
      <c r="S877" s="182">
        <f t="shared" si="44"/>
        <v>6.0099999999999997E-4</v>
      </c>
    </row>
    <row r="878" spans="9:19">
      <c r="I878" s="124" t="s">
        <v>960</v>
      </c>
      <c r="J878" s="124" t="s">
        <v>961</v>
      </c>
      <c r="K878" s="182"/>
      <c r="L878" s="182">
        <v>5.5599999999999996E-4</v>
      </c>
      <c r="M878" s="182">
        <v>2.2599999999999999E-4</v>
      </c>
      <c r="N878" s="182">
        <v>2.2599999999999999E-4</v>
      </c>
      <c r="O878" s="182">
        <v>2.2599999999999999E-4</v>
      </c>
      <c r="P878" s="182">
        <v>2.2599999999999999E-4</v>
      </c>
      <c r="R878" s="154" t="str">
        <f t="shared" si="43"/>
        <v>A0447:兵庫電力(株)</v>
      </c>
      <c r="S878" s="182">
        <f t="shared" si="44"/>
        <v>5.5599999999999996E-4</v>
      </c>
    </row>
    <row r="879" spans="9:19">
      <c r="I879" s="124" t="s">
        <v>962</v>
      </c>
      <c r="J879" s="124" t="s">
        <v>963</v>
      </c>
      <c r="K879" s="182" t="s">
        <v>390</v>
      </c>
      <c r="L879" s="182">
        <v>0</v>
      </c>
      <c r="M879" s="182">
        <v>3.5199999999999999E-4</v>
      </c>
      <c r="N879" s="182">
        <v>3.5199999999999999E-4</v>
      </c>
      <c r="O879" s="182">
        <v>3.5199999999999999E-4</v>
      </c>
      <c r="P879" s="182">
        <v>3.5199999999999999E-4</v>
      </c>
      <c r="R879" s="154" t="str">
        <f t="shared" si="43"/>
        <v>A0448:大和ライフエナジア(株)メニューA</v>
      </c>
      <c r="S879" s="182">
        <f t="shared" si="44"/>
        <v>0</v>
      </c>
    </row>
    <row r="880" spans="9:19">
      <c r="I880" s="124" t="s">
        <v>962</v>
      </c>
      <c r="J880" s="124" t="s">
        <v>963</v>
      </c>
      <c r="K880" s="182" t="s">
        <v>398</v>
      </c>
      <c r="L880" s="182">
        <v>2.8899999999999998E-4</v>
      </c>
      <c r="M880" s="182">
        <v>3.4099999999999999E-4</v>
      </c>
      <c r="N880" s="182">
        <v>3.4099999999999999E-4</v>
      </c>
      <c r="O880" s="182">
        <v>3.4099999999999999E-4</v>
      </c>
      <c r="P880" s="182">
        <v>3.4099999999999999E-4</v>
      </c>
      <c r="R880" s="154" t="str">
        <f t="shared" si="43"/>
        <v>A0448:大和ライフエナジア(株)メニューB</v>
      </c>
      <c r="S880" s="182">
        <f t="shared" si="44"/>
        <v>2.8899999999999998E-4</v>
      </c>
    </row>
    <row r="881" spans="9:19">
      <c r="I881" s="124" t="s">
        <v>962</v>
      </c>
      <c r="J881" s="124" t="s">
        <v>963</v>
      </c>
      <c r="K881" s="182" t="s">
        <v>2010</v>
      </c>
      <c r="L881" s="182">
        <v>2.8699999999999998E-4</v>
      </c>
      <c r="M881" s="182">
        <v>6.1200000000000002E-4</v>
      </c>
      <c r="N881" s="182">
        <v>6.1200000000000002E-4</v>
      </c>
      <c r="O881" s="182">
        <v>6.1200000000000002E-4</v>
      </c>
      <c r="P881" s="182">
        <v>6.1200000000000002E-4</v>
      </c>
      <c r="R881" s="154" t="str">
        <f t="shared" si="43"/>
        <v>A0448:大和ライフエナジア(株)(参考値)事業者全体</v>
      </c>
      <c r="S881" s="182">
        <f t="shared" si="44"/>
        <v>2.8699999999999998E-4</v>
      </c>
    </row>
    <row r="882" spans="9:19">
      <c r="I882" s="124" t="s">
        <v>964</v>
      </c>
      <c r="J882" s="124" t="s">
        <v>965</v>
      </c>
      <c r="K882" s="182"/>
      <c r="L882" s="182">
        <v>4.8999999999999998E-4</v>
      </c>
      <c r="M882" s="182">
        <v>0</v>
      </c>
      <c r="N882" s="182">
        <v>0</v>
      </c>
      <c r="O882" s="182">
        <v>0</v>
      </c>
      <c r="P882" s="182">
        <v>0</v>
      </c>
      <c r="R882" s="154" t="str">
        <f t="shared" si="43"/>
        <v>A0451:Cocoテラスたがわ(株)</v>
      </c>
      <c r="S882" s="182">
        <f t="shared" si="44"/>
        <v>4.8999999999999998E-4</v>
      </c>
    </row>
    <row r="883" spans="9:19">
      <c r="I883" s="124" t="s">
        <v>966</v>
      </c>
      <c r="J883" s="124" t="s">
        <v>967</v>
      </c>
      <c r="K883" s="182"/>
      <c r="L883" s="182">
        <v>4.2900000000000002E-4</v>
      </c>
      <c r="M883" s="182">
        <v>0</v>
      </c>
      <c r="N883" s="182">
        <v>0</v>
      </c>
      <c r="O883" s="182">
        <v>0</v>
      </c>
      <c r="P883" s="182">
        <v>0</v>
      </c>
      <c r="R883" s="154" t="str">
        <f t="shared" si="43"/>
        <v>A0452:東北電力エナジートレーディング(株)</v>
      </c>
      <c r="S883" s="182">
        <f t="shared" si="44"/>
        <v>4.2900000000000002E-4</v>
      </c>
    </row>
    <row r="884" spans="9:19">
      <c r="I884" s="124" t="s">
        <v>968</v>
      </c>
      <c r="J884" s="124" t="s">
        <v>969</v>
      </c>
      <c r="K884" s="182"/>
      <c r="L884" s="182">
        <v>4.1599999999999997E-4</v>
      </c>
      <c r="M884" s="182">
        <v>2.6600000000000001E-4</v>
      </c>
      <c r="N884" s="182">
        <v>2.6600000000000001E-4</v>
      </c>
      <c r="O884" s="182">
        <v>2.6600000000000001E-4</v>
      </c>
      <c r="P884" s="182">
        <v>2.6600000000000001E-4</v>
      </c>
      <c r="R884" s="154" t="str">
        <f t="shared" si="43"/>
        <v>A0453:(株)横浜環境デザイン</v>
      </c>
      <c r="S884" s="182">
        <f t="shared" si="44"/>
        <v>4.1599999999999997E-4</v>
      </c>
    </row>
    <row r="885" spans="9:19">
      <c r="I885" s="124" t="s">
        <v>970</v>
      </c>
      <c r="J885" s="124" t="s">
        <v>971</v>
      </c>
      <c r="K885" s="182" t="s">
        <v>390</v>
      </c>
      <c r="L885" s="182">
        <v>0</v>
      </c>
      <c r="M885" s="182">
        <v>1.3800000000000002E-4</v>
      </c>
      <c r="N885" s="182">
        <v>1.3800000000000002E-4</v>
      </c>
      <c r="O885" s="182">
        <v>1.3800000000000002E-4</v>
      </c>
      <c r="P885" s="182">
        <v>1.3800000000000002E-4</v>
      </c>
      <c r="R885" s="154" t="str">
        <f t="shared" si="43"/>
        <v>A0454:(株)まち未来製作所メニューA</v>
      </c>
      <c r="S885" s="182">
        <f t="shared" si="44"/>
        <v>0</v>
      </c>
    </row>
    <row r="886" spans="9:19">
      <c r="I886" s="124" t="s">
        <v>970</v>
      </c>
      <c r="J886" s="124" t="s">
        <v>971</v>
      </c>
      <c r="K886" s="182" t="s">
        <v>398</v>
      </c>
      <c r="L886" s="182">
        <v>6.3400000000000001E-4</v>
      </c>
      <c r="M886" s="182">
        <v>2.7300000000000002E-4</v>
      </c>
      <c r="N886" s="182">
        <v>2.7300000000000002E-4</v>
      </c>
      <c r="O886" s="182">
        <v>2.7300000000000002E-4</v>
      </c>
      <c r="P886" s="182">
        <v>2.7300000000000002E-4</v>
      </c>
      <c r="R886" s="154" t="str">
        <f t="shared" si="43"/>
        <v>A0454:(株)まち未来製作所メニューB</v>
      </c>
      <c r="S886" s="182">
        <f t="shared" si="44"/>
        <v>6.3400000000000001E-4</v>
      </c>
    </row>
    <row r="887" spans="9:19">
      <c r="I887" s="124" t="s">
        <v>970</v>
      </c>
      <c r="J887" s="124" t="s">
        <v>971</v>
      </c>
      <c r="K887" s="182" t="s">
        <v>2010</v>
      </c>
      <c r="L887" s="182">
        <v>5.9500000000000004E-4</v>
      </c>
      <c r="M887" s="182">
        <v>6.0800000000000003E-4</v>
      </c>
      <c r="N887" s="182">
        <v>6.0800000000000003E-4</v>
      </c>
      <c r="O887" s="182">
        <v>6.0800000000000003E-4</v>
      </c>
      <c r="P887" s="182">
        <v>6.0800000000000003E-4</v>
      </c>
      <c r="R887" s="154" t="str">
        <f t="shared" si="43"/>
        <v>A0454:(株)まち未来製作所(参考値)事業者全体</v>
      </c>
      <c r="S887" s="182">
        <f t="shared" si="44"/>
        <v>5.9500000000000004E-4</v>
      </c>
    </row>
    <row r="888" spans="9:19">
      <c r="I888" s="124" t="s">
        <v>972</v>
      </c>
      <c r="J888" s="124" t="s">
        <v>973</v>
      </c>
      <c r="K888" s="182"/>
      <c r="L888" s="182">
        <v>6.69E-4</v>
      </c>
      <c r="M888" s="182">
        <v>3.9800000000000002E-4</v>
      </c>
      <c r="N888" s="182">
        <v>3.9800000000000002E-4</v>
      </c>
      <c r="O888" s="182">
        <v>3.9800000000000002E-4</v>
      </c>
      <c r="P888" s="182">
        <v>3.9800000000000002E-4</v>
      </c>
      <c r="R888" s="154" t="str">
        <f t="shared" si="43"/>
        <v>A0455:TRENDE(株)</v>
      </c>
      <c r="S888" s="182">
        <f t="shared" si="44"/>
        <v>6.69E-4</v>
      </c>
    </row>
    <row r="889" spans="9:19">
      <c r="I889" s="124" t="s">
        <v>974</v>
      </c>
      <c r="J889" s="124" t="s">
        <v>975</v>
      </c>
      <c r="K889" s="182" t="s">
        <v>390</v>
      </c>
      <c r="L889" s="182">
        <v>0</v>
      </c>
      <c r="M889" s="182">
        <v>5.1500000000000005E-4</v>
      </c>
      <c r="N889" s="182">
        <v>5.1500000000000005E-4</v>
      </c>
      <c r="O889" s="182">
        <v>5.1500000000000005E-4</v>
      </c>
      <c r="P889" s="182">
        <v>5.1500000000000005E-4</v>
      </c>
      <c r="R889" s="154" t="str">
        <f t="shared" si="43"/>
        <v>A0456:(株)どさんこパワーメニューA</v>
      </c>
      <c r="S889" s="182">
        <f t="shared" si="44"/>
        <v>0</v>
      </c>
    </row>
    <row r="890" spans="9:19">
      <c r="I890" s="124" t="s">
        <v>974</v>
      </c>
      <c r="J890" s="124" t="s">
        <v>975</v>
      </c>
      <c r="K890" s="182" t="s">
        <v>398</v>
      </c>
      <c r="L890" s="182">
        <v>6.11E-4</v>
      </c>
      <c r="M890" s="182">
        <v>0</v>
      </c>
      <c r="N890" s="182">
        <v>0</v>
      </c>
      <c r="O890" s="182">
        <v>0</v>
      </c>
      <c r="P890" s="182">
        <v>0</v>
      </c>
      <c r="R890" s="154" t="str">
        <f t="shared" si="43"/>
        <v>A0456:(株)どさんこパワーメニューB</v>
      </c>
      <c r="S890" s="182">
        <f t="shared" si="44"/>
        <v>6.11E-4</v>
      </c>
    </row>
    <row r="891" spans="9:19">
      <c r="I891" s="124" t="s">
        <v>974</v>
      </c>
      <c r="J891" s="124" t="s">
        <v>975</v>
      </c>
      <c r="K891" s="182" t="s">
        <v>2010</v>
      </c>
      <c r="L891" s="182">
        <v>6.0800000000000003E-4</v>
      </c>
      <c r="M891" s="182">
        <v>7.0899999999999999E-4</v>
      </c>
      <c r="N891" s="182">
        <v>7.0899999999999999E-4</v>
      </c>
      <c r="O891" s="182">
        <v>7.0899999999999999E-4</v>
      </c>
      <c r="P891" s="182">
        <v>7.0899999999999999E-4</v>
      </c>
      <c r="R891" s="154" t="str">
        <f t="shared" si="43"/>
        <v>A0456:(株)どさんこパワー(参考値)事業者全体</v>
      </c>
      <c r="S891" s="182">
        <f t="shared" si="44"/>
        <v>6.0800000000000003E-4</v>
      </c>
    </row>
    <row r="892" spans="9:19">
      <c r="I892" s="124" t="s">
        <v>976</v>
      </c>
      <c r="J892" s="124" t="s">
        <v>977</v>
      </c>
      <c r="K892" s="182"/>
      <c r="L892" s="182">
        <v>5.6300000000000002E-4</v>
      </c>
      <c r="M892" s="182">
        <v>0</v>
      </c>
      <c r="N892" s="182">
        <v>0</v>
      </c>
      <c r="O892" s="182">
        <v>0</v>
      </c>
      <c r="P892" s="182">
        <v>0</v>
      </c>
      <c r="R892" s="154" t="str">
        <f t="shared" si="43"/>
        <v>A0457:トリニティエナジー(株)</v>
      </c>
      <c r="S892" s="182">
        <f t="shared" si="44"/>
        <v>5.6300000000000002E-4</v>
      </c>
    </row>
    <row r="893" spans="9:19">
      <c r="I893" s="124" t="s">
        <v>978</v>
      </c>
      <c r="J893" s="124" t="s">
        <v>979</v>
      </c>
      <c r="K893" s="182"/>
      <c r="L893" s="182">
        <v>5.2700000000000002E-4</v>
      </c>
      <c r="M893" s="182">
        <v>4.4799999999999999E-4</v>
      </c>
      <c r="N893" s="182">
        <v>4.4799999999999999E-4</v>
      </c>
      <c r="O893" s="182">
        <v>4.4799999999999999E-4</v>
      </c>
      <c r="P893" s="182">
        <v>4.4799999999999999E-4</v>
      </c>
      <c r="R893" s="154" t="str">
        <f t="shared" si="43"/>
        <v>A0458:ワンワールドエナジー(株)</v>
      </c>
      <c r="S893" s="182">
        <f t="shared" si="44"/>
        <v>5.2700000000000002E-4</v>
      </c>
    </row>
    <row r="894" spans="9:19">
      <c r="I894" s="124" t="s">
        <v>980</v>
      </c>
      <c r="J894" s="124" t="s">
        <v>981</v>
      </c>
      <c r="K894" s="182"/>
      <c r="L894" s="182">
        <v>4.3199999999999998E-4</v>
      </c>
      <c r="M894" s="182">
        <v>3.4699999999999998E-4</v>
      </c>
      <c r="N894" s="182">
        <v>3.4699999999999998E-4</v>
      </c>
      <c r="O894" s="182">
        <v>3.4699999999999998E-4</v>
      </c>
      <c r="P894" s="182">
        <v>3.4699999999999998E-4</v>
      </c>
      <c r="R894" s="154" t="str">
        <f t="shared" si="43"/>
        <v>A0461:(株)LIXIL TEPCO スマートパートナーズ</v>
      </c>
      <c r="S894" s="182">
        <f t="shared" si="44"/>
        <v>4.3199999999999998E-4</v>
      </c>
    </row>
    <row r="895" spans="9:19">
      <c r="I895" s="124" t="s">
        <v>982</v>
      </c>
      <c r="J895" s="124" t="s">
        <v>983</v>
      </c>
      <c r="K895" s="182"/>
      <c r="L895" s="182">
        <v>5.0000000000000001E-4</v>
      </c>
      <c r="M895" s="182">
        <v>5.53E-4</v>
      </c>
      <c r="N895" s="182">
        <v>5.53E-4</v>
      </c>
      <c r="O895" s="182">
        <v>5.53E-4</v>
      </c>
      <c r="P895" s="182">
        <v>5.53E-4</v>
      </c>
      <c r="R895" s="154" t="str">
        <f t="shared" si="43"/>
        <v>A0463:(株)NEXT ONE</v>
      </c>
      <c r="S895" s="182">
        <f t="shared" si="44"/>
        <v>5.0000000000000001E-4</v>
      </c>
    </row>
    <row r="896" spans="9:19">
      <c r="I896" s="124" t="s">
        <v>984</v>
      </c>
      <c r="J896" s="124" t="s">
        <v>985</v>
      </c>
      <c r="K896" s="182"/>
      <c r="L896" s="182">
        <v>4.7399999999999997E-4</v>
      </c>
      <c r="M896" s="182">
        <v>0</v>
      </c>
      <c r="N896" s="182">
        <v>0</v>
      </c>
      <c r="O896" s="182">
        <v>0</v>
      </c>
      <c r="P896" s="182">
        <v>0</v>
      </c>
      <c r="R896" s="154" t="str">
        <f t="shared" si="43"/>
        <v>A0465:(株)ムダカラ</v>
      </c>
      <c r="S896" s="182">
        <f t="shared" si="44"/>
        <v>4.7399999999999997E-4</v>
      </c>
    </row>
    <row r="897" spans="9:19">
      <c r="I897" s="124" t="s">
        <v>986</v>
      </c>
      <c r="J897" s="124" t="s">
        <v>987</v>
      </c>
      <c r="K897" s="182"/>
      <c r="L897" s="182">
        <v>4.4499999999999997E-4</v>
      </c>
      <c r="M897" s="182">
        <v>3.4000000000000002E-4</v>
      </c>
      <c r="N897" s="182">
        <v>3.4000000000000002E-4</v>
      </c>
      <c r="O897" s="182">
        <v>3.4000000000000002E-4</v>
      </c>
      <c r="P897" s="182">
        <v>3.4000000000000002E-4</v>
      </c>
      <c r="R897" s="154" t="str">
        <f t="shared" si="43"/>
        <v>A0467:(株)アルファライズ</v>
      </c>
      <c r="S897" s="182">
        <f t="shared" si="44"/>
        <v>4.4499999999999997E-4</v>
      </c>
    </row>
    <row r="898" spans="9:19">
      <c r="I898" s="124" t="s">
        <v>988</v>
      </c>
      <c r="J898" s="124" t="s">
        <v>989</v>
      </c>
      <c r="K898" s="182"/>
      <c r="L898" s="182">
        <v>5.6899999999999995E-4</v>
      </c>
      <c r="M898" s="182">
        <v>2.9599999999999998E-4</v>
      </c>
      <c r="N898" s="182">
        <v>2.9599999999999998E-4</v>
      </c>
      <c r="O898" s="182">
        <v>2.9599999999999998E-4</v>
      </c>
      <c r="P898" s="182">
        <v>2.9599999999999998E-4</v>
      </c>
      <c r="R898" s="154" t="str">
        <f t="shared" si="43"/>
        <v>A0468:おおすみ半島スマートエネルギー(株)</v>
      </c>
      <c r="S898" s="182">
        <f t="shared" si="44"/>
        <v>5.6899999999999995E-4</v>
      </c>
    </row>
    <row r="899" spans="9:19">
      <c r="I899" s="124" t="s">
        <v>990</v>
      </c>
      <c r="J899" s="124" t="s">
        <v>991</v>
      </c>
      <c r="K899" s="182"/>
      <c r="L899" s="182">
        <v>6.6299999999999996E-4</v>
      </c>
      <c r="M899" s="182">
        <v>5.1900000000000004E-4</v>
      </c>
      <c r="N899" s="182">
        <v>5.1900000000000004E-4</v>
      </c>
      <c r="O899" s="182">
        <v>5.1900000000000004E-4</v>
      </c>
      <c r="P899" s="182">
        <v>5.1900000000000004E-4</v>
      </c>
      <c r="R899" s="154" t="str">
        <f t="shared" si="43"/>
        <v>A0470:おきなわコープエナジー(株)</v>
      </c>
      <c r="S899" s="182">
        <f t="shared" si="44"/>
        <v>6.6299999999999996E-4</v>
      </c>
    </row>
    <row r="900" spans="9:19">
      <c r="I900" s="124" t="s">
        <v>992</v>
      </c>
      <c r="J900" s="124" t="s">
        <v>993</v>
      </c>
      <c r="K900" s="182" t="s">
        <v>390</v>
      </c>
      <c r="L900" s="182">
        <v>0</v>
      </c>
      <c r="M900" s="182">
        <v>0</v>
      </c>
      <c r="N900" s="182">
        <v>0</v>
      </c>
      <c r="O900" s="182">
        <v>0</v>
      </c>
      <c r="P900" s="182">
        <v>0</v>
      </c>
      <c r="R900" s="154" t="str">
        <f t="shared" si="43"/>
        <v>A0471:久慈地域エネルギー(株)メニューA</v>
      </c>
      <c r="S900" s="182">
        <f t="shared" si="44"/>
        <v>0</v>
      </c>
    </row>
    <row r="901" spans="9:19">
      <c r="I901" s="124" t="s">
        <v>992</v>
      </c>
      <c r="J901" s="124" t="s">
        <v>993</v>
      </c>
      <c r="K901" s="182" t="s">
        <v>2010</v>
      </c>
      <c r="L901" s="182">
        <v>3.7300000000000001E-4</v>
      </c>
      <c r="M901" s="182">
        <v>0</v>
      </c>
      <c r="N901" s="182">
        <v>0</v>
      </c>
      <c r="O901" s="182">
        <v>0</v>
      </c>
      <c r="P901" s="182">
        <v>0</v>
      </c>
      <c r="R901" s="154" t="str">
        <f t="shared" si="43"/>
        <v>A0471:久慈地域エネルギー(株)(参考値)事業者全体</v>
      </c>
      <c r="S901" s="182">
        <f t="shared" si="44"/>
        <v>3.7300000000000001E-4</v>
      </c>
    </row>
    <row r="902" spans="9:19">
      <c r="I902" s="124" t="s">
        <v>994</v>
      </c>
      <c r="J902" s="124" t="s">
        <v>995</v>
      </c>
      <c r="K902" s="182"/>
      <c r="L902" s="182">
        <v>5.5699999999999999E-4</v>
      </c>
      <c r="M902" s="182">
        <v>2.3000000000000001E-4</v>
      </c>
      <c r="N902" s="182">
        <v>2.3000000000000001E-4</v>
      </c>
      <c r="O902" s="182">
        <v>2.3000000000000001E-4</v>
      </c>
      <c r="P902" s="182">
        <v>2.3000000000000001E-4</v>
      </c>
      <c r="R902" s="154" t="str">
        <f t="shared" si="43"/>
        <v>A0472:弘前ガス(株)</v>
      </c>
      <c r="S902" s="182">
        <f t="shared" si="44"/>
        <v>5.5699999999999999E-4</v>
      </c>
    </row>
    <row r="903" spans="9:19">
      <c r="I903" s="124" t="s">
        <v>996</v>
      </c>
      <c r="J903" s="124" t="s">
        <v>997</v>
      </c>
      <c r="K903" s="182" t="s">
        <v>390</v>
      </c>
      <c r="L903" s="182">
        <v>0</v>
      </c>
      <c r="M903" s="182">
        <v>0</v>
      </c>
      <c r="N903" s="182">
        <v>0</v>
      </c>
      <c r="O903" s="182">
        <v>0</v>
      </c>
      <c r="P903" s="182">
        <v>0</v>
      </c>
      <c r="R903" s="154" t="str">
        <f t="shared" si="43"/>
        <v>A0473:(株)フォーバルテレコム　メニューA</v>
      </c>
      <c r="S903" s="182">
        <f t="shared" si="44"/>
        <v>0</v>
      </c>
    </row>
    <row r="904" spans="9:19">
      <c r="I904" s="124" t="s">
        <v>996</v>
      </c>
      <c r="J904" s="124" t="s">
        <v>997</v>
      </c>
      <c r="K904" s="182" t="s">
        <v>398</v>
      </c>
      <c r="L904" s="182">
        <v>4.9899999999999999E-4</v>
      </c>
      <c r="M904" s="182">
        <v>2.12E-4</v>
      </c>
      <c r="N904" s="182">
        <v>2.12E-4</v>
      </c>
      <c r="O904" s="182">
        <v>2.12E-4</v>
      </c>
      <c r="P904" s="182">
        <v>2.12E-4</v>
      </c>
      <c r="R904" s="154" t="str">
        <f t="shared" si="43"/>
        <v>A0473:(株)フォーバルテレコム　メニューB</v>
      </c>
      <c r="S904" s="182">
        <f t="shared" si="44"/>
        <v>4.9899999999999999E-4</v>
      </c>
    </row>
    <row r="905" spans="9:19">
      <c r="I905" s="124" t="s">
        <v>996</v>
      </c>
      <c r="J905" s="124" t="s">
        <v>997</v>
      </c>
      <c r="K905" s="182" t="s">
        <v>2010</v>
      </c>
      <c r="L905" s="182">
        <v>4.9399999999999997E-4</v>
      </c>
      <c r="M905" s="182">
        <v>3.1800000000000003E-4</v>
      </c>
      <c r="N905" s="182">
        <v>3.1800000000000003E-4</v>
      </c>
      <c r="O905" s="182">
        <v>3.1800000000000003E-4</v>
      </c>
      <c r="P905" s="182">
        <v>3.1800000000000003E-4</v>
      </c>
      <c r="R905" s="154" t="str">
        <f t="shared" si="43"/>
        <v>A0473:(株)フォーバルテレコム　(参考値)事業者全体</v>
      </c>
      <c r="S905" s="182">
        <f t="shared" si="44"/>
        <v>4.9399999999999997E-4</v>
      </c>
    </row>
    <row r="906" spans="9:19">
      <c r="I906" s="124" t="s">
        <v>998</v>
      </c>
      <c r="J906" s="124" t="s">
        <v>999</v>
      </c>
      <c r="K906" s="182"/>
      <c r="L906" s="182">
        <v>3.0299999999999999E-4</v>
      </c>
      <c r="M906" s="182">
        <v>3.3900000000000005E-4</v>
      </c>
      <c r="N906" s="182">
        <v>3.3900000000000005E-4</v>
      </c>
      <c r="O906" s="182">
        <v>3.3900000000000005E-4</v>
      </c>
      <c r="P906" s="182">
        <v>3.3900000000000005E-4</v>
      </c>
      <c r="R906" s="154" t="str">
        <f t="shared" ref="R906:R969" si="45">I906&amp;":"&amp;J906&amp;K906</f>
        <v>A0476:(株)ストエネ（旧:(株)グランデータ）</v>
      </c>
      <c r="S906" s="182">
        <f t="shared" ref="S906:S969" si="46">HLOOKUP($S$8,$L$8:$P$1500,ROW()-7,FALSE)</f>
        <v>3.0299999999999999E-4</v>
      </c>
    </row>
    <row r="907" spans="9:19">
      <c r="I907" s="124" t="s">
        <v>1000</v>
      </c>
      <c r="J907" s="124" t="s">
        <v>1001</v>
      </c>
      <c r="K907" s="182"/>
      <c r="L907" s="182">
        <v>5.5000000000000003E-4</v>
      </c>
      <c r="M907" s="182">
        <v>3.3700000000000001E-4</v>
      </c>
      <c r="N907" s="182">
        <v>3.3700000000000001E-4</v>
      </c>
      <c r="O907" s="182">
        <v>3.3700000000000001E-4</v>
      </c>
      <c r="P907" s="182">
        <v>3.3700000000000001E-4</v>
      </c>
      <c r="R907" s="154" t="str">
        <f t="shared" si="45"/>
        <v>A0477:くるめエネルギー(株)</v>
      </c>
      <c r="S907" s="182">
        <f t="shared" si="46"/>
        <v>5.5000000000000003E-4</v>
      </c>
    </row>
    <row r="908" spans="9:19">
      <c r="I908" s="124" t="s">
        <v>1002</v>
      </c>
      <c r="J908" s="124" t="s">
        <v>1003</v>
      </c>
      <c r="K908" s="182"/>
      <c r="L908" s="182">
        <v>2.8899999999999998E-4</v>
      </c>
      <c r="M908" s="182">
        <v>3.5500000000000001E-4</v>
      </c>
      <c r="N908" s="182">
        <v>3.5500000000000001E-4</v>
      </c>
      <c r="O908" s="182">
        <v>3.5500000000000001E-4</v>
      </c>
      <c r="P908" s="182">
        <v>3.5500000000000001E-4</v>
      </c>
      <c r="R908" s="154" t="str">
        <f t="shared" si="45"/>
        <v>A0480:松阪新電力(株)</v>
      </c>
      <c r="S908" s="182">
        <f t="shared" si="46"/>
        <v>2.8899999999999998E-4</v>
      </c>
    </row>
    <row r="909" spans="9:19">
      <c r="I909" s="124" t="s">
        <v>1004</v>
      </c>
      <c r="J909" s="124" t="s">
        <v>1005</v>
      </c>
      <c r="K909" s="182" t="s">
        <v>390</v>
      </c>
      <c r="L909" s="182">
        <v>0</v>
      </c>
      <c r="M909" s="182">
        <v>5.9999999999999995E-4</v>
      </c>
      <c r="N909" s="182">
        <v>5.9999999999999995E-4</v>
      </c>
      <c r="O909" s="182">
        <v>5.9999999999999995E-4</v>
      </c>
      <c r="P909" s="182">
        <v>5.9999999999999995E-4</v>
      </c>
      <c r="R909" s="154" t="str">
        <f t="shared" si="45"/>
        <v>A0481:ヒューリックプロパティソリューション(株)メニューA</v>
      </c>
      <c r="S909" s="182">
        <f t="shared" si="46"/>
        <v>0</v>
      </c>
    </row>
    <row r="910" spans="9:19">
      <c r="I910" s="124" t="s">
        <v>1004</v>
      </c>
      <c r="J910" s="124" t="s">
        <v>1005</v>
      </c>
      <c r="K910" s="182" t="s">
        <v>398</v>
      </c>
      <c r="L910" s="182">
        <v>4.6299999999999998E-4</v>
      </c>
      <c r="M910" s="182">
        <v>0</v>
      </c>
      <c r="N910" s="182">
        <v>0</v>
      </c>
      <c r="O910" s="182">
        <v>0</v>
      </c>
      <c r="P910" s="182">
        <v>0</v>
      </c>
      <c r="R910" s="154" t="str">
        <f t="shared" si="45"/>
        <v>A0481:ヒューリックプロパティソリューション(株)メニューB</v>
      </c>
      <c r="S910" s="182">
        <f t="shared" si="46"/>
        <v>4.6299999999999998E-4</v>
      </c>
    </row>
    <row r="911" spans="9:19">
      <c r="I911" s="124" t="s">
        <v>1004</v>
      </c>
      <c r="J911" s="124" t="s">
        <v>1005</v>
      </c>
      <c r="K911" s="182" t="s">
        <v>2010</v>
      </c>
      <c r="L911" s="182">
        <v>3.4400000000000001E-4</v>
      </c>
      <c r="M911" s="182">
        <v>3.9300000000000001E-4</v>
      </c>
      <c r="N911" s="182">
        <v>3.9300000000000001E-4</v>
      </c>
      <c r="O911" s="182">
        <v>3.9300000000000001E-4</v>
      </c>
      <c r="P911" s="182">
        <v>3.9300000000000001E-4</v>
      </c>
      <c r="R911" s="154" t="str">
        <f t="shared" si="45"/>
        <v>A0481:ヒューリックプロパティソリューション(株)(参考値)事業者全体</v>
      </c>
      <c r="S911" s="182">
        <f t="shared" si="46"/>
        <v>3.4400000000000001E-4</v>
      </c>
    </row>
    <row r="912" spans="9:19">
      <c r="I912" s="124" t="s">
        <v>1006</v>
      </c>
      <c r="J912" s="124" t="s">
        <v>1007</v>
      </c>
      <c r="K912" s="182"/>
      <c r="L912" s="182">
        <v>5.5999999999999995E-4</v>
      </c>
      <c r="M912" s="182">
        <v>5.6499999999999996E-4</v>
      </c>
      <c r="N912" s="182">
        <v>5.6499999999999996E-4</v>
      </c>
      <c r="O912" s="182">
        <v>5.6499999999999996E-4</v>
      </c>
      <c r="P912" s="182">
        <v>5.6499999999999996E-4</v>
      </c>
      <c r="R912" s="154" t="str">
        <f t="shared" si="45"/>
        <v>A0482:宮崎電力(株)</v>
      </c>
      <c r="S912" s="182">
        <f t="shared" si="46"/>
        <v>5.5999999999999995E-4</v>
      </c>
    </row>
    <row r="913" spans="9:19">
      <c r="I913" s="124" t="s">
        <v>1008</v>
      </c>
      <c r="J913" s="124" t="s">
        <v>1009</v>
      </c>
      <c r="K913" s="182" t="s">
        <v>390</v>
      </c>
      <c r="L913" s="182">
        <v>0</v>
      </c>
      <c r="M913" s="182">
        <v>0</v>
      </c>
      <c r="N913" s="182">
        <v>0</v>
      </c>
      <c r="O913" s="182">
        <v>0</v>
      </c>
      <c r="P913" s="182">
        <v>0</v>
      </c>
      <c r="R913" s="154" t="str">
        <f t="shared" si="45"/>
        <v>A0490:(株)CDエナジーダイレクトメニューA</v>
      </c>
      <c r="S913" s="182">
        <f t="shared" si="46"/>
        <v>0</v>
      </c>
    </row>
    <row r="914" spans="9:19">
      <c r="I914" s="124" t="s">
        <v>1008</v>
      </c>
      <c r="J914" s="124" t="s">
        <v>1009</v>
      </c>
      <c r="K914" s="182" t="s">
        <v>398</v>
      </c>
      <c r="L914" s="182">
        <v>3.2200000000000002E-4</v>
      </c>
      <c r="M914" s="182">
        <v>3.4099999999999999E-4</v>
      </c>
      <c r="N914" s="182">
        <v>3.4099999999999999E-4</v>
      </c>
      <c r="O914" s="182">
        <v>3.4099999999999999E-4</v>
      </c>
      <c r="P914" s="182">
        <v>3.4099999999999999E-4</v>
      </c>
      <c r="R914" s="154" t="str">
        <f t="shared" si="45"/>
        <v>A0490:(株)CDエナジーダイレクトメニューB</v>
      </c>
      <c r="S914" s="182">
        <f t="shared" si="46"/>
        <v>3.2200000000000002E-4</v>
      </c>
    </row>
    <row r="915" spans="9:19">
      <c r="I915" s="124" t="s">
        <v>1008</v>
      </c>
      <c r="J915" s="124" t="s">
        <v>1009</v>
      </c>
      <c r="K915" s="182" t="s">
        <v>2010</v>
      </c>
      <c r="L915" s="182">
        <v>2.9799999999999998E-4</v>
      </c>
      <c r="M915" s="182">
        <v>0</v>
      </c>
      <c r="N915" s="182">
        <v>0</v>
      </c>
      <c r="O915" s="182">
        <v>0</v>
      </c>
      <c r="P915" s="182">
        <v>0</v>
      </c>
      <c r="R915" s="154" t="str">
        <f t="shared" si="45"/>
        <v>A0490:(株)CDエナジーダイレクト(参考値)事業者全体</v>
      </c>
      <c r="S915" s="182">
        <f t="shared" si="46"/>
        <v>2.9799999999999998E-4</v>
      </c>
    </row>
    <row r="916" spans="9:19">
      <c r="I916" s="124" t="s">
        <v>1010</v>
      </c>
      <c r="J916" s="124" t="s">
        <v>1011</v>
      </c>
      <c r="K916" s="182" t="s">
        <v>390</v>
      </c>
      <c r="L916" s="182">
        <v>0</v>
      </c>
      <c r="M916" s="182">
        <v>0</v>
      </c>
      <c r="N916" s="182">
        <v>0</v>
      </c>
      <c r="O916" s="182">
        <v>0</v>
      </c>
      <c r="P916" s="182">
        <v>0</v>
      </c>
      <c r="R916" s="154" t="str">
        <f t="shared" si="45"/>
        <v>A0491:Q.ENESTでんき(株)メニューA</v>
      </c>
      <c r="S916" s="182">
        <f t="shared" si="46"/>
        <v>0</v>
      </c>
    </row>
    <row r="917" spans="9:19">
      <c r="I917" s="124" t="s">
        <v>1010</v>
      </c>
      <c r="J917" s="124" t="s">
        <v>1011</v>
      </c>
      <c r="K917" s="182" t="s">
        <v>398</v>
      </c>
      <c r="L917" s="182">
        <v>3.7199999999999999E-4</v>
      </c>
      <c r="M917" s="182">
        <v>9.8999999999999994E-5</v>
      </c>
      <c r="N917" s="182">
        <v>9.8999999999999994E-5</v>
      </c>
      <c r="O917" s="182">
        <v>9.8999999999999994E-5</v>
      </c>
      <c r="P917" s="182">
        <v>9.8999999999999994E-5</v>
      </c>
      <c r="R917" s="154" t="str">
        <f t="shared" si="45"/>
        <v>A0491:Q.ENESTでんき(株)メニューB</v>
      </c>
      <c r="S917" s="182">
        <f t="shared" si="46"/>
        <v>3.7199999999999999E-4</v>
      </c>
    </row>
    <row r="918" spans="9:19">
      <c r="I918" s="124" t="s">
        <v>1010</v>
      </c>
      <c r="J918" s="124" t="s">
        <v>1011</v>
      </c>
      <c r="K918" s="182" t="s">
        <v>399</v>
      </c>
      <c r="L918" s="182">
        <v>4.9399999999999997E-4</v>
      </c>
      <c r="M918" s="182">
        <v>4.9899999999999999E-4</v>
      </c>
      <c r="N918" s="182">
        <v>4.9899999999999999E-4</v>
      </c>
      <c r="O918" s="182">
        <v>4.9899999999999999E-4</v>
      </c>
      <c r="P918" s="182">
        <v>4.9899999999999999E-4</v>
      </c>
      <c r="R918" s="154" t="str">
        <f t="shared" si="45"/>
        <v>A0491:Q.ENESTでんき(株)メニューC</v>
      </c>
      <c r="S918" s="182">
        <f t="shared" si="46"/>
        <v>4.9399999999999997E-4</v>
      </c>
    </row>
    <row r="919" spans="9:19">
      <c r="I919" s="124" t="s">
        <v>1010</v>
      </c>
      <c r="J919" s="124" t="s">
        <v>1011</v>
      </c>
      <c r="K919" s="182" t="s">
        <v>400</v>
      </c>
      <c r="L919" s="182">
        <v>3.28E-4</v>
      </c>
      <c r="M919" s="182">
        <v>6.3000000000000003E-4</v>
      </c>
      <c r="N919" s="182">
        <v>6.3000000000000003E-4</v>
      </c>
      <c r="O919" s="182">
        <v>6.3000000000000003E-4</v>
      </c>
      <c r="P919" s="182">
        <v>6.3000000000000003E-4</v>
      </c>
      <c r="R919" s="154" t="str">
        <f t="shared" si="45"/>
        <v>A0491:Q.ENESTでんき(株)メニューD</v>
      </c>
      <c r="S919" s="182">
        <f t="shared" si="46"/>
        <v>3.28E-4</v>
      </c>
    </row>
    <row r="920" spans="9:19">
      <c r="I920" s="124" t="s">
        <v>1010</v>
      </c>
      <c r="J920" s="124" t="s">
        <v>1011</v>
      </c>
      <c r="K920" s="182" t="s">
        <v>2010</v>
      </c>
      <c r="L920" s="182">
        <v>3.3700000000000001E-4</v>
      </c>
      <c r="M920" s="182">
        <v>0</v>
      </c>
      <c r="N920" s="182">
        <v>0</v>
      </c>
      <c r="O920" s="182">
        <v>0</v>
      </c>
      <c r="P920" s="182">
        <v>0</v>
      </c>
      <c r="R920" s="154" t="str">
        <f t="shared" si="45"/>
        <v>A0491:Q.ENESTでんき(株)(参考値)事業者全体</v>
      </c>
      <c r="S920" s="182">
        <f t="shared" si="46"/>
        <v>3.3700000000000001E-4</v>
      </c>
    </row>
    <row r="921" spans="9:19">
      <c r="I921" s="124" t="s">
        <v>1012</v>
      </c>
      <c r="J921" s="124" t="s">
        <v>1013</v>
      </c>
      <c r="K921" s="182" t="s">
        <v>390</v>
      </c>
      <c r="L921" s="182">
        <v>0</v>
      </c>
      <c r="M921" s="182">
        <v>0</v>
      </c>
      <c r="N921" s="182">
        <v>0</v>
      </c>
      <c r="O921" s="182">
        <v>0</v>
      </c>
      <c r="P921" s="182">
        <v>0</v>
      </c>
      <c r="R921" s="154" t="str">
        <f t="shared" si="45"/>
        <v>A0493:(株)ぶんごおおのエナジーメニューA</v>
      </c>
      <c r="S921" s="182">
        <f t="shared" si="46"/>
        <v>0</v>
      </c>
    </row>
    <row r="922" spans="9:19">
      <c r="I922" s="124" t="s">
        <v>1012</v>
      </c>
      <c r="J922" s="124" t="s">
        <v>1013</v>
      </c>
      <c r="K922" s="182" t="s">
        <v>398</v>
      </c>
      <c r="L922" s="182">
        <v>3.8500000000000003E-4</v>
      </c>
      <c r="M922" s="182">
        <v>0</v>
      </c>
      <c r="N922" s="182">
        <v>0</v>
      </c>
      <c r="O922" s="182">
        <v>0</v>
      </c>
      <c r="P922" s="182">
        <v>0</v>
      </c>
      <c r="R922" s="154" t="str">
        <f t="shared" si="45"/>
        <v>A0493:(株)ぶんごおおのエナジーメニューB</v>
      </c>
      <c r="S922" s="182">
        <f t="shared" si="46"/>
        <v>3.8500000000000003E-4</v>
      </c>
    </row>
    <row r="923" spans="9:19">
      <c r="I923" s="124" t="s">
        <v>1012</v>
      </c>
      <c r="J923" s="124" t="s">
        <v>1013</v>
      </c>
      <c r="K923" s="182" t="s">
        <v>2010</v>
      </c>
      <c r="L923" s="182">
        <v>4.8500000000000003E-4</v>
      </c>
      <c r="M923" s="182">
        <v>0</v>
      </c>
      <c r="N923" s="182">
        <v>0</v>
      </c>
      <c r="O923" s="182">
        <v>0</v>
      </c>
      <c r="P923" s="182">
        <v>0</v>
      </c>
      <c r="R923" s="154" t="str">
        <f t="shared" si="45"/>
        <v>A0493:(株)ぶんごおおのエナジー(参考値)事業者全体</v>
      </c>
      <c r="S923" s="182">
        <f t="shared" si="46"/>
        <v>4.8500000000000003E-4</v>
      </c>
    </row>
    <row r="924" spans="9:19">
      <c r="I924" s="124" t="s">
        <v>1014</v>
      </c>
      <c r="J924" s="124" t="s">
        <v>1015</v>
      </c>
      <c r="K924" s="182"/>
      <c r="L924" s="182">
        <v>3.4900000000000003E-4</v>
      </c>
      <c r="M924" s="182">
        <v>0</v>
      </c>
      <c r="N924" s="182">
        <v>0</v>
      </c>
      <c r="O924" s="182">
        <v>0</v>
      </c>
      <c r="P924" s="182">
        <v>0</v>
      </c>
      <c r="R924" s="154" t="str">
        <f t="shared" si="45"/>
        <v>A0494:ヴィジョナリーパワー(株)</v>
      </c>
      <c r="S924" s="182">
        <f t="shared" si="46"/>
        <v>3.4900000000000003E-4</v>
      </c>
    </row>
    <row r="925" spans="9:19">
      <c r="I925" s="124" t="s">
        <v>1016</v>
      </c>
      <c r="J925" s="124" t="s">
        <v>1017</v>
      </c>
      <c r="K925" s="182"/>
      <c r="L925" s="182">
        <v>2.7500000000000002E-4</v>
      </c>
      <c r="M925" s="182">
        <v>0</v>
      </c>
      <c r="N925" s="182">
        <v>0</v>
      </c>
      <c r="O925" s="182">
        <v>0</v>
      </c>
      <c r="P925" s="182">
        <v>0</v>
      </c>
      <c r="R925" s="154" t="str">
        <f t="shared" si="45"/>
        <v>A0495:有明エナジー(株)</v>
      </c>
      <c r="S925" s="182">
        <f t="shared" si="46"/>
        <v>2.7500000000000002E-4</v>
      </c>
    </row>
    <row r="926" spans="9:19">
      <c r="I926" s="124" t="s">
        <v>1018</v>
      </c>
      <c r="J926" s="124" t="s">
        <v>1019</v>
      </c>
      <c r="K926" s="182" t="s">
        <v>390</v>
      </c>
      <c r="L926" s="182">
        <v>0</v>
      </c>
      <c r="M926" s="182">
        <v>0</v>
      </c>
      <c r="N926" s="182">
        <v>0</v>
      </c>
      <c r="O926" s="182">
        <v>0</v>
      </c>
      <c r="P926" s="182">
        <v>0</v>
      </c>
      <c r="R926" s="154" t="str">
        <f t="shared" si="45"/>
        <v>A0499:厚木瓦斯(株)メニューA</v>
      </c>
      <c r="S926" s="182">
        <f t="shared" si="46"/>
        <v>0</v>
      </c>
    </row>
    <row r="927" spans="9:19">
      <c r="I927" s="124" t="s">
        <v>1018</v>
      </c>
      <c r="J927" s="124" t="s">
        <v>1019</v>
      </c>
      <c r="K927" s="182" t="s">
        <v>398</v>
      </c>
      <c r="L927" s="182">
        <v>3.4099999999999999E-4</v>
      </c>
      <c r="M927" s="182">
        <v>0</v>
      </c>
      <c r="N927" s="182">
        <v>0</v>
      </c>
      <c r="O927" s="182">
        <v>0</v>
      </c>
      <c r="P927" s="182">
        <v>0</v>
      </c>
      <c r="R927" s="154" t="str">
        <f t="shared" si="45"/>
        <v>A0499:厚木瓦斯(株)メニューB</v>
      </c>
      <c r="S927" s="182">
        <f t="shared" si="46"/>
        <v>3.4099999999999999E-4</v>
      </c>
    </row>
    <row r="928" spans="9:19">
      <c r="I928" s="124" t="s">
        <v>1018</v>
      </c>
      <c r="J928" s="124" t="s">
        <v>1019</v>
      </c>
      <c r="K928" s="182" t="s">
        <v>2010</v>
      </c>
      <c r="L928" s="182">
        <v>3.3599999999999998E-4</v>
      </c>
      <c r="M928" s="182">
        <v>0</v>
      </c>
      <c r="N928" s="182">
        <v>0</v>
      </c>
      <c r="O928" s="182">
        <v>0</v>
      </c>
      <c r="P928" s="182">
        <v>0</v>
      </c>
      <c r="R928" s="154" t="str">
        <f t="shared" si="45"/>
        <v>A0499:厚木瓦斯(株)(参考値)事業者全体</v>
      </c>
      <c r="S928" s="182">
        <f t="shared" si="46"/>
        <v>3.3599999999999998E-4</v>
      </c>
    </row>
    <row r="929" spans="9:19">
      <c r="I929" s="124" t="s">
        <v>1020</v>
      </c>
      <c r="J929" s="124" t="s">
        <v>1021</v>
      </c>
      <c r="K929" s="182" t="s">
        <v>390</v>
      </c>
      <c r="L929" s="182">
        <v>2.1100000000000001E-4</v>
      </c>
      <c r="M929" s="182">
        <v>0</v>
      </c>
      <c r="N929" s="182">
        <v>0</v>
      </c>
      <c r="O929" s="182">
        <v>0</v>
      </c>
      <c r="P929" s="182">
        <v>0</v>
      </c>
      <c r="R929" s="154" t="str">
        <f t="shared" si="45"/>
        <v>A0500:(株)エネ・ビジョンメニューA</v>
      </c>
      <c r="S929" s="182">
        <f t="shared" si="46"/>
        <v>2.1100000000000001E-4</v>
      </c>
    </row>
    <row r="930" spans="9:19">
      <c r="I930" s="124" t="s">
        <v>1020</v>
      </c>
      <c r="J930" s="124" t="s">
        <v>1021</v>
      </c>
      <c r="K930" s="182" t="s">
        <v>2010</v>
      </c>
      <c r="L930" s="182">
        <v>2.1100000000000001E-4</v>
      </c>
      <c r="M930" s="182">
        <v>0</v>
      </c>
      <c r="N930" s="182">
        <v>0</v>
      </c>
      <c r="O930" s="182">
        <v>0</v>
      </c>
      <c r="P930" s="182">
        <v>0</v>
      </c>
      <c r="R930" s="154" t="str">
        <f t="shared" si="45"/>
        <v>A0500:(株)エネ・ビジョン(参考値)事業者全体</v>
      </c>
      <c r="S930" s="182">
        <f t="shared" si="46"/>
        <v>2.1100000000000001E-4</v>
      </c>
    </row>
    <row r="931" spans="9:19">
      <c r="I931" s="124" t="s">
        <v>1022</v>
      </c>
      <c r="J931" s="124" t="s">
        <v>1023</v>
      </c>
      <c r="K931" s="182"/>
      <c r="L931" s="182">
        <v>3.4099999999999999E-4</v>
      </c>
      <c r="M931" s="182">
        <v>0</v>
      </c>
      <c r="N931" s="182">
        <v>0</v>
      </c>
      <c r="O931" s="182">
        <v>0</v>
      </c>
      <c r="P931" s="182">
        <v>0</v>
      </c>
      <c r="R931" s="154" t="str">
        <f t="shared" si="45"/>
        <v>A0501:イワタニ三重(株)</v>
      </c>
      <c r="S931" s="182">
        <f t="shared" si="46"/>
        <v>3.4099999999999999E-4</v>
      </c>
    </row>
    <row r="932" spans="9:19">
      <c r="I932" s="124" t="s">
        <v>1024</v>
      </c>
      <c r="J932" s="124" t="s">
        <v>1025</v>
      </c>
      <c r="K932" s="182"/>
      <c r="L932" s="182">
        <v>5.5199999999999997E-4</v>
      </c>
      <c r="M932" s="182">
        <v>0</v>
      </c>
      <c r="N932" s="182">
        <v>0</v>
      </c>
      <c r="O932" s="182">
        <v>0</v>
      </c>
      <c r="P932" s="182">
        <v>0</v>
      </c>
      <c r="R932" s="154" t="str">
        <f t="shared" si="45"/>
        <v>A0502:(株)マルヰ</v>
      </c>
      <c r="S932" s="182">
        <f t="shared" si="46"/>
        <v>5.5199999999999997E-4</v>
      </c>
    </row>
    <row r="933" spans="9:19">
      <c r="I933" s="124" t="s">
        <v>1026</v>
      </c>
      <c r="J933" s="124" t="s">
        <v>1027</v>
      </c>
      <c r="K933" s="182" t="s">
        <v>390</v>
      </c>
      <c r="L933" s="182">
        <v>0</v>
      </c>
      <c r="M933" s="182">
        <v>0</v>
      </c>
      <c r="N933" s="182">
        <v>0</v>
      </c>
      <c r="O933" s="182">
        <v>0</v>
      </c>
      <c r="P933" s="182">
        <v>0</v>
      </c>
      <c r="R933" s="154" t="str">
        <f t="shared" si="45"/>
        <v>A0503:大多喜ガス(株)メニューA</v>
      </c>
      <c r="S933" s="182">
        <f t="shared" si="46"/>
        <v>0</v>
      </c>
    </row>
    <row r="934" spans="9:19">
      <c r="I934" s="124" t="s">
        <v>1026</v>
      </c>
      <c r="J934" s="124" t="s">
        <v>1027</v>
      </c>
      <c r="K934" s="182" t="s">
        <v>398</v>
      </c>
      <c r="L934" s="182">
        <v>4.46E-4</v>
      </c>
      <c r="M934" s="182">
        <v>3.2600000000000001E-4</v>
      </c>
      <c r="N934" s="182">
        <v>3.2600000000000001E-4</v>
      </c>
      <c r="O934" s="182">
        <v>3.2600000000000001E-4</v>
      </c>
      <c r="P934" s="182">
        <v>3.2600000000000001E-4</v>
      </c>
      <c r="R934" s="154" t="str">
        <f t="shared" si="45"/>
        <v>A0503:大多喜ガス(株)メニューB</v>
      </c>
      <c r="S934" s="182">
        <f t="shared" si="46"/>
        <v>4.46E-4</v>
      </c>
    </row>
    <row r="935" spans="9:19">
      <c r="I935" s="124" t="s">
        <v>1026</v>
      </c>
      <c r="J935" s="124" t="s">
        <v>1027</v>
      </c>
      <c r="K935" s="182" t="s">
        <v>2010</v>
      </c>
      <c r="L935" s="182">
        <v>4.4000000000000002E-4</v>
      </c>
      <c r="M935" s="182">
        <v>4.46E-4</v>
      </c>
      <c r="N935" s="182">
        <v>4.46E-4</v>
      </c>
      <c r="O935" s="182">
        <v>4.46E-4</v>
      </c>
      <c r="P935" s="182">
        <v>4.46E-4</v>
      </c>
      <c r="R935" s="154" t="str">
        <f t="shared" si="45"/>
        <v>A0503:大多喜ガス(株)(参考値)事業者全体</v>
      </c>
      <c r="S935" s="182">
        <f t="shared" si="46"/>
        <v>4.4000000000000002E-4</v>
      </c>
    </row>
    <row r="936" spans="9:19">
      <c r="I936" s="124" t="s">
        <v>1028</v>
      </c>
      <c r="J936" s="124" t="s">
        <v>1029</v>
      </c>
      <c r="K936" s="182" t="s">
        <v>390</v>
      </c>
      <c r="L936" s="182">
        <v>0</v>
      </c>
      <c r="M936" s="182">
        <v>5.4799999999999998E-4</v>
      </c>
      <c r="N936" s="182">
        <v>5.4799999999999998E-4</v>
      </c>
      <c r="O936" s="182">
        <v>5.4799999999999998E-4</v>
      </c>
      <c r="P936" s="182">
        <v>5.4799999999999998E-4</v>
      </c>
      <c r="R936" s="154" t="str">
        <f t="shared" si="45"/>
        <v>A0506:鈴与電力(株)メニューA</v>
      </c>
      <c r="S936" s="182">
        <f t="shared" si="46"/>
        <v>0</v>
      </c>
    </row>
    <row r="937" spans="9:19">
      <c r="I937" s="124" t="s">
        <v>1028</v>
      </c>
      <c r="J937" s="124" t="s">
        <v>1029</v>
      </c>
      <c r="K937" s="182" t="s">
        <v>398</v>
      </c>
      <c r="L937" s="182">
        <v>0</v>
      </c>
      <c r="M937" s="182">
        <v>2.3E-5</v>
      </c>
      <c r="N937" s="182">
        <v>2.3E-5</v>
      </c>
      <c r="O937" s="182">
        <v>2.3E-5</v>
      </c>
      <c r="P937" s="182">
        <v>2.3E-5</v>
      </c>
      <c r="R937" s="154" t="str">
        <f t="shared" si="45"/>
        <v>A0506:鈴与電力(株)メニューB</v>
      </c>
      <c r="S937" s="182">
        <f t="shared" si="46"/>
        <v>0</v>
      </c>
    </row>
    <row r="938" spans="9:19">
      <c r="I938" s="124" t="s">
        <v>1028</v>
      </c>
      <c r="J938" s="124" t="s">
        <v>1029</v>
      </c>
      <c r="K938" s="182" t="s">
        <v>399</v>
      </c>
      <c r="L938" s="182">
        <v>0</v>
      </c>
      <c r="M938" s="182">
        <v>5.8900000000000001E-4</v>
      </c>
      <c r="N938" s="182">
        <v>5.8900000000000001E-4</v>
      </c>
      <c r="O938" s="182">
        <v>5.8900000000000001E-4</v>
      </c>
      <c r="P938" s="182">
        <v>5.8900000000000001E-4</v>
      </c>
      <c r="R938" s="154" t="str">
        <f t="shared" si="45"/>
        <v>A0506:鈴与電力(株)メニューC</v>
      </c>
      <c r="S938" s="182">
        <f t="shared" si="46"/>
        <v>0</v>
      </c>
    </row>
    <row r="939" spans="9:19">
      <c r="I939" s="124" t="s">
        <v>1028</v>
      </c>
      <c r="J939" s="124" t="s">
        <v>1029</v>
      </c>
      <c r="K939" s="182" t="s">
        <v>400</v>
      </c>
      <c r="L939" s="182">
        <v>0</v>
      </c>
      <c r="M939" s="182">
        <v>3.7399999999999998E-4</v>
      </c>
      <c r="N939" s="182">
        <v>3.7399999999999998E-4</v>
      </c>
      <c r="O939" s="182">
        <v>3.7399999999999998E-4</v>
      </c>
      <c r="P939" s="182">
        <v>3.7399999999999998E-4</v>
      </c>
      <c r="R939" s="154" t="str">
        <f t="shared" si="45"/>
        <v>A0506:鈴与電力(株)メニューD</v>
      </c>
      <c r="S939" s="182">
        <f t="shared" si="46"/>
        <v>0</v>
      </c>
    </row>
    <row r="940" spans="9:19">
      <c r="I940" s="124" t="s">
        <v>1028</v>
      </c>
      <c r="J940" s="124" t="s">
        <v>1029</v>
      </c>
      <c r="K940" s="182" t="s">
        <v>401</v>
      </c>
      <c r="L940" s="182">
        <v>0</v>
      </c>
      <c r="M940" s="182">
        <v>3.5199999999999999E-4</v>
      </c>
      <c r="N940" s="182">
        <v>3.5199999999999999E-4</v>
      </c>
      <c r="O940" s="182">
        <v>3.5199999999999999E-4</v>
      </c>
      <c r="P940" s="182">
        <v>3.5199999999999999E-4</v>
      </c>
      <c r="R940" s="154" t="str">
        <f t="shared" si="45"/>
        <v>A0506:鈴与電力(株)メニューE</v>
      </c>
      <c r="S940" s="182">
        <f t="shared" si="46"/>
        <v>0</v>
      </c>
    </row>
    <row r="941" spans="9:19">
      <c r="I941" s="124" t="s">
        <v>1028</v>
      </c>
      <c r="J941" s="124" t="s">
        <v>1029</v>
      </c>
      <c r="K941" s="182" t="s">
        <v>414</v>
      </c>
      <c r="L941" s="182">
        <v>0</v>
      </c>
      <c r="M941" s="182">
        <v>5.9900000000000003E-4</v>
      </c>
      <c r="N941" s="182">
        <v>5.9900000000000003E-4</v>
      </c>
      <c r="O941" s="182">
        <v>5.9900000000000003E-4</v>
      </c>
      <c r="P941" s="182">
        <v>5.9900000000000003E-4</v>
      </c>
      <c r="R941" s="154" t="str">
        <f t="shared" si="45"/>
        <v>A0506:鈴与電力(株)メニューF</v>
      </c>
      <c r="S941" s="182">
        <f t="shared" si="46"/>
        <v>0</v>
      </c>
    </row>
    <row r="942" spans="9:19">
      <c r="I942" s="124" t="s">
        <v>1028</v>
      </c>
      <c r="J942" s="124" t="s">
        <v>1029</v>
      </c>
      <c r="K942" s="182" t="s">
        <v>415</v>
      </c>
      <c r="L942" s="182">
        <v>5.8799999999999998E-4</v>
      </c>
      <c r="M942" s="182">
        <v>3.77E-4</v>
      </c>
      <c r="N942" s="182">
        <v>3.77E-4</v>
      </c>
      <c r="O942" s="182">
        <v>3.77E-4</v>
      </c>
      <c r="P942" s="182">
        <v>3.77E-4</v>
      </c>
      <c r="R942" s="154" t="str">
        <f t="shared" si="45"/>
        <v>A0506:鈴与電力(株)メニューG</v>
      </c>
      <c r="S942" s="182">
        <f t="shared" si="46"/>
        <v>5.8799999999999998E-4</v>
      </c>
    </row>
    <row r="943" spans="9:19">
      <c r="I943" s="124" t="s">
        <v>1028</v>
      </c>
      <c r="J943" s="124" t="s">
        <v>1029</v>
      </c>
      <c r="K943" s="182" t="s">
        <v>416</v>
      </c>
      <c r="L943" s="182">
        <v>5.8500000000000002E-4</v>
      </c>
      <c r="M943" s="182">
        <v>3.5399999999999999E-4</v>
      </c>
      <c r="N943" s="182">
        <v>3.5399999999999999E-4</v>
      </c>
      <c r="O943" s="182">
        <v>3.5399999999999999E-4</v>
      </c>
      <c r="P943" s="182">
        <v>3.5399999999999999E-4</v>
      </c>
      <c r="R943" s="154" t="str">
        <f t="shared" si="45"/>
        <v>A0506:鈴与電力(株)メニューH</v>
      </c>
      <c r="S943" s="182">
        <f t="shared" si="46"/>
        <v>5.8500000000000002E-4</v>
      </c>
    </row>
    <row r="944" spans="9:19">
      <c r="I944" s="124" t="s">
        <v>1028</v>
      </c>
      <c r="J944" s="124" t="s">
        <v>1029</v>
      </c>
      <c r="K944" s="182" t="s">
        <v>417</v>
      </c>
      <c r="L944" s="182">
        <v>5.8399999999999999E-4</v>
      </c>
      <c r="M944" s="182">
        <v>3.5999999999999997E-4</v>
      </c>
      <c r="N944" s="182">
        <v>3.5999999999999997E-4</v>
      </c>
      <c r="O944" s="182">
        <v>3.5999999999999997E-4</v>
      </c>
      <c r="P944" s="182">
        <v>3.5999999999999997E-4</v>
      </c>
      <c r="R944" s="154" t="str">
        <f t="shared" si="45"/>
        <v>A0506:鈴与電力(株)メニューI</v>
      </c>
      <c r="S944" s="182">
        <f t="shared" si="46"/>
        <v>5.8399999999999999E-4</v>
      </c>
    </row>
    <row r="945" spans="9:19">
      <c r="I945" s="124" t="s">
        <v>1028</v>
      </c>
      <c r="J945" s="124" t="s">
        <v>1029</v>
      </c>
      <c r="K945" s="182" t="s">
        <v>418</v>
      </c>
      <c r="L945" s="182">
        <v>5.8E-4</v>
      </c>
      <c r="M945" s="182">
        <v>0</v>
      </c>
      <c r="N945" s="182">
        <v>0</v>
      </c>
      <c r="O945" s="182">
        <v>0</v>
      </c>
      <c r="P945" s="182">
        <v>0</v>
      </c>
      <c r="R945" s="154" t="str">
        <f t="shared" si="45"/>
        <v>A0506:鈴与電力(株)メニューJ</v>
      </c>
      <c r="S945" s="182">
        <f t="shared" si="46"/>
        <v>5.8E-4</v>
      </c>
    </row>
    <row r="946" spans="9:19">
      <c r="I946" s="124" t="s">
        <v>1028</v>
      </c>
      <c r="J946" s="124" t="s">
        <v>1029</v>
      </c>
      <c r="K946" s="182" t="s">
        <v>432</v>
      </c>
      <c r="L946" s="182">
        <v>0</v>
      </c>
      <c r="M946" s="182">
        <v>0</v>
      </c>
      <c r="N946" s="182">
        <v>0</v>
      </c>
      <c r="O946" s="182">
        <v>0</v>
      </c>
      <c r="P946" s="182">
        <v>0</v>
      </c>
      <c r="R946" s="154" t="str">
        <f t="shared" si="45"/>
        <v>A0506:鈴与電力(株)メニューK</v>
      </c>
      <c r="S946" s="182">
        <f t="shared" si="46"/>
        <v>0</v>
      </c>
    </row>
    <row r="947" spans="9:19">
      <c r="I947" s="124" t="s">
        <v>1028</v>
      </c>
      <c r="J947" s="124" t="s">
        <v>1029</v>
      </c>
      <c r="K947" s="182" t="s">
        <v>433</v>
      </c>
      <c r="L947" s="182">
        <v>5.8399999999999999E-4</v>
      </c>
      <c r="M947" s="182">
        <v>4.0499999999999998E-4</v>
      </c>
      <c r="N947" s="182">
        <v>4.0499999999999998E-4</v>
      </c>
      <c r="O947" s="182">
        <v>4.0499999999999998E-4</v>
      </c>
      <c r="P947" s="182">
        <v>4.0499999999999998E-4</v>
      </c>
      <c r="R947" s="154" t="str">
        <f t="shared" si="45"/>
        <v>A0506:鈴与電力(株)メニューL</v>
      </c>
      <c r="S947" s="182">
        <f t="shared" si="46"/>
        <v>5.8399999999999999E-4</v>
      </c>
    </row>
    <row r="948" spans="9:19">
      <c r="I948" s="124" t="s">
        <v>1028</v>
      </c>
      <c r="J948" s="124" t="s">
        <v>1029</v>
      </c>
      <c r="K948" s="182" t="s">
        <v>2010</v>
      </c>
      <c r="L948" s="182">
        <v>4.9700000000000005E-4</v>
      </c>
      <c r="M948" s="182">
        <v>5.53E-4</v>
      </c>
      <c r="N948" s="182">
        <v>5.53E-4</v>
      </c>
      <c r="O948" s="182">
        <v>5.53E-4</v>
      </c>
      <c r="P948" s="182">
        <v>5.53E-4</v>
      </c>
      <c r="R948" s="154" t="str">
        <f t="shared" si="45"/>
        <v>A0506:鈴与電力(株)(参考値)事業者全体</v>
      </c>
      <c r="S948" s="182">
        <f t="shared" si="46"/>
        <v>4.9700000000000005E-4</v>
      </c>
    </row>
    <row r="949" spans="9:19">
      <c r="I949" s="124" t="s">
        <v>1030</v>
      </c>
      <c r="J949" s="124" t="s">
        <v>1031</v>
      </c>
      <c r="K949" s="182" t="s">
        <v>390</v>
      </c>
      <c r="L949" s="182">
        <v>0</v>
      </c>
      <c r="M949" s="182">
        <v>3.4299999999999999E-4</v>
      </c>
      <c r="N949" s="182">
        <v>3.4299999999999999E-4</v>
      </c>
      <c r="O949" s="182">
        <v>3.4299999999999999E-4</v>
      </c>
      <c r="P949" s="182">
        <v>3.4299999999999999E-4</v>
      </c>
      <c r="R949" s="154" t="str">
        <f t="shared" si="45"/>
        <v>A0507:コープ電力(株)メニューA</v>
      </c>
      <c r="S949" s="182">
        <f t="shared" si="46"/>
        <v>0</v>
      </c>
    </row>
    <row r="950" spans="9:19">
      <c r="I950" s="124" t="s">
        <v>1030</v>
      </c>
      <c r="J950" s="124" t="s">
        <v>1031</v>
      </c>
      <c r="K950" s="182" t="s">
        <v>398</v>
      </c>
      <c r="L950" s="182">
        <v>4.3199999999999998E-4</v>
      </c>
      <c r="M950" s="182">
        <v>0</v>
      </c>
      <c r="N950" s="182">
        <v>0</v>
      </c>
      <c r="O950" s="182">
        <v>0</v>
      </c>
      <c r="P950" s="182">
        <v>0</v>
      </c>
      <c r="R950" s="154" t="str">
        <f t="shared" si="45"/>
        <v>A0507:コープ電力(株)メニューB</v>
      </c>
      <c r="S950" s="182">
        <f t="shared" si="46"/>
        <v>4.3199999999999998E-4</v>
      </c>
    </row>
    <row r="951" spans="9:19">
      <c r="I951" s="124" t="s">
        <v>1030</v>
      </c>
      <c r="J951" s="124" t="s">
        <v>1031</v>
      </c>
      <c r="K951" s="182" t="s">
        <v>2010</v>
      </c>
      <c r="L951" s="182">
        <v>4.2099999999999999E-4</v>
      </c>
      <c r="M951" s="182">
        <v>1.74E-4</v>
      </c>
      <c r="N951" s="182">
        <v>1.74E-4</v>
      </c>
      <c r="O951" s="182">
        <v>1.74E-4</v>
      </c>
      <c r="P951" s="182">
        <v>1.74E-4</v>
      </c>
      <c r="R951" s="154" t="str">
        <f t="shared" si="45"/>
        <v>A0507:コープ電力(株)(参考値)事業者全体</v>
      </c>
      <c r="S951" s="182">
        <f t="shared" si="46"/>
        <v>4.2099999999999999E-4</v>
      </c>
    </row>
    <row r="952" spans="9:19">
      <c r="I952" s="124" t="s">
        <v>1032</v>
      </c>
      <c r="J952" s="124" t="s">
        <v>1033</v>
      </c>
      <c r="K952" s="182"/>
      <c r="L952" s="182">
        <v>2.2499999999999999E-4</v>
      </c>
      <c r="M952" s="182">
        <v>2.6200000000000003E-4</v>
      </c>
      <c r="N952" s="182">
        <v>2.6200000000000003E-4</v>
      </c>
      <c r="O952" s="182">
        <v>2.6200000000000003E-4</v>
      </c>
      <c r="P952" s="182">
        <v>2.6200000000000003E-4</v>
      </c>
      <c r="R952" s="154" t="str">
        <f t="shared" si="45"/>
        <v>A0508:生活協同組合コープぐんま</v>
      </c>
      <c r="S952" s="182">
        <f t="shared" si="46"/>
        <v>2.2499999999999999E-4</v>
      </c>
    </row>
    <row r="953" spans="9:19">
      <c r="I953" s="124" t="s">
        <v>1034</v>
      </c>
      <c r="J953" s="124" t="s">
        <v>1035</v>
      </c>
      <c r="K953" s="182"/>
      <c r="L953" s="182">
        <v>2.2499999999999999E-4</v>
      </c>
      <c r="M953" s="182">
        <v>3.48E-4</v>
      </c>
      <c r="N953" s="182">
        <v>3.48E-4</v>
      </c>
      <c r="O953" s="182">
        <v>3.48E-4</v>
      </c>
      <c r="P953" s="182">
        <v>3.48E-4</v>
      </c>
      <c r="R953" s="154" t="str">
        <f t="shared" si="45"/>
        <v>A0509:とちぎコープ生活協同組合</v>
      </c>
      <c r="S953" s="182">
        <f t="shared" si="46"/>
        <v>2.2499999999999999E-4</v>
      </c>
    </row>
    <row r="954" spans="9:19">
      <c r="I954" s="124" t="s">
        <v>1036</v>
      </c>
      <c r="J954" s="124" t="s">
        <v>1037</v>
      </c>
      <c r="K954" s="182"/>
      <c r="L954" s="182">
        <v>2.2499999999999999E-4</v>
      </c>
      <c r="M954" s="182">
        <v>2.99E-4</v>
      </c>
      <c r="N954" s="182">
        <v>2.99E-4</v>
      </c>
      <c r="O954" s="182">
        <v>2.99E-4</v>
      </c>
      <c r="P954" s="182">
        <v>2.99E-4</v>
      </c>
      <c r="R954" s="154" t="str">
        <f t="shared" si="45"/>
        <v>A0510:いばらきコープ生活協同組合</v>
      </c>
      <c r="S954" s="182">
        <f t="shared" si="46"/>
        <v>2.2499999999999999E-4</v>
      </c>
    </row>
    <row r="955" spans="9:19">
      <c r="I955" s="124" t="s">
        <v>1038</v>
      </c>
      <c r="J955" s="124" t="s">
        <v>1039</v>
      </c>
      <c r="K955" s="182"/>
      <c r="L955" s="182">
        <v>5.0799999999999999E-4</v>
      </c>
      <c r="M955" s="182">
        <v>5.2099999999999998E-4</v>
      </c>
      <c r="N955" s="182">
        <v>5.2099999999999998E-4</v>
      </c>
      <c r="O955" s="182">
        <v>5.2099999999999998E-4</v>
      </c>
      <c r="P955" s="182">
        <v>5.2099999999999998E-4</v>
      </c>
      <c r="R955" s="154" t="str">
        <f t="shared" si="45"/>
        <v>A0511:亀岡ふるさとエナジー(株)</v>
      </c>
      <c r="S955" s="182">
        <f t="shared" si="46"/>
        <v>5.0799999999999999E-4</v>
      </c>
    </row>
    <row r="956" spans="9:19">
      <c r="I956" s="124" t="s">
        <v>1040</v>
      </c>
      <c r="J956" s="124" t="s">
        <v>1041</v>
      </c>
      <c r="K956" s="182" t="s">
        <v>390</v>
      </c>
      <c r="L956" s="182">
        <v>4.2400000000000001E-4</v>
      </c>
      <c r="M956" s="182">
        <v>3.5300000000000002E-4</v>
      </c>
      <c r="N956" s="182">
        <v>3.5300000000000002E-4</v>
      </c>
      <c r="O956" s="182">
        <v>3.5300000000000002E-4</v>
      </c>
      <c r="P956" s="182">
        <v>3.5300000000000002E-4</v>
      </c>
      <c r="R956" s="154" t="str">
        <f t="shared" si="45"/>
        <v>A0513:(株)織戸組メニューA</v>
      </c>
      <c r="S956" s="182">
        <f t="shared" si="46"/>
        <v>4.2400000000000001E-4</v>
      </c>
    </row>
    <row r="957" spans="9:19">
      <c r="I957" s="124" t="s">
        <v>1040</v>
      </c>
      <c r="J957" s="124" t="s">
        <v>1041</v>
      </c>
      <c r="K957" s="182" t="s">
        <v>398</v>
      </c>
      <c r="L957" s="182">
        <v>5.2499999999999997E-4</v>
      </c>
      <c r="M957" s="182">
        <v>4.2900000000000002E-4</v>
      </c>
      <c r="N957" s="182">
        <v>4.2900000000000002E-4</v>
      </c>
      <c r="O957" s="182">
        <v>4.2900000000000002E-4</v>
      </c>
      <c r="P957" s="182">
        <v>4.2900000000000002E-4</v>
      </c>
      <c r="R957" s="154" t="str">
        <f t="shared" si="45"/>
        <v>A0513:(株)織戸組メニューB</v>
      </c>
      <c r="S957" s="182">
        <f t="shared" si="46"/>
        <v>5.2499999999999997E-4</v>
      </c>
    </row>
    <row r="958" spans="9:19">
      <c r="I958" s="124" t="s">
        <v>1040</v>
      </c>
      <c r="J958" s="124" t="s">
        <v>1041</v>
      </c>
      <c r="K958" s="182" t="s">
        <v>2010</v>
      </c>
      <c r="L958" s="182">
        <v>5.1999999999999995E-4</v>
      </c>
      <c r="M958" s="182">
        <v>4.2900000000000002E-4</v>
      </c>
      <c r="N958" s="182">
        <v>4.2900000000000002E-4</v>
      </c>
      <c r="O958" s="182">
        <v>4.2900000000000002E-4</v>
      </c>
      <c r="P958" s="182">
        <v>4.2900000000000002E-4</v>
      </c>
      <c r="R958" s="154" t="str">
        <f t="shared" si="45"/>
        <v>A0513:(株)織戸組(参考値)事業者全体</v>
      </c>
      <c r="S958" s="182">
        <f t="shared" si="46"/>
        <v>5.1999999999999995E-4</v>
      </c>
    </row>
    <row r="959" spans="9:19">
      <c r="I959" s="124" t="s">
        <v>1042</v>
      </c>
      <c r="J959" s="124" t="s">
        <v>1043</v>
      </c>
      <c r="K959" s="182" t="s">
        <v>390</v>
      </c>
      <c r="L959" s="182">
        <v>0</v>
      </c>
      <c r="M959" s="182">
        <v>4.3399999999999998E-4</v>
      </c>
      <c r="N959" s="182">
        <v>4.3399999999999998E-4</v>
      </c>
      <c r="O959" s="182">
        <v>4.3399999999999998E-4</v>
      </c>
      <c r="P959" s="182">
        <v>4.3399999999999998E-4</v>
      </c>
      <c r="R959" s="154" t="str">
        <f t="shared" si="45"/>
        <v>A0514:ふかやeパワー(株)メニューA</v>
      </c>
      <c r="S959" s="182">
        <f t="shared" si="46"/>
        <v>0</v>
      </c>
    </row>
    <row r="960" spans="9:19">
      <c r="I960" s="124" t="s">
        <v>1042</v>
      </c>
      <c r="J960" s="124" t="s">
        <v>1043</v>
      </c>
      <c r="K960" s="182" t="s">
        <v>398</v>
      </c>
      <c r="L960" s="182">
        <v>3.9800000000000002E-4</v>
      </c>
      <c r="M960" s="182">
        <v>3.4499999999999998E-4</v>
      </c>
      <c r="N960" s="182">
        <v>3.4499999999999998E-4</v>
      </c>
      <c r="O960" s="182">
        <v>3.4499999999999998E-4</v>
      </c>
      <c r="P960" s="182">
        <v>3.4499999999999998E-4</v>
      </c>
      <c r="R960" s="154" t="str">
        <f t="shared" si="45"/>
        <v>A0514:ふかやeパワー(株)メニューB</v>
      </c>
      <c r="S960" s="182">
        <f t="shared" si="46"/>
        <v>3.9800000000000002E-4</v>
      </c>
    </row>
    <row r="961" spans="9:19">
      <c r="I961" s="124" t="s">
        <v>1042</v>
      </c>
      <c r="J961" s="124" t="s">
        <v>1043</v>
      </c>
      <c r="K961" s="182" t="s">
        <v>2010</v>
      </c>
      <c r="L961" s="182">
        <v>3.8400000000000001E-4</v>
      </c>
      <c r="M961" s="182">
        <v>2.2900000000000001E-4</v>
      </c>
      <c r="N961" s="182">
        <v>2.2900000000000001E-4</v>
      </c>
      <c r="O961" s="182">
        <v>2.2900000000000001E-4</v>
      </c>
      <c r="P961" s="182">
        <v>2.2900000000000001E-4</v>
      </c>
      <c r="R961" s="154" t="str">
        <f t="shared" si="45"/>
        <v>A0514:ふかやeパワー(株)(参考値)事業者全体</v>
      </c>
      <c r="S961" s="182">
        <f t="shared" si="46"/>
        <v>3.8400000000000001E-4</v>
      </c>
    </row>
    <row r="962" spans="9:19">
      <c r="I962" s="124" t="s">
        <v>1044</v>
      </c>
      <c r="J962" s="124" t="s">
        <v>1045</v>
      </c>
      <c r="K962" s="182"/>
      <c r="L962" s="182">
        <v>5.0500000000000002E-4</v>
      </c>
      <c r="M962" s="182">
        <v>5.8500000000000002E-4</v>
      </c>
      <c r="N962" s="182">
        <v>5.8500000000000002E-4</v>
      </c>
      <c r="O962" s="182">
        <v>5.8500000000000002E-4</v>
      </c>
      <c r="P962" s="182">
        <v>5.8500000000000002E-4</v>
      </c>
      <c r="R962" s="154" t="str">
        <f t="shared" si="45"/>
        <v>A0515:(株)Link Life</v>
      </c>
      <c r="S962" s="182">
        <f t="shared" si="46"/>
        <v>5.0500000000000002E-4</v>
      </c>
    </row>
    <row r="963" spans="9:19">
      <c r="I963" s="124" t="s">
        <v>1046</v>
      </c>
      <c r="J963" s="124" t="s">
        <v>1047</v>
      </c>
      <c r="K963" s="182"/>
      <c r="L963" s="182">
        <v>3.4099999999999999E-4</v>
      </c>
      <c r="M963" s="182">
        <v>5.1999999999999997E-5</v>
      </c>
      <c r="N963" s="182">
        <v>5.1999999999999997E-5</v>
      </c>
      <c r="O963" s="182">
        <v>5.1999999999999997E-5</v>
      </c>
      <c r="P963" s="182">
        <v>5.1999999999999997E-5</v>
      </c>
      <c r="R963" s="154" t="str">
        <f t="shared" si="45"/>
        <v>A0518:(株)グローバルキャスト</v>
      </c>
      <c r="S963" s="182">
        <f t="shared" si="46"/>
        <v>3.4099999999999999E-4</v>
      </c>
    </row>
    <row r="964" spans="9:19">
      <c r="I964" s="124" t="s">
        <v>1048</v>
      </c>
      <c r="J964" s="124" t="s">
        <v>1049</v>
      </c>
      <c r="K964" s="182" t="s">
        <v>390</v>
      </c>
      <c r="L964" s="182">
        <v>0</v>
      </c>
      <c r="M964" s="182">
        <v>5.2400000000000005E-4</v>
      </c>
      <c r="N964" s="182">
        <v>5.2400000000000005E-4</v>
      </c>
      <c r="O964" s="182">
        <v>5.2400000000000005E-4</v>
      </c>
      <c r="P964" s="182">
        <v>5.2400000000000005E-4</v>
      </c>
      <c r="R964" s="154" t="str">
        <f t="shared" si="45"/>
        <v>A0519:日本エネルギー総合システム(株)メニューA</v>
      </c>
      <c r="S964" s="182">
        <f t="shared" si="46"/>
        <v>0</v>
      </c>
    </row>
    <row r="965" spans="9:19">
      <c r="I965" s="124" t="s">
        <v>1048</v>
      </c>
      <c r="J965" s="124" t="s">
        <v>1049</v>
      </c>
      <c r="K965" s="182" t="s">
        <v>398</v>
      </c>
      <c r="L965" s="182">
        <v>1.6700000000000002E-4</v>
      </c>
      <c r="M965" s="182">
        <v>4.44E-4</v>
      </c>
      <c r="N965" s="182">
        <v>4.44E-4</v>
      </c>
      <c r="O965" s="182">
        <v>4.44E-4</v>
      </c>
      <c r="P965" s="182">
        <v>4.44E-4</v>
      </c>
      <c r="R965" s="154" t="str">
        <f t="shared" si="45"/>
        <v>A0519:日本エネルギー総合システム(株)メニューB</v>
      </c>
      <c r="S965" s="182">
        <f t="shared" si="46"/>
        <v>1.6700000000000002E-4</v>
      </c>
    </row>
    <row r="966" spans="9:19">
      <c r="I966" s="124" t="s">
        <v>1048</v>
      </c>
      <c r="J966" s="124" t="s">
        <v>1049</v>
      </c>
      <c r="K966" s="182" t="s">
        <v>399</v>
      </c>
      <c r="L966" s="182">
        <v>2.1000000000000001E-4</v>
      </c>
      <c r="M966" s="182">
        <v>4.3899999999999999E-4</v>
      </c>
      <c r="N966" s="182">
        <v>4.3899999999999999E-4</v>
      </c>
      <c r="O966" s="182">
        <v>4.3899999999999999E-4</v>
      </c>
      <c r="P966" s="182">
        <v>4.3899999999999999E-4</v>
      </c>
      <c r="R966" s="154" t="str">
        <f t="shared" si="45"/>
        <v>A0519:日本エネルギー総合システム(株)メニューC</v>
      </c>
      <c r="S966" s="182">
        <f t="shared" si="46"/>
        <v>2.1000000000000001E-4</v>
      </c>
    </row>
    <row r="967" spans="9:19">
      <c r="I967" s="124" t="s">
        <v>1048</v>
      </c>
      <c r="J967" s="124" t="s">
        <v>1049</v>
      </c>
      <c r="K967" s="182" t="s">
        <v>400</v>
      </c>
      <c r="L967" s="182">
        <v>2.7400000000000005E-4</v>
      </c>
      <c r="M967" s="182">
        <v>3.4200000000000002E-4</v>
      </c>
      <c r="N967" s="182">
        <v>3.4200000000000002E-4</v>
      </c>
      <c r="O967" s="182">
        <v>3.4200000000000002E-4</v>
      </c>
      <c r="P967" s="182">
        <v>3.4200000000000002E-4</v>
      </c>
      <c r="R967" s="154" t="str">
        <f t="shared" si="45"/>
        <v>A0519:日本エネルギー総合システム(株)メニューD</v>
      </c>
      <c r="S967" s="182">
        <f t="shared" si="46"/>
        <v>2.7400000000000005E-4</v>
      </c>
    </row>
    <row r="968" spans="9:19">
      <c r="I968" s="124" t="s">
        <v>1048</v>
      </c>
      <c r="J968" s="124" t="s">
        <v>1049</v>
      </c>
      <c r="K968" s="182" t="s">
        <v>401</v>
      </c>
      <c r="L968" s="182">
        <v>2.9500000000000001E-4</v>
      </c>
      <c r="M968" s="182">
        <v>0</v>
      </c>
      <c r="N968" s="182">
        <v>0</v>
      </c>
      <c r="O968" s="182">
        <v>0</v>
      </c>
      <c r="P968" s="182">
        <v>0</v>
      </c>
      <c r="R968" s="154" t="str">
        <f t="shared" si="45"/>
        <v>A0519:日本エネルギー総合システム(株)メニューE</v>
      </c>
      <c r="S968" s="182">
        <f t="shared" si="46"/>
        <v>2.9500000000000001E-4</v>
      </c>
    </row>
    <row r="969" spans="9:19">
      <c r="I969" s="124" t="s">
        <v>1048</v>
      </c>
      <c r="J969" s="124" t="s">
        <v>1049</v>
      </c>
      <c r="K969" s="182" t="s">
        <v>414</v>
      </c>
      <c r="L969" s="182">
        <v>3.8000000000000002E-4</v>
      </c>
      <c r="M969" s="182">
        <v>3.9900000000000005E-4</v>
      </c>
      <c r="N969" s="182">
        <v>3.9900000000000005E-4</v>
      </c>
      <c r="O969" s="182">
        <v>3.9900000000000005E-4</v>
      </c>
      <c r="P969" s="182">
        <v>3.9900000000000005E-4</v>
      </c>
      <c r="R969" s="154" t="str">
        <f t="shared" si="45"/>
        <v>A0519:日本エネルギー総合システム(株)メニューF</v>
      </c>
      <c r="S969" s="182">
        <f t="shared" si="46"/>
        <v>3.8000000000000002E-4</v>
      </c>
    </row>
    <row r="970" spans="9:19">
      <c r="I970" s="124" t="s">
        <v>1048</v>
      </c>
      <c r="J970" s="124" t="s">
        <v>1049</v>
      </c>
      <c r="K970" s="182" t="s">
        <v>415</v>
      </c>
      <c r="L970" s="182">
        <v>5.0699999999999996E-4</v>
      </c>
      <c r="M970" s="182">
        <v>5.2400000000000005E-4</v>
      </c>
      <c r="N970" s="182">
        <v>5.2400000000000005E-4</v>
      </c>
      <c r="O970" s="182">
        <v>5.2400000000000005E-4</v>
      </c>
      <c r="P970" s="182">
        <v>5.2400000000000005E-4</v>
      </c>
      <c r="R970" s="154" t="str">
        <f t="shared" ref="R970:R1033" si="47">I970&amp;":"&amp;J970&amp;K970</f>
        <v>A0519:日本エネルギー総合システム(株)メニューG</v>
      </c>
      <c r="S970" s="182">
        <f t="shared" ref="S970:S1033" si="48">HLOOKUP($S$8,$L$8:$P$1500,ROW()-7,FALSE)</f>
        <v>5.0699999999999996E-4</v>
      </c>
    </row>
    <row r="971" spans="9:19">
      <c r="I971" s="124" t="s">
        <v>1048</v>
      </c>
      <c r="J971" s="124" t="s">
        <v>1049</v>
      </c>
      <c r="K971" s="182" t="s">
        <v>2010</v>
      </c>
      <c r="L971" s="182">
        <v>4.1800000000000002E-4</v>
      </c>
      <c r="M971" s="182">
        <v>4.9600000000000002E-4</v>
      </c>
      <c r="N971" s="182">
        <v>4.9600000000000002E-4</v>
      </c>
      <c r="O971" s="182">
        <v>4.9600000000000002E-4</v>
      </c>
      <c r="P971" s="182">
        <v>4.9600000000000002E-4</v>
      </c>
      <c r="R971" s="154" t="str">
        <f t="shared" si="47"/>
        <v>A0519:日本エネルギー総合システム(株)(参考値)事業者全体</v>
      </c>
      <c r="S971" s="182">
        <f t="shared" si="48"/>
        <v>4.1800000000000002E-4</v>
      </c>
    </row>
    <row r="972" spans="9:19">
      <c r="I972" s="124" t="s">
        <v>1050</v>
      </c>
      <c r="J972" s="124" t="s">
        <v>1051</v>
      </c>
      <c r="K972" s="182"/>
      <c r="L972" s="182">
        <v>3.4099999999999999E-4</v>
      </c>
      <c r="M972" s="182">
        <v>0</v>
      </c>
      <c r="N972" s="182">
        <v>0</v>
      </c>
      <c r="O972" s="182">
        <v>0</v>
      </c>
      <c r="P972" s="182">
        <v>0</v>
      </c>
      <c r="R972" s="154" t="str">
        <f t="shared" si="47"/>
        <v>A0520:イワタニ東海(株)</v>
      </c>
      <c r="S972" s="182">
        <f t="shared" si="48"/>
        <v>3.4099999999999999E-4</v>
      </c>
    </row>
    <row r="973" spans="9:19">
      <c r="I973" s="124" t="s">
        <v>1052</v>
      </c>
      <c r="J973" s="124" t="s">
        <v>1053</v>
      </c>
      <c r="K973" s="182" t="s">
        <v>390</v>
      </c>
      <c r="L973" s="182">
        <v>1E-4</v>
      </c>
      <c r="M973" s="182">
        <v>0</v>
      </c>
      <c r="N973" s="182">
        <v>0</v>
      </c>
      <c r="O973" s="182">
        <v>0</v>
      </c>
      <c r="P973" s="182">
        <v>0</v>
      </c>
      <c r="R973" s="154" t="str">
        <f t="shared" si="47"/>
        <v>A0525:(株)ところざわ未来電力メニューA</v>
      </c>
      <c r="S973" s="182">
        <f t="shared" si="48"/>
        <v>1E-4</v>
      </c>
    </row>
    <row r="974" spans="9:19">
      <c r="I974" s="124" t="s">
        <v>1052</v>
      </c>
      <c r="J974" s="124" t="s">
        <v>1053</v>
      </c>
      <c r="K974" s="182" t="s">
        <v>398</v>
      </c>
      <c r="L974" s="182">
        <v>0</v>
      </c>
      <c r="M974" s="182">
        <v>0</v>
      </c>
      <c r="N974" s="182">
        <v>0</v>
      </c>
      <c r="O974" s="182">
        <v>0</v>
      </c>
      <c r="P974" s="182">
        <v>0</v>
      </c>
      <c r="R974" s="154" t="str">
        <f t="shared" si="47"/>
        <v>A0525:(株)ところざわ未来電力メニューB</v>
      </c>
      <c r="S974" s="182">
        <f t="shared" si="48"/>
        <v>0</v>
      </c>
    </row>
    <row r="975" spans="9:19">
      <c r="I975" s="124" t="s">
        <v>1052</v>
      </c>
      <c r="J975" s="124" t="s">
        <v>1053</v>
      </c>
      <c r="K975" s="182" t="s">
        <v>399</v>
      </c>
      <c r="L975" s="182">
        <v>2.1100000000000001E-4</v>
      </c>
      <c r="M975" s="182">
        <v>6.78E-4</v>
      </c>
      <c r="N975" s="182">
        <v>6.78E-4</v>
      </c>
      <c r="O975" s="182">
        <v>6.78E-4</v>
      </c>
      <c r="P975" s="182">
        <v>6.78E-4</v>
      </c>
      <c r="R975" s="154" t="str">
        <f t="shared" si="47"/>
        <v>A0525:(株)ところざわ未来電力メニューC</v>
      </c>
      <c r="S975" s="182">
        <f t="shared" si="48"/>
        <v>2.1100000000000001E-4</v>
      </c>
    </row>
    <row r="976" spans="9:19">
      <c r="I976" s="124" t="s">
        <v>1052</v>
      </c>
      <c r="J976" s="124" t="s">
        <v>1053</v>
      </c>
      <c r="K976" s="182" t="s">
        <v>2010</v>
      </c>
      <c r="L976" s="182">
        <v>2.03E-4</v>
      </c>
      <c r="M976" s="182">
        <v>4.2200000000000001E-4</v>
      </c>
      <c r="N976" s="182">
        <v>4.2200000000000001E-4</v>
      </c>
      <c r="O976" s="182">
        <v>4.2200000000000001E-4</v>
      </c>
      <c r="P976" s="182">
        <v>4.2200000000000001E-4</v>
      </c>
      <c r="R976" s="154" t="str">
        <f t="shared" si="47"/>
        <v>A0525:(株)ところざわ未来電力(参考値)事業者全体</v>
      </c>
      <c r="S976" s="182">
        <f t="shared" si="48"/>
        <v>2.03E-4</v>
      </c>
    </row>
    <row r="977" spans="9:19">
      <c r="I977" s="124" t="s">
        <v>1054</v>
      </c>
      <c r="J977" s="124" t="s">
        <v>1055</v>
      </c>
      <c r="K977" s="182"/>
      <c r="L977" s="182">
        <v>3.4099999999999999E-4</v>
      </c>
      <c r="M977" s="182">
        <v>0</v>
      </c>
      <c r="N977" s="182">
        <v>0</v>
      </c>
      <c r="O977" s="182">
        <v>0</v>
      </c>
      <c r="P977" s="182">
        <v>0</v>
      </c>
      <c r="R977" s="154" t="str">
        <f t="shared" si="47"/>
        <v>A0526:朝日ガスエナジー(株)</v>
      </c>
      <c r="S977" s="182">
        <f t="shared" si="48"/>
        <v>3.4099999999999999E-4</v>
      </c>
    </row>
    <row r="978" spans="9:19">
      <c r="I978" s="124" t="s">
        <v>1056</v>
      </c>
      <c r="J978" s="124" t="s">
        <v>1057</v>
      </c>
      <c r="K978" s="182" t="s">
        <v>390</v>
      </c>
      <c r="L978" s="182">
        <v>0</v>
      </c>
      <c r="M978" s="182">
        <v>3.8000000000000002E-4</v>
      </c>
      <c r="N978" s="182">
        <v>3.8000000000000002E-4</v>
      </c>
      <c r="O978" s="182">
        <v>3.8000000000000002E-4</v>
      </c>
      <c r="P978" s="182">
        <v>3.8000000000000002E-4</v>
      </c>
      <c r="R978" s="154" t="str">
        <f t="shared" si="47"/>
        <v>A0528:(株)エネファントメニューA</v>
      </c>
      <c r="S978" s="182">
        <f t="shared" si="48"/>
        <v>0</v>
      </c>
    </row>
    <row r="979" spans="9:19">
      <c r="I979" s="124" t="s">
        <v>1056</v>
      </c>
      <c r="J979" s="124" t="s">
        <v>1057</v>
      </c>
      <c r="K979" s="182" t="s">
        <v>398</v>
      </c>
      <c r="L979" s="182">
        <v>8.7000000000000001E-5</v>
      </c>
      <c r="M979" s="182">
        <v>0</v>
      </c>
      <c r="N979" s="182">
        <v>0</v>
      </c>
      <c r="O979" s="182">
        <v>0</v>
      </c>
      <c r="P979" s="182">
        <v>0</v>
      </c>
      <c r="R979" s="154" t="str">
        <f t="shared" si="47"/>
        <v>A0528:(株)エネファントメニューB</v>
      </c>
      <c r="S979" s="182">
        <f t="shared" si="48"/>
        <v>8.7000000000000001E-5</v>
      </c>
    </row>
    <row r="980" spans="9:19">
      <c r="I980" s="124" t="s">
        <v>1056</v>
      </c>
      <c r="J980" s="124" t="s">
        <v>1057</v>
      </c>
      <c r="K980" s="182" t="s">
        <v>399</v>
      </c>
      <c r="L980" s="182">
        <v>1.76E-4</v>
      </c>
      <c r="M980" s="182">
        <v>1.2400000000000001E-4</v>
      </c>
      <c r="N980" s="182">
        <v>1.2400000000000001E-4</v>
      </c>
      <c r="O980" s="182">
        <v>1.2400000000000001E-4</v>
      </c>
      <c r="P980" s="182">
        <v>1.2400000000000001E-4</v>
      </c>
      <c r="R980" s="154" t="str">
        <f t="shared" si="47"/>
        <v>A0528:(株)エネファントメニューC</v>
      </c>
      <c r="S980" s="182">
        <f t="shared" si="48"/>
        <v>1.76E-4</v>
      </c>
    </row>
    <row r="981" spans="9:19">
      <c r="I981" s="124" t="s">
        <v>1056</v>
      </c>
      <c r="J981" s="124" t="s">
        <v>1057</v>
      </c>
      <c r="K981" s="182" t="s">
        <v>2010</v>
      </c>
      <c r="L981" s="182">
        <v>1.74E-4</v>
      </c>
      <c r="M981" s="182">
        <v>4.1599999999999997E-4</v>
      </c>
      <c r="N981" s="182">
        <v>4.1599999999999997E-4</v>
      </c>
      <c r="O981" s="182">
        <v>4.1599999999999997E-4</v>
      </c>
      <c r="P981" s="182">
        <v>4.1599999999999997E-4</v>
      </c>
      <c r="R981" s="154" t="str">
        <f t="shared" si="47"/>
        <v>A0528:(株)エネファント(参考値)事業者全体</v>
      </c>
      <c r="S981" s="182">
        <f t="shared" si="48"/>
        <v>1.74E-4</v>
      </c>
    </row>
    <row r="982" spans="9:19">
      <c r="I982" s="124" t="s">
        <v>1058</v>
      </c>
      <c r="J982" s="124" t="s">
        <v>1059</v>
      </c>
      <c r="K982" s="182"/>
      <c r="L982" s="182">
        <v>4.7699999999999999E-4</v>
      </c>
      <c r="M982" s="182">
        <v>5.2800000000000004E-4</v>
      </c>
      <c r="N982" s="182">
        <v>5.2800000000000004E-4</v>
      </c>
      <c r="O982" s="182">
        <v>5.2800000000000004E-4</v>
      </c>
      <c r="P982" s="182">
        <v>5.2800000000000004E-4</v>
      </c>
      <c r="R982" s="154" t="str">
        <f t="shared" si="47"/>
        <v>A0529:(株)エスエナジー</v>
      </c>
      <c r="S982" s="182">
        <f t="shared" si="48"/>
        <v>4.7699999999999999E-4</v>
      </c>
    </row>
    <row r="983" spans="9:19">
      <c r="I983" s="124" t="s">
        <v>1060</v>
      </c>
      <c r="J983" s="124" t="s">
        <v>1061</v>
      </c>
      <c r="K983" s="182" t="s">
        <v>390</v>
      </c>
      <c r="L983" s="182">
        <v>0</v>
      </c>
      <c r="M983" s="182">
        <v>4.7800000000000002E-4</v>
      </c>
      <c r="N983" s="182">
        <v>4.7800000000000002E-4</v>
      </c>
      <c r="O983" s="182">
        <v>4.7800000000000002E-4</v>
      </c>
      <c r="P983" s="182">
        <v>4.7800000000000002E-4</v>
      </c>
      <c r="R983" s="154" t="str">
        <f t="shared" si="47"/>
        <v>A0533:秩父新電力(株)メニューA</v>
      </c>
      <c r="S983" s="182">
        <f t="shared" si="48"/>
        <v>0</v>
      </c>
    </row>
    <row r="984" spans="9:19">
      <c r="I984" s="124" t="s">
        <v>1060</v>
      </c>
      <c r="J984" s="124" t="s">
        <v>1061</v>
      </c>
      <c r="K984" s="182" t="s">
        <v>398</v>
      </c>
      <c r="L984" s="182">
        <v>2.99E-4</v>
      </c>
      <c r="M984" s="182">
        <v>4.7100000000000001E-4</v>
      </c>
      <c r="N984" s="182">
        <v>4.7100000000000001E-4</v>
      </c>
      <c r="O984" s="182">
        <v>4.7100000000000001E-4</v>
      </c>
      <c r="P984" s="182">
        <v>4.7100000000000001E-4</v>
      </c>
      <c r="R984" s="154" t="str">
        <f t="shared" si="47"/>
        <v>A0533:秩父新電力(株)メニューB</v>
      </c>
      <c r="S984" s="182">
        <f t="shared" si="48"/>
        <v>2.99E-4</v>
      </c>
    </row>
    <row r="985" spans="9:19">
      <c r="I985" s="124" t="s">
        <v>1060</v>
      </c>
      <c r="J985" s="124" t="s">
        <v>1061</v>
      </c>
      <c r="K985" s="182" t="s">
        <v>399</v>
      </c>
      <c r="L985" s="182">
        <v>3.1199999999999999E-4</v>
      </c>
      <c r="M985" s="182">
        <v>4.84E-4</v>
      </c>
      <c r="N985" s="182">
        <v>4.84E-4</v>
      </c>
      <c r="O985" s="182">
        <v>4.84E-4</v>
      </c>
      <c r="P985" s="182">
        <v>4.84E-4</v>
      </c>
      <c r="R985" s="154" t="str">
        <f t="shared" si="47"/>
        <v>A0533:秩父新電力(株)メニューC</v>
      </c>
      <c r="S985" s="182">
        <f t="shared" si="48"/>
        <v>3.1199999999999999E-4</v>
      </c>
    </row>
    <row r="986" spans="9:19">
      <c r="I986" s="124" t="s">
        <v>1060</v>
      </c>
      <c r="J986" s="124" t="s">
        <v>1061</v>
      </c>
      <c r="K986" s="182" t="s">
        <v>2010</v>
      </c>
      <c r="L986" s="182">
        <v>2.0900000000000001E-4</v>
      </c>
      <c r="M986" s="182">
        <v>4.4000000000000002E-4</v>
      </c>
      <c r="N986" s="182">
        <v>4.4000000000000002E-4</v>
      </c>
      <c r="O986" s="182">
        <v>4.4000000000000002E-4</v>
      </c>
      <c r="P986" s="182">
        <v>4.4000000000000002E-4</v>
      </c>
      <c r="R986" s="154" t="str">
        <f t="shared" si="47"/>
        <v>A0533:秩父新電力(株)(参考値)事業者全体</v>
      </c>
      <c r="S986" s="182">
        <f t="shared" si="48"/>
        <v>2.0900000000000001E-4</v>
      </c>
    </row>
    <row r="987" spans="9:19">
      <c r="I987" s="124" t="s">
        <v>1062</v>
      </c>
      <c r="J987" s="124" t="s">
        <v>1063</v>
      </c>
      <c r="K987" s="182" t="s">
        <v>390</v>
      </c>
      <c r="L987" s="182">
        <v>4.35E-4</v>
      </c>
      <c r="M987" s="182">
        <v>0</v>
      </c>
      <c r="N987" s="182">
        <v>0</v>
      </c>
      <c r="O987" s="182">
        <v>0</v>
      </c>
      <c r="P987" s="182">
        <v>0</v>
      </c>
      <c r="R987" s="154" t="str">
        <f t="shared" si="47"/>
        <v>A0534:みよしエナジー(株)メニューA</v>
      </c>
      <c r="S987" s="182">
        <f t="shared" si="48"/>
        <v>4.35E-4</v>
      </c>
    </row>
    <row r="988" spans="9:19">
      <c r="I988" s="124" t="s">
        <v>1062</v>
      </c>
      <c r="J988" s="124" t="s">
        <v>1063</v>
      </c>
      <c r="K988" s="182" t="s">
        <v>2010</v>
      </c>
      <c r="L988" s="182">
        <v>3.7300000000000001E-4</v>
      </c>
      <c r="M988" s="182">
        <v>1.94E-4</v>
      </c>
      <c r="N988" s="182">
        <v>1.94E-4</v>
      </c>
      <c r="O988" s="182">
        <v>1.94E-4</v>
      </c>
      <c r="P988" s="182">
        <v>1.94E-4</v>
      </c>
      <c r="R988" s="154" t="str">
        <f t="shared" si="47"/>
        <v>A0534:みよしエナジー(株)(参考値)事業者全体</v>
      </c>
      <c r="S988" s="182">
        <f t="shared" si="48"/>
        <v>3.7300000000000001E-4</v>
      </c>
    </row>
    <row r="989" spans="9:19">
      <c r="I989" s="124" t="s">
        <v>1064</v>
      </c>
      <c r="J989" s="124" t="s">
        <v>1065</v>
      </c>
      <c r="K989" s="182"/>
      <c r="L989" s="182">
        <v>6.0599999999999998E-4</v>
      </c>
      <c r="M989" s="182">
        <v>0</v>
      </c>
      <c r="N989" s="182">
        <v>0</v>
      </c>
      <c r="O989" s="182">
        <v>0</v>
      </c>
      <c r="P989" s="182">
        <v>0</v>
      </c>
      <c r="R989" s="154" t="str">
        <f t="shared" si="47"/>
        <v>A0538:綿半パートナーズ(株)</v>
      </c>
      <c r="S989" s="182">
        <f t="shared" si="48"/>
        <v>6.0599999999999998E-4</v>
      </c>
    </row>
    <row r="990" spans="9:19">
      <c r="I990" s="124" t="s">
        <v>1066</v>
      </c>
      <c r="J990" s="124" t="s">
        <v>1067</v>
      </c>
      <c r="K990" s="182"/>
      <c r="L990" s="182">
        <v>4.17E-4</v>
      </c>
      <c r="M990" s="182">
        <v>4.8799999999999999E-4</v>
      </c>
      <c r="N990" s="182">
        <v>4.8799999999999999E-4</v>
      </c>
      <c r="O990" s="182">
        <v>4.8799999999999999E-4</v>
      </c>
      <c r="P990" s="182">
        <v>4.8799999999999999E-4</v>
      </c>
      <c r="R990" s="154" t="str">
        <f t="shared" si="47"/>
        <v>A0539:(株)karch</v>
      </c>
      <c r="S990" s="182">
        <f t="shared" si="48"/>
        <v>4.17E-4</v>
      </c>
    </row>
    <row r="991" spans="9:19">
      <c r="I991" s="124" t="s">
        <v>1068</v>
      </c>
      <c r="J991" s="124" t="s">
        <v>1069</v>
      </c>
      <c r="K991" s="182"/>
      <c r="L991" s="182">
        <v>5.71E-4</v>
      </c>
      <c r="M991" s="182">
        <v>2.4600000000000002E-4</v>
      </c>
      <c r="N991" s="182">
        <v>2.4600000000000002E-4</v>
      </c>
      <c r="O991" s="182">
        <v>2.4600000000000002E-4</v>
      </c>
      <c r="P991" s="182">
        <v>2.4600000000000002E-4</v>
      </c>
      <c r="R991" s="154" t="str">
        <f t="shared" si="47"/>
        <v>A0543:(株)かみでん里山公社</v>
      </c>
      <c r="S991" s="182">
        <f t="shared" si="48"/>
        <v>5.71E-4</v>
      </c>
    </row>
    <row r="992" spans="9:19">
      <c r="I992" s="124" t="s">
        <v>1070</v>
      </c>
      <c r="J992" s="124" t="s">
        <v>1071</v>
      </c>
      <c r="K992" s="182" t="s">
        <v>390</v>
      </c>
      <c r="L992" s="182">
        <v>6.0599999999999998E-4</v>
      </c>
      <c r="M992" s="182">
        <v>4.3800000000000002E-4</v>
      </c>
      <c r="N992" s="182">
        <v>4.3800000000000002E-4</v>
      </c>
      <c r="O992" s="182">
        <v>4.3800000000000002E-4</v>
      </c>
      <c r="P992" s="182">
        <v>4.3800000000000002E-4</v>
      </c>
      <c r="R992" s="154" t="str">
        <f t="shared" si="47"/>
        <v>A0546:(株)三郷ひまわりエナジーメニューA</v>
      </c>
      <c r="S992" s="182">
        <f t="shared" si="48"/>
        <v>6.0599999999999998E-4</v>
      </c>
    </row>
    <row r="993" spans="9:19">
      <c r="I993" s="124" t="s">
        <v>1070</v>
      </c>
      <c r="J993" s="124" t="s">
        <v>1071</v>
      </c>
      <c r="K993" s="182" t="s">
        <v>2010</v>
      </c>
      <c r="L993" s="182">
        <v>3.8699999999999997E-4</v>
      </c>
      <c r="M993" s="182">
        <v>2.63E-4</v>
      </c>
      <c r="N993" s="182">
        <v>2.63E-4</v>
      </c>
      <c r="O993" s="182">
        <v>2.63E-4</v>
      </c>
      <c r="P993" s="182">
        <v>2.63E-4</v>
      </c>
      <c r="R993" s="154" t="str">
        <f t="shared" si="47"/>
        <v>A0546:(株)三郷ひまわりエナジー(参考値)事業者全体</v>
      </c>
      <c r="S993" s="182">
        <f t="shared" si="48"/>
        <v>3.8699999999999997E-4</v>
      </c>
    </row>
    <row r="994" spans="9:19">
      <c r="I994" s="124" t="s">
        <v>1072</v>
      </c>
      <c r="J994" s="124" t="s">
        <v>1073</v>
      </c>
      <c r="K994" s="182"/>
      <c r="L994" s="182">
        <v>2.5000000000000001E-4</v>
      </c>
      <c r="M994" s="182">
        <v>6.0400000000000004E-4</v>
      </c>
      <c r="N994" s="182">
        <v>6.0400000000000004E-4</v>
      </c>
      <c r="O994" s="182">
        <v>6.0400000000000004E-4</v>
      </c>
      <c r="P994" s="182">
        <v>6.0400000000000004E-4</v>
      </c>
      <c r="R994" s="154" t="str">
        <f t="shared" si="47"/>
        <v>A0547:(株)球磨村森電力</v>
      </c>
      <c r="S994" s="182">
        <f t="shared" si="48"/>
        <v>2.5000000000000001E-4</v>
      </c>
    </row>
    <row r="995" spans="9:19">
      <c r="I995" s="124" t="s">
        <v>1074</v>
      </c>
      <c r="J995" s="124" t="s">
        <v>1075</v>
      </c>
      <c r="K995" s="182"/>
      <c r="L995" s="182">
        <v>5.6499999999999996E-4</v>
      </c>
      <c r="M995" s="182">
        <v>5.7600000000000001E-4</v>
      </c>
      <c r="N995" s="182">
        <v>5.7600000000000001E-4</v>
      </c>
      <c r="O995" s="182">
        <v>5.7600000000000001E-4</v>
      </c>
      <c r="P995" s="182">
        <v>5.7600000000000001E-4</v>
      </c>
      <c r="R995" s="154" t="str">
        <f t="shared" si="47"/>
        <v>A0549:くこくエネルギー(株)</v>
      </c>
      <c r="S995" s="182">
        <f t="shared" si="48"/>
        <v>5.6499999999999996E-4</v>
      </c>
    </row>
    <row r="996" spans="9:19">
      <c r="I996" s="124" t="s">
        <v>1076</v>
      </c>
      <c r="J996" s="124" t="s">
        <v>1077</v>
      </c>
      <c r="K996" s="182"/>
      <c r="L996" s="182">
        <v>3.77E-4</v>
      </c>
      <c r="M996" s="182">
        <v>6.0499999999999996E-4</v>
      </c>
      <c r="N996" s="182">
        <v>6.0499999999999996E-4</v>
      </c>
      <c r="O996" s="182">
        <v>6.0499999999999996E-4</v>
      </c>
      <c r="P996" s="182">
        <v>6.0499999999999996E-4</v>
      </c>
      <c r="R996" s="154" t="str">
        <f t="shared" si="47"/>
        <v>A0550:(株)エコログ</v>
      </c>
      <c r="S996" s="182">
        <f t="shared" si="48"/>
        <v>3.77E-4</v>
      </c>
    </row>
    <row r="997" spans="9:19">
      <c r="I997" s="124" t="s">
        <v>1078</v>
      </c>
      <c r="J997" s="124" t="s">
        <v>1079</v>
      </c>
      <c r="K997" s="182" t="s">
        <v>390</v>
      </c>
      <c r="L997" s="182">
        <v>0</v>
      </c>
      <c r="M997" s="182">
        <v>6.11E-4</v>
      </c>
      <c r="N997" s="182">
        <v>6.11E-4</v>
      </c>
      <c r="O997" s="182">
        <v>6.11E-4</v>
      </c>
      <c r="P997" s="182">
        <v>6.11E-4</v>
      </c>
      <c r="R997" s="154" t="str">
        <f t="shared" si="47"/>
        <v>A0551:飯田まちづくり電力(株)メニューA</v>
      </c>
      <c r="S997" s="182">
        <f t="shared" si="48"/>
        <v>0</v>
      </c>
    </row>
    <row r="998" spans="9:19">
      <c r="I998" s="124" t="s">
        <v>1078</v>
      </c>
      <c r="J998" s="124" t="s">
        <v>1079</v>
      </c>
      <c r="K998" s="182" t="s">
        <v>398</v>
      </c>
      <c r="L998" s="182">
        <v>4.2700000000000002E-4</v>
      </c>
      <c r="M998" s="182">
        <v>5.9299999999999999E-4</v>
      </c>
      <c r="N998" s="182">
        <v>5.9299999999999999E-4</v>
      </c>
      <c r="O998" s="182">
        <v>5.9299999999999999E-4</v>
      </c>
      <c r="P998" s="182">
        <v>5.9299999999999999E-4</v>
      </c>
      <c r="R998" s="154" t="str">
        <f t="shared" si="47"/>
        <v>A0551:飯田まちづくり電力(株)メニューB</v>
      </c>
      <c r="S998" s="182">
        <f t="shared" si="48"/>
        <v>4.2700000000000002E-4</v>
      </c>
    </row>
    <row r="999" spans="9:19">
      <c r="I999" s="124" t="s">
        <v>1078</v>
      </c>
      <c r="J999" s="124" t="s">
        <v>1079</v>
      </c>
      <c r="K999" s="182" t="s">
        <v>399</v>
      </c>
      <c r="L999" s="182">
        <v>3.7600000000000003E-4</v>
      </c>
      <c r="M999" s="182">
        <v>4.2499999999999998E-4</v>
      </c>
      <c r="N999" s="182">
        <v>4.2499999999999998E-4</v>
      </c>
      <c r="O999" s="182">
        <v>4.2499999999999998E-4</v>
      </c>
      <c r="P999" s="182">
        <v>4.2499999999999998E-4</v>
      </c>
      <c r="R999" s="154" t="str">
        <f t="shared" si="47"/>
        <v>A0551:飯田まちづくり電力(株)メニューC</v>
      </c>
      <c r="S999" s="182">
        <f t="shared" si="48"/>
        <v>3.7600000000000003E-4</v>
      </c>
    </row>
    <row r="1000" spans="9:19">
      <c r="I1000" s="124" t="s">
        <v>1078</v>
      </c>
      <c r="J1000" s="124" t="s">
        <v>1079</v>
      </c>
      <c r="K1000" s="182" t="s">
        <v>400</v>
      </c>
      <c r="L1000" s="182">
        <v>2.9999999999999997E-4</v>
      </c>
      <c r="M1000" s="182">
        <v>4.5100000000000001E-4</v>
      </c>
      <c r="N1000" s="182">
        <v>4.5100000000000001E-4</v>
      </c>
      <c r="O1000" s="182">
        <v>4.5100000000000001E-4</v>
      </c>
      <c r="P1000" s="182">
        <v>4.5100000000000001E-4</v>
      </c>
      <c r="R1000" s="154" t="str">
        <f t="shared" si="47"/>
        <v>A0551:飯田まちづくり電力(株)メニューD</v>
      </c>
      <c r="S1000" s="182">
        <f t="shared" si="48"/>
        <v>2.9999999999999997E-4</v>
      </c>
    </row>
    <row r="1001" spans="9:19">
      <c r="I1001" s="124" t="s">
        <v>1078</v>
      </c>
      <c r="J1001" s="124" t="s">
        <v>1079</v>
      </c>
      <c r="K1001" s="182" t="s">
        <v>2010</v>
      </c>
      <c r="L1001" s="182">
        <v>3.39E-4</v>
      </c>
      <c r="M1001" s="182">
        <v>5.7799999999999995E-4</v>
      </c>
      <c r="N1001" s="182">
        <v>5.7799999999999995E-4</v>
      </c>
      <c r="O1001" s="182">
        <v>5.7799999999999995E-4</v>
      </c>
      <c r="P1001" s="182">
        <v>5.7799999999999995E-4</v>
      </c>
      <c r="R1001" s="154" t="str">
        <f t="shared" si="47"/>
        <v>A0551:飯田まちづくり電力(株)(参考値)事業者全体</v>
      </c>
      <c r="S1001" s="182">
        <f t="shared" si="48"/>
        <v>3.39E-4</v>
      </c>
    </row>
    <row r="1002" spans="9:19">
      <c r="I1002" s="124" t="s">
        <v>1080</v>
      </c>
      <c r="J1002" s="124" t="s">
        <v>1081</v>
      </c>
      <c r="K1002" s="182"/>
      <c r="L1002" s="182">
        <v>3.4099999999999999E-4</v>
      </c>
      <c r="M1002" s="182">
        <v>4.06E-4</v>
      </c>
      <c r="N1002" s="182">
        <v>4.06E-4</v>
      </c>
      <c r="O1002" s="182">
        <v>4.06E-4</v>
      </c>
      <c r="P1002" s="182">
        <v>4.06E-4</v>
      </c>
      <c r="R1002" s="154" t="str">
        <f t="shared" si="47"/>
        <v>A0552:イワタニ長野(株)</v>
      </c>
      <c r="S1002" s="182">
        <f t="shared" si="48"/>
        <v>3.4099999999999999E-4</v>
      </c>
    </row>
    <row r="1003" spans="9:19">
      <c r="I1003" s="124" t="s">
        <v>1082</v>
      </c>
      <c r="J1003" s="124" t="s">
        <v>1083</v>
      </c>
      <c r="K1003" s="182" t="s">
        <v>390</v>
      </c>
      <c r="L1003" s="182">
        <v>0</v>
      </c>
      <c r="M1003" s="182">
        <v>3.3399999999999999E-4</v>
      </c>
      <c r="N1003" s="182">
        <v>3.3399999999999999E-4</v>
      </c>
      <c r="O1003" s="182">
        <v>3.3399999999999999E-4</v>
      </c>
      <c r="P1003" s="182">
        <v>3.3399999999999999E-4</v>
      </c>
      <c r="R1003" s="154" t="str">
        <f t="shared" si="47"/>
        <v>A0553:シェルジャパン(株)メニューA</v>
      </c>
      <c r="S1003" s="182">
        <f t="shared" si="48"/>
        <v>0</v>
      </c>
    </row>
    <row r="1004" spans="9:19">
      <c r="I1004" s="124" t="s">
        <v>1082</v>
      </c>
      <c r="J1004" s="124" t="s">
        <v>1083</v>
      </c>
      <c r="K1004" s="182" t="s">
        <v>398</v>
      </c>
      <c r="L1004" s="182">
        <v>2.9999999999999997E-4</v>
      </c>
      <c r="M1004" s="182">
        <v>3.88E-4</v>
      </c>
      <c r="N1004" s="182">
        <v>3.88E-4</v>
      </c>
      <c r="O1004" s="182">
        <v>3.88E-4</v>
      </c>
      <c r="P1004" s="182">
        <v>3.88E-4</v>
      </c>
      <c r="R1004" s="154" t="str">
        <f t="shared" si="47"/>
        <v>A0553:シェルジャパン(株)メニューB</v>
      </c>
      <c r="S1004" s="182">
        <f t="shared" si="48"/>
        <v>2.9999999999999997E-4</v>
      </c>
    </row>
    <row r="1005" spans="9:19">
      <c r="I1005" s="124" t="s">
        <v>1082</v>
      </c>
      <c r="J1005" s="124" t="s">
        <v>1083</v>
      </c>
      <c r="K1005" s="182" t="s">
        <v>399</v>
      </c>
      <c r="L1005" s="182">
        <v>4.2900000000000002E-4</v>
      </c>
      <c r="M1005" s="182">
        <v>0</v>
      </c>
      <c r="N1005" s="182">
        <v>0</v>
      </c>
      <c r="O1005" s="182">
        <v>0</v>
      </c>
      <c r="P1005" s="182">
        <v>0</v>
      </c>
      <c r="R1005" s="154" t="str">
        <f t="shared" si="47"/>
        <v>A0553:シェルジャパン(株)メニューC</v>
      </c>
      <c r="S1005" s="182">
        <f t="shared" si="48"/>
        <v>4.2900000000000002E-4</v>
      </c>
    </row>
    <row r="1006" spans="9:19">
      <c r="I1006" s="124" t="s">
        <v>1082</v>
      </c>
      <c r="J1006" s="124" t="s">
        <v>1083</v>
      </c>
      <c r="K1006" s="182" t="s">
        <v>2010</v>
      </c>
      <c r="L1006" s="182">
        <v>4.2900000000000002E-4</v>
      </c>
      <c r="M1006" s="182">
        <v>5.8299999999999997E-4</v>
      </c>
      <c r="N1006" s="182">
        <v>5.8299999999999997E-4</v>
      </c>
      <c r="O1006" s="182">
        <v>5.8299999999999997E-4</v>
      </c>
      <c r="P1006" s="182">
        <v>5.8299999999999997E-4</v>
      </c>
      <c r="R1006" s="154" t="str">
        <f t="shared" si="47"/>
        <v>A0553:シェルジャパン(株)(参考値)事業者全体</v>
      </c>
      <c r="S1006" s="182">
        <f t="shared" si="48"/>
        <v>4.2900000000000002E-4</v>
      </c>
    </row>
    <row r="1007" spans="9:19">
      <c r="I1007" s="124" t="s">
        <v>1084</v>
      </c>
      <c r="J1007" s="124" t="s">
        <v>1085</v>
      </c>
      <c r="K1007" s="182"/>
      <c r="L1007" s="182">
        <v>4.2900000000000002E-4</v>
      </c>
      <c r="M1007" s="182">
        <v>4.8000000000000001E-4</v>
      </c>
      <c r="N1007" s="182">
        <v>4.8000000000000001E-4</v>
      </c>
      <c r="O1007" s="182">
        <v>4.8000000000000001E-4</v>
      </c>
      <c r="P1007" s="182">
        <v>4.8000000000000001E-4</v>
      </c>
      <c r="R1007" s="154" t="str">
        <f t="shared" si="47"/>
        <v>A0555:石油資源開発(株)</v>
      </c>
      <c r="S1007" s="182">
        <f t="shared" si="48"/>
        <v>4.2900000000000002E-4</v>
      </c>
    </row>
    <row r="1008" spans="9:19">
      <c r="I1008" s="124" t="s">
        <v>1086</v>
      </c>
      <c r="J1008" s="124" t="s">
        <v>1087</v>
      </c>
      <c r="K1008" s="182" t="s">
        <v>390</v>
      </c>
      <c r="L1008" s="182">
        <v>0</v>
      </c>
      <c r="M1008" s="182">
        <v>4.3199999999999998E-4</v>
      </c>
      <c r="N1008" s="182">
        <v>4.3199999999999998E-4</v>
      </c>
      <c r="O1008" s="182">
        <v>4.3199999999999998E-4</v>
      </c>
      <c r="P1008" s="182">
        <v>4.3199999999999998E-4</v>
      </c>
      <c r="R1008" s="154" t="str">
        <f t="shared" si="47"/>
        <v>A0556:越後天然ガス(株)メニューA</v>
      </c>
      <c r="S1008" s="182">
        <f t="shared" si="48"/>
        <v>0</v>
      </c>
    </row>
    <row r="1009" spans="9:19">
      <c r="I1009" s="124" t="s">
        <v>1086</v>
      </c>
      <c r="J1009" s="124" t="s">
        <v>1087</v>
      </c>
      <c r="K1009" s="182" t="s">
        <v>398</v>
      </c>
      <c r="L1009" s="182">
        <v>4.95E-4</v>
      </c>
      <c r="M1009" s="182">
        <v>4.0999999999999999E-4</v>
      </c>
      <c r="N1009" s="182">
        <v>4.0999999999999999E-4</v>
      </c>
      <c r="O1009" s="182">
        <v>4.0999999999999999E-4</v>
      </c>
      <c r="P1009" s="182">
        <v>4.0999999999999999E-4</v>
      </c>
      <c r="R1009" s="154" t="str">
        <f t="shared" si="47"/>
        <v>A0556:越後天然ガス(株)メニューB</v>
      </c>
      <c r="S1009" s="182">
        <f t="shared" si="48"/>
        <v>4.95E-4</v>
      </c>
    </row>
    <row r="1010" spans="9:19">
      <c r="I1010" s="124" t="s">
        <v>1086</v>
      </c>
      <c r="J1010" s="124" t="s">
        <v>1087</v>
      </c>
      <c r="K1010" s="182" t="s">
        <v>2010</v>
      </c>
      <c r="L1010" s="182">
        <v>2.2900000000000001E-4</v>
      </c>
      <c r="M1010" s="182">
        <v>4.0900000000000002E-4</v>
      </c>
      <c r="N1010" s="182">
        <v>4.0900000000000002E-4</v>
      </c>
      <c r="O1010" s="182">
        <v>4.0900000000000002E-4</v>
      </c>
      <c r="P1010" s="182">
        <v>4.0900000000000002E-4</v>
      </c>
      <c r="R1010" s="154" t="str">
        <f t="shared" si="47"/>
        <v>A0556:越後天然ガス(株)(参考値)事業者全体</v>
      </c>
      <c r="S1010" s="182">
        <f t="shared" si="48"/>
        <v>2.2900000000000001E-4</v>
      </c>
    </row>
    <row r="1011" spans="9:19">
      <c r="I1011" s="124" t="s">
        <v>1090</v>
      </c>
      <c r="J1011" s="124" t="s">
        <v>1091</v>
      </c>
      <c r="K1011" s="182"/>
      <c r="L1011" s="182">
        <v>2.99E-4</v>
      </c>
      <c r="M1011" s="182">
        <v>0</v>
      </c>
      <c r="N1011" s="182">
        <v>0</v>
      </c>
      <c r="O1011" s="182">
        <v>0</v>
      </c>
      <c r="P1011" s="182">
        <v>0</v>
      </c>
      <c r="R1011" s="154" t="str">
        <f t="shared" si="47"/>
        <v>A0559:(株)デベロップ</v>
      </c>
      <c r="S1011" s="182">
        <f t="shared" si="48"/>
        <v>2.99E-4</v>
      </c>
    </row>
    <row r="1012" spans="9:19">
      <c r="I1012" s="124" t="s">
        <v>1092</v>
      </c>
      <c r="J1012" s="124" t="s">
        <v>1093</v>
      </c>
      <c r="K1012" s="182"/>
      <c r="L1012" s="182">
        <v>3.1100000000000002E-4</v>
      </c>
      <c r="M1012" s="182">
        <v>2.9999999999999997E-4</v>
      </c>
      <c r="N1012" s="182">
        <v>2.9999999999999997E-4</v>
      </c>
      <c r="O1012" s="182">
        <v>2.9999999999999997E-4</v>
      </c>
      <c r="P1012" s="182">
        <v>2.9999999999999997E-4</v>
      </c>
      <c r="R1012" s="154" t="str">
        <f t="shared" si="47"/>
        <v>A0560:(株)テレ・マーカー</v>
      </c>
      <c r="S1012" s="182">
        <f t="shared" si="48"/>
        <v>3.1100000000000002E-4</v>
      </c>
    </row>
    <row r="1013" spans="9:19">
      <c r="I1013" s="124" t="s">
        <v>1094</v>
      </c>
      <c r="J1013" s="124" t="s">
        <v>1095</v>
      </c>
      <c r="K1013" s="182"/>
      <c r="L1013" s="182">
        <v>4.2499999999999998E-4</v>
      </c>
      <c r="M1013" s="182">
        <v>3.86E-4</v>
      </c>
      <c r="N1013" s="182">
        <v>3.86E-4</v>
      </c>
      <c r="O1013" s="182">
        <v>3.86E-4</v>
      </c>
      <c r="P1013" s="182">
        <v>3.86E-4</v>
      </c>
      <c r="R1013" s="154" t="str">
        <f t="shared" si="47"/>
        <v>A0562:MGCエネルギー(株)</v>
      </c>
      <c r="S1013" s="182">
        <f t="shared" si="48"/>
        <v>4.2499999999999998E-4</v>
      </c>
    </row>
    <row r="1014" spans="9:19">
      <c r="I1014" s="124" t="s">
        <v>1096</v>
      </c>
      <c r="J1014" s="124" t="s">
        <v>1097</v>
      </c>
      <c r="K1014" s="182"/>
      <c r="L1014" s="182">
        <v>4.2900000000000002E-4</v>
      </c>
      <c r="M1014" s="182">
        <v>0</v>
      </c>
      <c r="N1014" s="182">
        <v>0</v>
      </c>
      <c r="O1014" s="182">
        <v>0</v>
      </c>
      <c r="P1014" s="182">
        <v>0</v>
      </c>
      <c r="R1014" s="154" t="str">
        <f t="shared" si="47"/>
        <v>A0565:福島フェニックス電力(株)</v>
      </c>
      <c r="S1014" s="182">
        <f t="shared" si="48"/>
        <v>4.2900000000000002E-4</v>
      </c>
    </row>
    <row r="1015" spans="9:19">
      <c r="I1015" s="124" t="s">
        <v>1098</v>
      </c>
      <c r="J1015" s="124" t="s">
        <v>1099</v>
      </c>
      <c r="K1015" s="182"/>
      <c r="L1015" s="182">
        <v>5.1800000000000001E-4</v>
      </c>
      <c r="M1015" s="182">
        <v>5.2899999999999996E-4</v>
      </c>
      <c r="N1015" s="182">
        <v>5.2899999999999996E-4</v>
      </c>
      <c r="O1015" s="182">
        <v>5.2899999999999996E-4</v>
      </c>
      <c r="P1015" s="182">
        <v>5.2899999999999996E-4</v>
      </c>
      <c r="R1015" s="154" t="str">
        <f t="shared" si="47"/>
        <v>A0566:あんしん電力合同会社</v>
      </c>
      <c r="S1015" s="182">
        <f t="shared" si="48"/>
        <v>5.1800000000000001E-4</v>
      </c>
    </row>
    <row r="1016" spans="9:19">
      <c r="I1016" s="124" t="s">
        <v>1100</v>
      </c>
      <c r="J1016" s="124" t="s">
        <v>1101</v>
      </c>
      <c r="K1016" s="182"/>
      <c r="L1016" s="182">
        <v>4.5899999999999999E-4</v>
      </c>
      <c r="M1016" s="182">
        <v>4.5399999999999998E-4</v>
      </c>
      <c r="N1016" s="182">
        <v>4.5399999999999998E-4</v>
      </c>
      <c r="O1016" s="182">
        <v>4.5399999999999998E-4</v>
      </c>
      <c r="P1016" s="182">
        <v>4.5399999999999998E-4</v>
      </c>
      <c r="R1016" s="154" t="str">
        <f t="shared" si="47"/>
        <v>A0567:(株)美作国電力</v>
      </c>
      <c r="S1016" s="182">
        <f t="shared" si="48"/>
        <v>4.5899999999999999E-4</v>
      </c>
    </row>
    <row r="1017" spans="9:19">
      <c r="I1017" s="124" t="s">
        <v>1102</v>
      </c>
      <c r="J1017" s="124" t="s">
        <v>1103</v>
      </c>
      <c r="K1017" s="182"/>
      <c r="L1017" s="182">
        <v>3.4099999999999999E-4</v>
      </c>
      <c r="M1017" s="182">
        <v>3.8500000000000003E-4</v>
      </c>
      <c r="N1017" s="182">
        <v>3.8500000000000003E-4</v>
      </c>
      <c r="O1017" s="182">
        <v>3.8500000000000003E-4</v>
      </c>
      <c r="P1017" s="182">
        <v>3.8500000000000003E-4</v>
      </c>
      <c r="R1017" s="154" t="str">
        <f t="shared" si="47"/>
        <v>A0570:八幡商事(株)</v>
      </c>
      <c r="S1017" s="182">
        <f t="shared" si="48"/>
        <v>3.4099999999999999E-4</v>
      </c>
    </row>
    <row r="1018" spans="9:19">
      <c r="I1018" s="124" t="s">
        <v>1104</v>
      </c>
      <c r="J1018" s="124" t="s">
        <v>1105</v>
      </c>
      <c r="K1018" s="182" t="s">
        <v>390</v>
      </c>
      <c r="L1018" s="182">
        <v>0</v>
      </c>
      <c r="M1018" s="182">
        <v>5.5699999999999999E-4</v>
      </c>
      <c r="N1018" s="182">
        <v>5.5699999999999999E-4</v>
      </c>
      <c r="O1018" s="182">
        <v>5.5699999999999999E-4</v>
      </c>
      <c r="P1018" s="182">
        <v>5.5699999999999999E-4</v>
      </c>
      <c r="R1018" s="154" t="str">
        <f t="shared" si="47"/>
        <v>A0571:おいでんエネルギー(株)メニューA</v>
      </c>
      <c r="S1018" s="182">
        <f t="shared" si="48"/>
        <v>0</v>
      </c>
    </row>
    <row r="1019" spans="9:19">
      <c r="I1019" s="124" t="s">
        <v>1104</v>
      </c>
      <c r="J1019" s="124" t="s">
        <v>1105</v>
      </c>
      <c r="K1019" s="182" t="s">
        <v>398</v>
      </c>
      <c r="L1019" s="182">
        <v>0</v>
      </c>
      <c r="M1019" s="182">
        <v>0</v>
      </c>
      <c r="N1019" s="182">
        <v>0</v>
      </c>
      <c r="O1019" s="182">
        <v>0</v>
      </c>
      <c r="P1019" s="182">
        <v>0</v>
      </c>
      <c r="R1019" s="154" t="str">
        <f t="shared" si="47"/>
        <v>A0571:おいでんエネルギー(株)メニューB</v>
      </c>
      <c r="S1019" s="182">
        <f t="shared" si="48"/>
        <v>0</v>
      </c>
    </row>
    <row r="1020" spans="9:19">
      <c r="I1020" s="124" t="s">
        <v>1104</v>
      </c>
      <c r="J1020" s="124" t="s">
        <v>1105</v>
      </c>
      <c r="K1020" s="182" t="s">
        <v>399</v>
      </c>
      <c r="L1020" s="182">
        <v>7.7000000000000001E-5</v>
      </c>
      <c r="M1020" s="182">
        <v>5.9299999999999999E-4</v>
      </c>
      <c r="N1020" s="182">
        <v>5.9299999999999999E-4</v>
      </c>
      <c r="O1020" s="182">
        <v>5.9299999999999999E-4</v>
      </c>
      <c r="P1020" s="182">
        <v>5.9299999999999999E-4</v>
      </c>
      <c r="R1020" s="154" t="str">
        <f t="shared" si="47"/>
        <v>A0571:おいでんエネルギー(株)メニューC</v>
      </c>
      <c r="S1020" s="182">
        <f t="shared" si="48"/>
        <v>7.7000000000000001E-5</v>
      </c>
    </row>
    <row r="1021" spans="9:19">
      <c r="I1021" s="124" t="s">
        <v>1104</v>
      </c>
      <c r="J1021" s="124" t="s">
        <v>1105</v>
      </c>
      <c r="K1021" s="182" t="s">
        <v>2010</v>
      </c>
      <c r="L1021" s="182">
        <v>7.6000000000000004E-5</v>
      </c>
      <c r="M1021" s="182">
        <v>1.02E-4</v>
      </c>
      <c r="N1021" s="182">
        <v>1.02E-4</v>
      </c>
      <c r="O1021" s="182">
        <v>1.02E-4</v>
      </c>
      <c r="P1021" s="182">
        <v>1.02E-4</v>
      </c>
      <c r="R1021" s="154" t="str">
        <f t="shared" si="47"/>
        <v>A0571:おいでんエネルギー(株)(参考値)事業者全体</v>
      </c>
      <c r="S1021" s="182">
        <f t="shared" si="48"/>
        <v>7.6000000000000004E-5</v>
      </c>
    </row>
    <row r="1022" spans="9:19">
      <c r="I1022" s="124" t="s">
        <v>1106</v>
      </c>
      <c r="J1022" s="124" t="s">
        <v>1107</v>
      </c>
      <c r="K1022" s="182"/>
      <c r="L1022" s="182">
        <v>6.1700000000000004E-4</v>
      </c>
      <c r="M1022" s="182">
        <v>2.6600000000000001E-4</v>
      </c>
      <c r="N1022" s="182">
        <v>2.6600000000000001E-4</v>
      </c>
      <c r="O1022" s="182">
        <v>2.6600000000000001E-4</v>
      </c>
      <c r="P1022" s="182">
        <v>2.6600000000000001E-4</v>
      </c>
      <c r="R1022" s="154" t="str">
        <f t="shared" si="47"/>
        <v>A0572:(株)イシオ</v>
      </c>
      <c r="S1022" s="182">
        <f t="shared" si="48"/>
        <v>6.1700000000000004E-4</v>
      </c>
    </row>
    <row r="1023" spans="9:19">
      <c r="I1023" s="124" t="s">
        <v>1108</v>
      </c>
      <c r="J1023" s="124" t="s">
        <v>1701</v>
      </c>
      <c r="K1023" s="182" t="s">
        <v>390</v>
      </c>
      <c r="L1023" s="182">
        <v>0</v>
      </c>
      <c r="M1023" s="182">
        <v>4.06E-4</v>
      </c>
      <c r="N1023" s="182">
        <v>4.06E-4</v>
      </c>
      <c r="O1023" s="182">
        <v>4.06E-4</v>
      </c>
      <c r="P1023" s="182">
        <v>4.06E-4</v>
      </c>
      <c r="R1023" s="154" t="str">
        <f t="shared" si="47"/>
        <v>A0573:北陸電力ビズ・エナジーソリューション(株)メニューA</v>
      </c>
      <c r="S1023" s="182">
        <f t="shared" si="48"/>
        <v>0</v>
      </c>
    </row>
    <row r="1024" spans="9:19">
      <c r="I1024" s="124" t="s">
        <v>1108</v>
      </c>
      <c r="J1024" s="124" t="s">
        <v>1701</v>
      </c>
      <c r="K1024" s="182" t="s">
        <v>2010</v>
      </c>
      <c r="L1024" s="182">
        <v>2.5000000000000001E-4</v>
      </c>
      <c r="M1024" s="182">
        <v>0</v>
      </c>
      <c r="N1024" s="182">
        <v>0</v>
      </c>
      <c r="O1024" s="182">
        <v>0</v>
      </c>
      <c r="P1024" s="182">
        <v>0</v>
      </c>
      <c r="R1024" s="154" t="str">
        <f t="shared" si="47"/>
        <v>A0573:北陸電力ビズ・エナジーソリューション(株)(参考値)事業者全体</v>
      </c>
      <c r="S1024" s="182">
        <f t="shared" si="48"/>
        <v>2.5000000000000001E-4</v>
      </c>
    </row>
    <row r="1025" spans="9:19">
      <c r="I1025" s="124" t="s">
        <v>1109</v>
      </c>
      <c r="J1025" s="124" t="s">
        <v>1702</v>
      </c>
      <c r="K1025" s="182"/>
      <c r="L1025" s="182">
        <v>6.1700000000000004E-4</v>
      </c>
      <c r="M1025" s="182">
        <v>5.7000000000000003E-5</v>
      </c>
      <c r="N1025" s="182">
        <v>5.7000000000000003E-5</v>
      </c>
      <c r="O1025" s="182">
        <v>5.7000000000000003E-5</v>
      </c>
      <c r="P1025" s="182">
        <v>5.7000000000000003E-5</v>
      </c>
      <c r="R1025" s="154" t="str">
        <f t="shared" si="47"/>
        <v>A0574:リニューアブルトレード(株)</v>
      </c>
      <c r="S1025" s="182">
        <f t="shared" si="48"/>
        <v>6.1700000000000004E-4</v>
      </c>
    </row>
    <row r="1026" spans="9:19">
      <c r="I1026" s="124" t="s">
        <v>1110</v>
      </c>
      <c r="J1026" s="124" t="s">
        <v>1703</v>
      </c>
      <c r="K1026" s="182" t="s">
        <v>390</v>
      </c>
      <c r="L1026" s="182">
        <v>0</v>
      </c>
      <c r="M1026" s="182">
        <v>4.9700000000000005E-4</v>
      </c>
      <c r="N1026" s="182">
        <v>4.9700000000000005E-4</v>
      </c>
      <c r="O1026" s="182">
        <v>4.9700000000000005E-4</v>
      </c>
      <c r="P1026" s="182">
        <v>4.9700000000000005E-4</v>
      </c>
      <c r="R1026" s="154" t="str">
        <f t="shared" si="47"/>
        <v>A0577:ICT伊那みらいでんき(株)(旧:丸紅伊那みらいでんき(株))メニューA</v>
      </c>
      <c r="S1026" s="182">
        <f t="shared" si="48"/>
        <v>0</v>
      </c>
    </row>
    <row r="1027" spans="9:19">
      <c r="I1027" s="124" t="s">
        <v>1110</v>
      </c>
      <c r="J1027" s="124" t="s">
        <v>1703</v>
      </c>
      <c r="K1027" s="182" t="s">
        <v>398</v>
      </c>
      <c r="L1027" s="182">
        <v>3.21E-4</v>
      </c>
      <c r="M1027" s="182">
        <v>6.0099999999999997E-4</v>
      </c>
      <c r="N1027" s="182">
        <v>6.0099999999999997E-4</v>
      </c>
      <c r="O1027" s="182">
        <v>6.0099999999999997E-4</v>
      </c>
      <c r="P1027" s="182">
        <v>6.0099999999999997E-4</v>
      </c>
      <c r="R1027" s="154" t="str">
        <f t="shared" si="47"/>
        <v>A0577:ICT伊那みらいでんき(株)(旧:丸紅伊那みらいでんき(株))メニューB</v>
      </c>
      <c r="S1027" s="182">
        <f t="shared" si="48"/>
        <v>3.21E-4</v>
      </c>
    </row>
    <row r="1028" spans="9:19">
      <c r="I1028" s="124" t="s">
        <v>1110</v>
      </c>
      <c r="J1028" s="124" t="s">
        <v>1703</v>
      </c>
      <c r="K1028" s="182" t="s">
        <v>2010</v>
      </c>
      <c r="L1028" s="182">
        <v>2.9999999999999997E-4</v>
      </c>
      <c r="M1028" s="182">
        <v>0</v>
      </c>
      <c r="N1028" s="182">
        <v>0</v>
      </c>
      <c r="O1028" s="182">
        <v>0</v>
      </c>
      <c r="P1028" s="182">
        <v>0</v>
      </c>
      <c r="R1028" s="154" t="str">
        <f t="shared" si="47"/>
        <v>A0577:ICT伊那みらいでんき(株)(旧:丸紅伊那みらいでんき(株))(参考値)事業者全体</v>
      </c>
      <c r="S1028" s="182">
        <f t="shared" si="48"/>
        <v>2.9999999999999997E-4</v>
      </c>
    </row>
    <row r="1029" spans="9:19">
      <c r="I1029" s="124" t="s">
        <v>1111</v>
      </c>
      <c r="J1029" s="124" t="s">
        <v>1112</v>
      </c>
      <c r="K1029" s="182"/>
      <c r="L1029" s="182">
        <v>5.3899999999999998E-4</v>
      </c>
      <c r="M1029" s="182">
        <v>3.86E-4</v>
      </c>
      <c r="N1029" s="182">
        <v>3.86E-4</v>
      </c>
      <c r="O1029" s="182">
        <v>3.86E-4</v>
      </c>
      <c r="P1029" s="182">
        <v>3.86E-4</v>
      </c>
      <c r="R1029" s="154" t="str">
        <f t="shared" si="47"/>
        <v>A0578:富士山エナジー(株)</v>
      </c>
      <c r="S1029" s="182">
        <f t="shared" si="48"/>
        <v>5.3899999999999998E-4</v>
      </c>
    </row>
    <row r="1030" spans="9:19">
      <c r="I1030" s="124" t="s">
        <v>1113</v>
      </c>
      <c r="J1030" s="124" t="s">
        <v>1114</v>
      </c>
      <c r="K1030" s="182" t="s">
        <v>390</v>
      </c>
      <c r="L1030" s="182">
        <v>2.7E-4</v>
      </c>
      <c r="M1030" s="182">
        <v>4.46E-4</v>
      </c>
      <c r="N1030" s="182">
        <v>4.46E-4</v>
      </c>
      <c r="O1030" s="182">
        <v>4.46E-4</v>
      </c>
      <c r="P1030" s="182">
        <v>4.46E-4</v>
      </c>
      <c r="R1030" s="154" t="str">
        <f t="shared" si="47"/>
        <v>A0581:WSエナジー(株)メニューA</v>
      </c>
      <c r="S1030" s="182">
        <f t="shared" si="48"/>
        <v>2.7E-4</v>
      </c>
    </row>
    <row r="1031" spans="9:19">
      <c r="I1031" s="124" t="s">
        <v>1113</v>
      </c>
      <c r="J1031" s="124" t="s">
        <v>1114</v>
      </c>
      <c r="K1031" s="182" t="s">
        <v>398</v>
      </c>
      <c r="L1031" s="182">
        <v>0</v>
      </c>
      <c r="M1031" s="182">
        <v>4.8200000000000001E-4</v>
      </c>
      <c r="N1031" s="182">
        <v>4.8200000000000001E-4</v>
      </c>
      <c r="O1031" s="182">
        <v>4.8200000000000001E-4</v>
      </c>
      <c r="P1031" s="182">
        <v>4.8200000000000001E-4</v>
      </c>
      <c r="R1031" s="154" t="str">
        <f t="shared" si="47"/>
        <v>A0581:WSエナジー(株)メニューB</v>
      </c>
      <c r="S1031" s="182">
        <f t="shared" si="48"/>
        <v>0</v>
      </c>
    </row>
    <row r="1032" spans="9:19">
      <c r="I1032" s="124" t="s">
        <v>1113</v>
      </c>
      <c r="J1032" s="124" t="s">
        <v>1114</v>
      </c>
      <c r="K1032" s="182" t="s">
        <v>399</v>
      </c>
      <c r="L1032" s="182">
        <v>3.3599999999999998E-4</v>
      </c>
      <c r="M1032" s="182">
        <v>0</v>
      </c>
      <c r="N1032" s="182">
        <v>0</v>
      </c>
      <c r="O1032" s="182">
        <v>0</v>
      </c>
      <c r="P1032" s="182">
        <v>0</v>
      </c>
      <c r="R1032" s="154" t="str">
        <f t="shared" si="47"/>
        <v>A0581:WSエナジー(株)メニューC</v>
      </c>
      <c r="S1032" s="182">
        <f t="shared" si="48"/>
        <v>3.3599999999999998E-4</v>
      </c>
    </row>
    <row r="1033" spans="9:19">
      <c r="I1033" s="124" t="s">
        <v>1113</v>
      </c>
      <c r="J1033" s="124" t="s">
        <v>1114</v>
      </c>
      <c r="K1033" s="182" t="s">
        <v>2010</v>
      </c>
      <c r="L1033" s="182">
        <v>3.0899999999999998E-4</v>
      </c>
      <c r="M1033" s="182">
        <v>0</v>
      </c>
      <c r="N1033" s="182">
        <v>0</v>
      </c>
      <c r="O1033" s="182">
        <v>0</v>
      </c>
      <c r="P1033" s="182">
        <v>0</v>
      </c>
      <c r="R1033" s="154" t="str">
        <f t="shared" si="47"/>
        <v>A0581:WSエナジー(株)(参考値)事業者全体</v>
      </c>
      <c r="S1033" s="182">
        <f t="shared" si="48"/>
        <v>3.0899999999999998E-4</v>
      </c>
    </row>
    <row r="1034" spans="9:19">
      <c r="I1034" s="124" t="s">
        <v>1115</v>
      </c>
      <c r="J1034" s="124" t="s">
        <v>1116</v>
      </c>
      <c r="K1034" s="182" t="s">
        <v>390</v>
      </c>
      <c r="L1034" s="182">
        <v>0</v>
      </c>
      <c r="M1034" s="182">
        <v>0</v>
      </c>
      <c r="N1034" s="182">
        <v>0</v>
      </c>
      <c r="O1034" s="182">
        <v>0</v>
      </c>
      <c r="P1034" s="182">
        <v>0</v>
      </c>
      <c r="R1034" s="154" t="str">
        <f t="shared" ref="R1034:R1092" si="49">I1034&amp;":"&amp;J1034&amp;K1034</f>
        <v>A0582:TERA Energy(株)メニューA</v>
      </c>
      <c r="S1034" s="182">
        <f t="shared" ref="S1034:S1097" si="50">HLOOKUP($S$8,$L$8:$P$1500,ROW()-7,FALSE)</f>
        <v>0</v>
      </c>
    </row>
    <row r="1035" spans="9:19">
      <c r="I1035" s="124" t="s">
        <v>1115</v>
      </c>
      <c r="J1035" s="124" t="s">
        <v>1116</v>
      </c>
      <c r="K1035" s="182" t="s">
        <v>398</v>
      </c>
      <c r="L1035" s="182">
        <v>4.0099999999999999E-4</v>
      </c>
      <c r="M1035" s="182">
        <v>5.5400000000000002E-4</v>
      </c>
      <c r="N1035" s="182">
        <v>5.5400000000000002E-4</v>
      </c>
      <c r="O1035" s="182">
        <v>5.5400000000000002E-4</v>
      </c>
      <c r="P1035" s="182">
        <v>5.5400000000000002E-4</v>
      </c>
      <c r="R1035" s="154" t="str">
        <f t="shared" si="49"/>
        <v>A0582:TERA Energy(株)メニューB</v>
      </c>
      <c r="S1035" s="182">
        <f t="shared" si="50"/>
        <v>4.0099999999999999E-4</v>
      </c>
    </row>
    <row r="1036" spans="9:19">
      <c r="I1036" s="124" t="s">
        <v>1115</v>
      </c>
      <c r="J1036" s="124" t="s">
        <v>1116</v>
      </c>
      <c r="K1036" s="182" t="s">
        <v>399</v>
      </c>
      <c r="L1036" s="182">
        <v>0</v>
      </c>
      <c r="M1036" s="182">
        <v>0</v>
      </c>
      <c r="N1036" s="182">
        <v>0</v>
      </c>
      <c r="O1036" s="182">
        <v>0</v>
      </c>
      <c r="P1036" s="182">
        <v>0</v>
      </c>
      <c r="R1036" s="154" t="str">
        <f t="shared" si="49"/>
        <v>A0582:TERA Energy(株)メニューC</v>
      </c>
      <c r="S1036" s="182">
        <f t="shared" si="50"/>
        <v>0</v>
      </c>
    </row>
    <row r="1037" spans="9:19">
      <c r="I1037" s="124" t="s">
        <v>1115</v>
      </c>
      <c r="J1037" s="124" t="s">
        <v>1116</v>
      </c>
      <c r="K1037" s="182" t="s">
        <v>2010</v>
      </c>
      <c r="L1037" s="182">
        <v>3.6699999999999998E-4</v>
      </c>
      <c r="M1037" s="182">
        <v>4.6299999999999998E-4</v>
      </c>
      <c r="N1037" s="182">
        <v>4.6299999999999998E-4</v>
      </c>
      <c r="O1037" s="182">
        <v>4.6299999999999998E-4</v>
      </c>
      <c r="P1037" s="182">
        <v>4.6299999999999998E-4</v>
      </c>
      <c r="R1037" s="154" t="str">
        <f t="shared" si="49"/>
        <v>A0582:TERA Energy(株)(参考値)事業者全体</v>
      </c>
      <c r="S1037" s="182">
        <f t="shared" si="50"/>
        <v>3.6699999999999998E-4</v>
      </c>
    </row>
    <row r="1038" spans="9:19">
      <c r="I1038" s="124" t="s">
        <v>1117</v>
      </c>
      <c r="J1038" s="124" t="s">
        <v>1118</v>
      </c>
      <c r="K1038" s="182" t="s">
        <v>390</v>
      </c>
      <c r="L1038" s="182">
        <v>0</v>
      </c>
      <c r="M1038" s="182">
        <v>4.6000000000000001E-4</v>
      </c>
      <c r="N1038" s="182">
        <v>4.6000000000000001E-4</v>
      </c>
      <c r="O1038" s="182">
        <v>4.6000000000000001E-4</v>
      </c>
      <c r="P1038" s="182">
        <v>4.6000000000000001E-4</v>
      </c>
      <c r="R1038" s="154" t="str">
        <f t="shared" si="49"/>
        <v>A0584:MCPD(株)メニューA</v>
      </c>
      <c r="S1038" s="182">
        <f t="shared" si="50"/>
        <v>0</v>
      </c>
    </row>
    <row r="1039" spans="9:19">
      <c r="I1039" s="124" t="s">
        <v>1117</v>
      </c>
      <c r="J1039" s="124" t="s">
        <v>1118</v>
      </c>
      <c r="K1039" s="182" t="s">
        <v>398</v>
      </c>
      <c r="L1039" s="182">
        <v>0</v>
      </c>
      <c r="M1039" s="182">
        <v>0</v>
      </c>
      <c r="N1039" s="182">
        <v>0</v>
      </c>
      <c r="O1039" s="182">
        <v>0</v>
      </c>
      <c r="P1039" s="182">
        <v>0</v>
      </c>
      <c r="R1039" s="154" t="str">
        <f t="shared" si="49"/>
        <v>A0584:MCPD(株)メニューB</v>
      </c>
      <c r="S1039" s="182">
        <f t="shared" si="50"/>
        <v>0</v>
      </c>
    </row>
    <row r="1040" spans="9:19">
      <c r="I1040" s="124" t="s">
        <v>1117</v>
      </c>
      <c r="J1040" s="124" t="s">
        <v>1118</v>
      </c>
      <c r="K1040" s="182" t="s">
        <v>2010</v>
      </c>
      <c r="L1040" s="182">
        <v>0</v>
      </c>
      <c r="M1040" s="182">
        <v>0</v>
      </c>
      <c r="N1040" s="182">
        <v>0</v>
      </c>
      <c r="O1040" s="182">
        <v>0</v>
      </c>
      <c r="P1040" s="182">
        <v>0</v>
      </c>
      <c r="R1040" s="154" t="str">
        <f t="shared" si="49"/>
        <v>A0584:MCPD(株)(参考値)事業者全体</v>
      </c>
      <c r="S1040" s="182">
        <f t="shared" si="50"/>
        <v>0</v>
      </c>
    </row>
    <row r="1041" spans="9:19">
      <c r="I1041" s="124" t="s">
        <v>1119</v>
      </c>
      <c r="J1041" s="124" t="s">
        <v>1120</v>
      </c>
      <c r="K1041" s="182"/>
      <c r="L1041" s="182">
        <v>5.8699999999999996E-4</v>
      </c>
      <c r="M1041" s="182">
        <v>1.6700000000000002E-4</v>
      </c>
      <c r="N1041" s="182">
        <v>1.6700000000000002E-4</v>
      </c>
      <c r="O1041" s="182">
        <v>1.6700000000000002E-4</v>
      </c>
      <c r="P1041" s="182">
        <v>1.6700000000000002E-4</v>
      </c>
      <c r="R1041" s="154" t="str">
        <f t="shared" si="49"/>
        <v>A0586:グリーンシティこばやし(株)</v>
      </c>
      <c r="S1041" s="182">
        <f t="shared" si="50"/>
        <v>5.8699999999999996E-4</v>
      </c>
    </row>
    <row r="1042" spans="9:19">
      <c r="I1042" s="124" t="s">
        <v>1121</v>
      </c>
      <c r="J1042" s="124" t="s">
        <v>1122</v>
      </c>
      <c r="K1042" s="182"/>
      <c r="L1042" s="182">
        <v>3.4099999999999999E-4</v>
      </c>
      <c r="M1042" s="182">
        <v>2.13E-4</v>
      </c>
      <c r="N1042" s="182">
        <v>2.13E-4</v>
      </c>
      <c r="O1042" s="182">
        <v>2.13E-4</v>
      </c>
      <c r="P1042" s="182">
        <v>2.13E-4</v>
      </c>
      <c r="R1042" s="154" t="str">
        <f t="shared" si="49"/>
        <v>A0587:(株)吉田石油店</v>
      </c>
      <c r="S1042" s="182">
        <f t="shared" si="50"/>
        <v>3.4099999999999999E-4</v>
      </c>
    </row>
    <row r="1043" spans="9:19">
      <c r="I1043" s="124" t="s">
        <v>1123</v>
      </c>
      <c r="J1043" s="124" t="s">
        <v>1124</v>
      </c>
      <c r="K1043" s="182"/>
      <c r="L1043" s="182">
        <v>0</v>
      </c>
      <c r="M1043" s="182">
        <v>3.0499999999999999E-4</v>
      </c>
      <c r="N1043" s="182">
        <v>3.0499999999999999E-4</v>
      </c>
      <c r="O1043" s="182">
        <v>3.0499999999999999E-4</v>
      </c>
      <c r="P1043" s="182">
        <v>3.0499999999999999E-4</v>
      </c>
      <c r="R1043" s="154" t="str">
        <f t="shared" si="49"/>
        <v>A0589:スマートエナジー熊本(株)</v>
      </c>
      <c r="S1043" s="182">
        <f t="shared" si="50"/>
        <v>0</v>
      </c>
    </row>
    <row r="1044" spans="9:19">
      <c r="I1044" s="124" t="s">
        <v>1125</v>
      </c>
      <c r="J1044" s="124" t="s">
        <v>1126</v>
      </c>
      <c r="K1044" s="182" t="s">
        <v>390</v>
      </c>
      <c r="L1044" s="182">
        <v>0</v>
      </c>
      <c r="M1044" s="182">
        <v>3.9700000000000005E-4</v>
      </c>
      <c r="N1044" s="182">
        <v>3.9700000000000005E-4</v>
      </c>
      <c r="O1044" s="182">
        <v>3.9700000000000005E-4</v>
      </c>
      <c r="P1044" s="182">
        <v>3.9700000000000005E-4</v>
      </c>
      <c r="R1044" s="154" t="str">
        <f t="shared" si="49"/>
        <v>A0590:福山未来エナジー(株)メニューA</v>
      </c>
      <c r="S1044" s="182">
        <f t="shared" si="50"/>
        <v>0</v>
      </c>
    </row>
    <row r="1045" spans="9:19">
      <c r="I1045" s="124" t="s">
        <v>1125</v>
      </c>
      <c r="J1045" s="124" t="s">
        <v>1126</v>
      </c>
      <c r="K1045" s="182" t="s">
        <v>2010</v>
      </c>
      <c r="L1045" s="182">
        <v>1.4799999999999999E-4</v>
      </c>
      <c r="M1045" s="182">
        <v>5.9199999999999997E-4</v>
      </c>
      <c r="N1045" s="182">
        <v>5.9199999999999997E-4</v>
      </c>
      <c r="O1045" s="182">
        <v>5.9199999999999997E-4</v>
      </c>
      <c r="P1045" s="182">
        <v>5.9199999999999997E-4</v>
      </c>
      <c r="R1045" s="154" t="str">
        <f t="shared" si="49"/>
        <v>A0590:福山未来エナジー(株)(参考値)事業者全体</v>
      </c>
      <c r="S1045" s="182">
        <f t="shared" si="50"/>
        <v>1.4799999999999999E-4</v>
      </c>
    </row>
    <row r="1046" spans="9:19">
      <c r="I1046" s="124" t="s">
        <v>1127</v>
      </c>
      <c r="J1046" s="124" t="s">
        <v>1128</v>
      </c>
      <c r="K1046" s="182" t="s">
        <v>390</v>
      </c>
      <c r="L1046" s="182">
        <v>0</v>
      </c>
      <c r="M1046" s="182">
        <v>3.0800000000000001E-4</v>
      </c>
      <c r="N1046" s="182">
        <v>3.0800000000000001E-4</v>
      </c>
      <c r="O1046" s="182">
        <v>3.0800000000000001E-4</v>
      </c>
      <c r="P1046" s="182">
        <v>3.0800000000000001E-4</v>
      </c>
      <c r="R1046" s="154" t="str">
        <f t="shared" si="49"/>
        <v>A0596:五島市民電力(株)メニューA</v>
      </c>
      <c r="S1046" s="182">
        <f t="shared" si="50"/>
        <v>0</v>
      </c>
    </row>
    <row r="1047" spans="9:19">
      <c r="I1047" s="124" t="s">
        <v>1127</v>
      </c>
      <c r="J1047" s="124" t="s">
        <v>1128</v>
      </c>
      <c r="K1047" s="182" t="s">
        <v>398</v>
      </c>
      <c r="L1047" s="182">
        <v>0</v>
      </c>
      <c r="M1047" s="182">
        <v>5.3900000000000009E-4</v>
      </c>
      <c r="N1047" s="182">
        <v>5.3900000000000009E-4</v>
      </c>
      <c r="O1047" s="182">
        <v>5.3900000000000009E-4</v>
      </c>
      <c r="P1047" s="182">
        <v>5.3900000000000009E-4</v>
      </c>
      <c r="R1047" s="154" t="str">
        <f t="shared" si="49"/>
        <v>A0596:五島市民電力(株)メニューB</v>
      </c>
      <c r="S1047" s="182">
        <f t="shared" si="50"/>
        <v>0</v>
      </c>
    </row>
    <row r="1048" spans="9:19">
      <c r="I1048" s="124" t="s">
        <v>1127</v>
      </c>
      <c r="J1048" s="124" t="s">
        <v>1128</v>
      </c>
      <c r="K1048" s="182" t="s">
        <v>399</v>
      </c>
      <c r="L1048" s="182">
        <v>6.4000000000000005E-4</v>
      </c>
      <c r="M1048" s="182">
        <v>0</v>
      </c>
      <c r="N1048" s="182">
        <v>0</v>
      </c>
      <c r="O1048" s="182">
        <v>0</v>
      </c>
      <c r="P1048" s="182">
        <v>0</v>
      </c>
      <c r="R1048" s="154" t="str">
        <f t="shared" si="49"/>
        <v>A0596:五島市民電力(株)メニューC</v>
      </c>
      <c r="S1048" s="182">
        <f t="shared" si="50"/>
        <v>6.4000000000000005E-4</v>
      </c>
    </row>
    <row r="1049" spans="9:19">
      <c r="I1049" s="124" t="s">
        <v>1127</v>
      </c>
      <c r="J1049" s="124" t="s">
        <v>1128</v>
      </c>
      <c r="K1049" s="182" t="s">
        <v>2010</v>
      </c>
      <c r="L1049" s="182">
        <v>3.2400000000000001E-4</v>
      </c>
      <c r="M1049" s="182">
        <v>5.5000000000000003E-4</v>
      </c>
      <c r="N1049" s="182">
        <v>5.5000000000000003E-4</v>
      </c>
      <c r="O1049" s="182">
        <v>5.5000000000000003E-4</v>
      </c>
      <c r="P1049" s="182">
        <v>5.5000000000000003E-4</v>
      </c>
      <c r="R1049" s="154" t="str">
        <f t="shared" si="49"/>
        <v>A0596:五島市民電力(株)(参考値)事業者全体</v>
      </c>
      <c r="S1049" s="182">
        <f t="shared" si="50"/>
        <v>3.2400000000000001E-4</v>
      </c>
    </row>
    <row r="1050" spans="9:19">
      <c r="I1050" s="124" t="s">
        <v>1129</v>
      </c>
      <c r="J1050" s="124" t="s">
        <v>1130</v>
      </c>
      <c r="K1050" s="182"/>
      <c r="L1050" s="182">
        <v>5.9100000000000005E-4</v>
      </c>
      <c r="M1050" s="182">
        <v>4.0499999999999998E-4</v>
      </c>
      <c r="N1050" s="182">
        <v>4.0499999999999998E-4</v>
      </c>
      <c r="O1050" s="182">
        <v>4.0499999999999998E-4</v>
      </c>
      <c r="P1050" s="182">
        <v>4.0499999999999998E-4</v>
      </c>
      <c r="R1050" s="154" t="str">
        <f t="shared" si="49"/>
        <v>A0598:リストプロパティーズ(株)</v>
      </c>
      <c r="S1050" s="182">
        <f t="shared" si="50"/>
        <v>5.9100000000000005E-4</v>
      </c>
    </row>
    <row r="1051" spans="9:19">
      <c r="I1051" s="124" t="s">
        <v>1131</v>
      </c>
      <c r="J1051" s="124" t="s">
        <v>1132</v>
      </c>
      <c r="K1051" s="182"/>
      <c r="L1051" s="182">
        <v>4.6999999999999999E-4</v>
      </c>
      <c r="M1051" s="182">
        <v>7.3899999999999997E-4</v>
      </c>
      <c r="N1051" s="182">
        <v>7.3899999999999997E-4</v>
      </c>
      <c r="O1051" s="182">
        <v>7.3899999999999997E-4</v>
      </c>
      <c r="P1051" s="182">
        <v>7.3899999999999997E-4</v>
      </c>
      <c r="R1051" s="154" t="str">
        <f t="shared" si="49"/>
        <v>A0602:(株)情熱電力</v>
      </c>
      <c r="S1051" s="182">
        <f t="shared" si="50"/>
        <v>4.6999999999999999E-4</v>
      </c>
    </row>
    <row r="1052" spans="9:19">
      <c r="I1052" s="124" t="s">
        <v>1133</v>
      </c>
      <c r="J1052" s="124" t="s">
        <v>1134</v>
      </c>
      <c r="K1052" s="182" t="s">
        <v>390</v>
      </c>
      <c r="L1052" s="182">
        <v>0</v>
      </c>
      <c r="M1052" s="182">
        <v>1.1400000000000001E-4</v>
      </c>
      <c r="N1052" s="182">
        <v>1.1400000000000001E-4</v>
      </c>
      <c r="O1052" s="182">
        <v>1.1400000000000001E-4</v>
      </c>
      <c r="P1052" s="182">
        <v>1.1400000000000001E-4</v>
      </c>
      <c r="R1052" s="154" t="str">
        <f t="shared" si="49"/>
        <v>A0603:バンプーパワートレーディング合同会社メニューA</v>
      </c>
      <c r="S1052" s="182">
        <f t="shared" si="50"/>
        <v>0</v>
      </c>
    </row>
    <row r="1053" spans="9:19">
      <c r="I1053" s="124" t="s">
        <v>1133</v>
      </c>
      <c r="J1053" s="124" t="s">
        <v>1134</v>
      </c>
      <c r="K1053" s="182" t="s">
        <v>398</v>
      </c>
      <c r="L1053" s="182">
        <v>6.1300000000000005E-4</v>
      </c>
      <c r="M1053" s="182">
        <v>8.8999999999999995E-5</v>
      </c>
      <c r="N1053" s="182">
        <v>8.8999999999999995E-5</v>
      </c>
      <c r="O1053" s="182">
        <v>8.8999999999999995E-5</v>
      </c>
      <c r="P1053" s="182">
        <v>8.8999999999999995E-5</v>
      </c>
      <c r="R1053" s="154" t="str">
        <f t="shared" si="49"/>
        <v>A0603:バンプーパワートレーディング合同会社メニューB</v>
      </c>
      <c r="S1053" s="182">
        <f t="shared" si="50"/>
        <v>6.1300000000000005E-4</v>
      </c>
    </row>
    <row r="1054" spans="9:19">
      <c r="I1054" s="124" t="s">
        <v>1133</v>
      </c>
      <c r="J1054" s="124" t="s">
        <v>1134</v>
      </c>
      <c r="K1054" s="182" t="s">
        <v>2010</v>
      </c>
      <c r="L1054" s="182">
        <v>4.1599999999999997E-4</v>
      </c>
      <c r="M1054" s="182">
        <v>5.8699999999999996E-4</v>
      </c>
      <c r="N1054" s="182">
        <v>5.8699999999999996E-4</v>
      </c>
      <c r="O1054" s="182">
        <v>5.8699999999999996E-4</v>
      </c>
      <c r="P1054" s="182">
        <v>5.8699999999999996E-4</v>
      </c>
      <c r="R1054" s="154" t="str">
        <f t="shared" si="49"/>
        <v>A0603:バンプーパワートレーディング合同会社(参考値)事業者全体</v>
      </c>
      <c r="S1054" s="182">
        <f t="shared" si="50"/>
        <v>4.1599999999999997E-4</v>
      </c>
    </row>
    <row r="1055" spans="9:19">
      <c r="I1055" s="124" t="s">
        <v>1135</v>
      </c>
      <c r="J1055" s="124" t="s">
        <v>1136</v>
      </c>
      <c r="K1055" s="182"/>
      <c r="L1055" s="182">
        <v>6.0499999999999996E-4</v>
      </c>
      <c r="M1055" s="182">
        <v>9.0900000000000009E-4</v>
      </c>
      <c r="N1055" s="182">
        <v>9.0900000000000009E-4</v>
      </c>
      <c r="O1055" s="182">
        <v>9.0900000000000009E-4</v>
      </c>
      <c r="P1055" s="182">
        <v>9.0900000000000009E-4</v>
      </c>
      <c r="R1055" s="154" t="str">
        <f t="shared" si="49"/>
        <v>A0605:(株)センカク</v>
      </c>
      <c r="S1055" s="182">
        <f t="shared" si="50"/>
        <v>6.0499999999999996E-4</v>
      </c>
    </row>
    <row r="1056" spans="9:19">
      <c r="I1056" s="124" t="s">
        <v>1137</v>
      </c>
      <c r="J1056" s="124" t="s">
        <v>1138</v>
      </c>
      <c r="K1056" s="182"/>
      <c r="L1056" s="182">
        <v>4.86E-4</v>
      </c>
      <c r="M1056" s="182">
        <v>5.1199999999999998E-4</v>
      </c>
      <c r="N1056" s="182">
        <v>5.1199999999999998E-4</v>
      </c>
      <c r="O1056" s="182">
        <v>5.1199999999999998E-4</v>
      </c>
      <c r="P1056" s="182">
        <v>5.1199999999999998E-4</v>
      </c>
      <c r="R1056" s="154" t="str">
        <f t="shared" si="49"/>
        <v>A0609:(株)ミナサポ</v>
      </c>
      <c r="S1056" s="182">
        <f t="shared" si="50"/>
        <v>4.86E-4</v>
      </c>
    </row>
    <row r="1057" spans="9:19">
      <c r="I1057" s="124" t="s">
        <v>1139</v>
      </c>
      <c r="J1057" s="124" t="s">
        <v>1140</v>
      </c>
      <c r="K1057" s="182"/>
      <c r="L1057" s="182">
        <v>4.7800000000000002E-4</v>
      </c>
      <c r="M1057" s="182">
        <v>0</v>
      </c>
      <c r="N1057" s="182">
        <v>0</v>
      </c>
      <c r="O1057" s="182">
        <v>0</v>
      </c>
      <c r="P1057" s="182">
        <v>0</v>
      </c>
      <c r="R1057" s="154" t="str">
        <f t="shared" si="49"/>
        <v>A0610:唐津電力(株)</v>
      </c>
      <c r="S1057" s="182">
        <f t="shared" si="50"/>
        <v>4.7800000000000002E-4</v>
      </c>
    </row>
    <row r="1058" spans="9:19">
      <c r="I1058" s="124" t="s">
        <v>1141</v>
      </c>
      <c r="J1058" s="124" t="s">
        <v>1142</v>
      </c>
      <c r="K1058" s="182" t="s">
        <v>390</v>
      </c>
      <c r="L1058" s="182">
        <v>0</v>
      </c>
      <c r="M1058" s="182">
        <v>2.9399999999999999E-4</v>
      </c>
      <c r="N1058" s="182">
        <v>2.9399999999999999E-4</v>
      </c>
      <c r="O1058" s="182">
        <v>2.9399999999999999E-4</v>
      </c>
      <c r="P1058" s="182">
        <v>2.9399999999999999E-4</v>
      </c>
      <c r="R1058" s="154" t="str">
        <f t="shared" si="49"/>
        <v>A0611:RE１００電力(株)メニューA</v>
      </c>
      <c r="S1058" s="182">
        <f t="shared" si="50"/>
        <v>0</v>
      </c>
    </row>
    <row r="1059" spans="9:19">
      <c r="I1059" s="124" t="s">
        <v>1141</v>
      </c>
      <c r="J1059" s="124" t="s">
        <v>1142</v>
      </c>
      <c r="K1059" s="182" t="s">
        <v>398</v>
      </c>
      <c r="L1059" s="182">
        <v>1.64E-4</v>
      </c>
      <c r="M1059" s="182">
        <v>3.7300000000000001E-4</v>
      </c>
      <c r="N1059" s="182">
        <v>3.7300000000000001E-4</v>
      </c>
      <c r="O1059" s="182">
        <v>3.7300000000000001E-4</v>
      </c>
      <c r="P1059" s="182">
        <v>3.7300000000000001E-4</v>
      </c>
      <c r="R1059" s="154" t="str">
        <f t="shared" si="49"/>
        <v>A0611:RE１００電力(株)メニューB</v>
      </c>
      <c r="S1059" s="182">
        <f t="shared" si="50"/>
        <v>1.64E-4</v>
      </c>
    </row>
    <row r="1060" spans="9:19">
      <c r="I1060" s="124" t="s">
        <v>1141</v>
      </c>
      <c r="J1060" s="124" t="s">
        <v>1142</v>
      </c>
      <c r="K1060" s="182" t="s">
        <v>399</v>
      </c>
      <c r="L1060" s="182">
        <v>2.7400000000000005E-4</v>
      </c>
      <c r="M1060" s="182">
        <v>0</v>
      </c>
      <c r="N1060" s="182">
        <v>0</v>
      </c>
      <c r="O1060" s="182">
        <v>0</v>
      </c>
      <c r="P1060" s="182">
        <v>0</v>
      </c>
      <c r="R1060" s="154" t="str">
        <f t="shared" si="49"/>
        <v>A0611:RE１００電力(株)メニューC</v>
      </c>
      <c r="S1060" s="182">
        <f t="shared" si="50"/>
        <v>2.7400000000000005E-4</v>
      </c>
    </row>
    <row r="1061" spans="9:19">
      <c r="I1061" s="124" t="s">
        <v>1141</v>
      </c>
      <c r="J1061" s="124" t="s">
        <v>1142</v>
      </c>
      <c r="K1061" s="182" t="s">
        <v>400</v>
      </c>
      <c r="L1061" s="182">
        <v>2.9500000000000001E-4</v>
      </c>
      <c r="M1061" s="182">
        <v>3.0400000000000002E-4</v>
      </c>
      <c r="N1061" s="182">
        <v>3.0400000000000002E-4</v>
      </c>
      <c r="O1061" s="182">
        <v>3.0400000000000002E-4</v>
      </c>
      <c r="P1061" s="182">
        <v>3.0400000000000002E-4</v>
      </c>
      <c r="R1061" s="154" t="str">
        <f t="shared" si="49"/>
        <v>A0611:RE１００電力(株)メニューD</v>
      </c>
      <c r="S1061" s="182">
        <f t="shared" si="50"/>
        <v>2.9500000000000001E-4</v>
      </c>
    </row>
    <row r="1062" spans="9:19">
      <c r="I1062" s="124" t="s">
        <v>1141</v>
      </c>
      <c r="J1062" s="124" t="s">
        <v>1142</v>
      </c>
      <c r="K1062" s="182" t="s">
        <v>401</v>
      </c>
      <c r="L1062" s="182">
        <v>5.4600000000000004E-4</v>
      </c>
      <c r="M1062" s="182">
        <v>2.9500000000000001E-4</v>
      </c>
      <c r="N1062" s="182">
        <v>2.9500000000000001E-4</v>
      </c>
      <c r="O1062" s="182">
        <v>2.9500000000000001E-4</v>
      </c>
      <c r="P1062" s="182">
        <v>2.9500000000000001E-4</v>
      </c>
      <c r="R1062" s="154" t="str">
        <f t="shared" si="49"/>
        <v>A0611:RE１００電力(株)メニューE</v>
      </c>
      <c r="S1062" s="182">
        <f t="shared" si="50"/>
        <v>5.4600000000000004E-4</v>
      </c>
    </row>
    <row r="1063" spans="9:19">
      <c r="I1063" s="124" t="s">
        <v>1141</v>
      </c>
      <c r="J1063" s="124" t="s">
        <v>1142</v>
      </c>
      <c r="K1063" s="182" t="s">
        <v>2010</v>
      </c>
      <c r="L1063" s="182">
        <v>3.9199999999999999E-4</v>
      </c>
      <c r="M1063" s="182">
        <v>4.2999999999999999E-4</v>
      </c>
      <c r="N1063" s="182">
        <v>4.2999999999999999E-4</v>
      </c>
      <c r="O1063" s="182">
        <v>4.2999999999999999E-4</v>
      </c>
      <c r="P1063" s="182">
        <v>4.2999999999999999E-4</v>
      </c>
      <c r="R1063" s="154" t="str">
        <f t="shared" si="49"/>
        <v>A0611:RE１００電力(株)(参考値)事業者全体</v>
      </c>
      <c r="S1063" s="182">
        <f t="shared" si="50"/>
        <v>3.9199999999999999E-4</v>
      </c>
    </row>
    <row r="1064" spans="9:19">
      <c r="I1064" s="124" t="s">
        <v>1143</v>
      </c>
      <c r="J1064" s="124" t="s">
        <v>1144</v>
      </c>
      <c r="K1064" s="182"/>
      <c r="L1064" s="182">
        <v>4.3199999999999998E-4</v>
      </c>
      <c r="M1064" s="182">
        <v>0</v>
      </c>
      <c r="N1064" s="182">
        <v>0</v>
      </c>
      <c r="O1064" s="182">
        <v>0</v>
      </c>
      <c r="P1064" s="182">
        <v>0</v>
      </c>
      <c r="R1064" s="154" t="str">
        <f t="shared" si="49"/>
        <v>A0612:日本エネルギーファーム(株)</v>
      </c>
      <c r="S1064" s="182">
        <f t="shared" si="50"/>
        <v>4.3199999999999998E-4</v>
      </c>
    </row>
    <row r="1065" spans="9:19">
      <c r="I1065" s="124" t="s">
        <v>1145</v>
      </c>
      <c r="J1065" s="124" t="s">
        <v>1146</v>
      </c>
      <c r="K1065" s="182"/>
      <c r="L1065" s="182">
        <v>4.1800000000000002E-4</v>
      </c>
      <c r="M1065" s="182">
        <v>6.2500000000000001E-4</v>
      </c>
      <c r="N1065" s="182">
        <v>6.2500000000000001E-4</v>
      </c>
      <c r="O1065" s="182">
        <v>6.2500000000000001E-4</v>
      </c>
      <c r="P1065" s="182">
        <v>6.2500000000000001E-4</v>
      </c>
      <c r="R1065" s="154" t="str">
        <f t="shared" si="49"/>
        <v>A0615:(株)イーネットワーク</v>
      </c>
      <c r="S1065" s="182">
        <f t="shared" si="50"/>
        <v>4.1800000000000002E-4</v>
      </c>
    </row>
    <row r="1066" spans="9:19">
      <c r="I1066" s="124" t="s">
        <v>1147</v>
      </c>
      <c r="J1066" s="124" t="s">
        <v>1148</v>
      </c>
      <c r="K1066" s="182" t="s">
        <v>390</v>
      </c>
      <c r="L1066" s="182">
        <v>0</v>
      </c>
      <c r="M1066" s="182">
        <v>5.8200000000000005E-4</v>
      </c>
      <c r="N1066" s="182">
        <v>5.8200000000000005E-4</v>
      </c>
      <c r="O1066" s="182">
        <v>5.8200000000000005E-4</v>
      </c>
      <c r="P1066" s="182">
        <v>5.8200000000000005E-4</v>
      </c>
      <c r="R1066" s="154" t="str">
        <f t="shared" si="49"/>
        <v>A0617:スマートエコエナジー(株)メニューA</v>
      </c>
      <c r="S1066" s="182">
        <f t="shared" si="50"/>
        <v>0</v>
      </c>
    </row>
    <row r="1067" spans="9:19">
      <c r="I1067" s="124" t="s">
        <v>1147</v>
      </c>
      <c r="J1067" s="124" t="s">
        <v>1148</v>
      </c>
      <c r="K1067" s="182" t="s">
        <v>398</v>
      </c>
      <c r="L1067" s="182">
        <v>0</v>
      </c>
      <c r="M1067" s="182">
        <v>7.7000000000000001E-5</v>
      </c>
      <c r="N1067" s="182">
        <v>7.7000000000000001E-5</v>
      </c>
      <c r="O1067" s="182">
        <v>7.7000000000000001E-5</v>
      </c>
      <c r="P1067" s="182">
        <v>7.7000000000000001E-5</v>
      </c>
      <c r="R1067" s="154" t="str">
        <f t="shared" si="49"/>
        <v>A0617:スマートエコエナジー(株)メニューB</v>
      </c>
      <c r="S1067" s="182">
        <f t="shared" si="50"/>
        <v>0</v>
      </c>
    </row>
    <row r="1068" spans="9:19">
      <c r="I1068" s="124" t="s">
        <v>1147</v>
      </c>
      <c r="J1068" s="124" t="s">
        <v>1148</v>
      </c>
      <c r="K1068" s="182" t="s">
        <v>399</v>
      </c>
      <c r="L1068" s="182">
        <v>3.7800000000000003E-4</v>
      </c>
      <c r="M1068" s="182">
        <v>0</v>
      </c>
      <c r="N1068" s="182">
        <v>0</v>
      </c>
      <c r="O1068" s="182">
        <v>0</v>
      </c>
      <c r="P1068" s="182">
        <v>0</v>
      </c>
      <c r="R1068" s="154" t="str">
        <f t="shared" si="49"/>
        <v>A0617:スマートエコエナジー(株)メニューC</v>
      </c>
      <c r="S1068" s="182">
        <f t="shared" si="50"/>
        <v>3.7800000000000003E-4</v>
      </c>
    </row>
    <row r="1069" spans="9:19">
      <c r="I1069" s="124" t="s">
        <v>1147</v>
      </c>
      <c r="J1069" s="124" t="s">
        <v>1148</v>
      </c>
      <c r="K1069" s="182" t="s">
        <v>400</v>
      </c>
      <c r="L1069" s="182">
        <v>3.8700000000000003E-4</v>
      </c>
      <c r="M1069" s="182">
        <v>0</v>
      </c>
      <c r="N1069" s="182">
        <v>0</v>
      </c>
      <c r="O1069" s="182">
        <v>0</v>
      </c>
      <c r="P1069" s="182">
        <v>0</v>
      </c>
      <c r="R1069" s="154" t="str">
        <f t="shared" si="49"/>
        <v>A0617:スマートエコエナジー(株)メニューD</v>
      </c>
      <c r="S1069" s="182">
        <f t="shared" si="50"/>
        <v>3.8700000000000003E-4</v>
      </c>
    </row>
    <row r="1070" spans="9:19">
      <c r="I1070" s="124" t="s">
        <v>1147</v>
      </c>
      <c r="J1070" s="124" t="s">
        <v>1148</v>
      </c>
      <c r="K1070" s="182" t="s">
        <v>401</v>
      </c>
      <c r="L1070" s="182">
        <v>3.8700000000000003E-4</v>
      </c>
      <c r="M1070" s="182">
        <v>2.99E-4</v>
      </c>
      <c r="N1070" s="182">
        <v>2.99E-4</v>
      </c>
      <c r="O1070" s="182">
        <v>2.99E-4</v>
      </c>
      <c r="P1070" s="182">
        <v>2.99E-4</v>
      </c>
      <c r="R1070" s="154" t="str">
        <f t="shared" si="49"/>
        <v>A0617:スマートエコエナジー(株)メニューE</v>
      </c>
      <c r="S1070" s="182">
        <f t="shared" si="50"/>
        <v>3.8700000000000003E-4</v>
      </c>
    </row>
    <row r="1071" spans="9:19">
      <c r="I1071" s="124" t="s">
        <v>1147</v>
      </c>
      <c r="J1071" s="124" t="s">
        <v>1148</v>
      </c>
      <c r="K1071" s="182" t="s">
        <v>414</v>
      </c>
      <c r="L1071" s="182">
        <v>4.0300000000000004E-4</v>
      </c>
      <c r="M1071" s="182">
        <v>1.37E-4</v>
      </c>
      <c r="N1071" s="182">
        <v>1.37E-4</v>
      </c>
      <c r="O1071" s="182">
        <v>1.37E-4</v>
      </c>
      <c r="P1071" s="182">
        <v>1.37E-4</v>
      </c>
      <c r="R1071" s="154" t="str">
        <f t="shared" si="49"/>
        <v>A0617:スマートエコエナジー(株)メニューF</v>
      </c>
      <c r="S1071" s="182">
        <f t="shared" si="50"/>
        <v>4.0300000000000004E-4</v>
      </c>
    </row>
    <row r="1072" spans="9:19">
      <c r="I1072" s="124" t="s">
        <v>1147</v>
      </c>
      <c r="J1072" s="124" t="s">
        <v>1148</v>
      </c>
      <c r="K1072" s="182" t="s">
        <v>415</v>
      </c>
      <c r="L1072" s="182">
        <v>2.8200000000000002E-4</v>
      </c>
      <c r="M1072" s="182">
        <v>5.2700000000000002E-4</v>
      </c>
      <c r="N1072" s="182">
        <v>5.2700000000000002E-4</v>
      </c>
      <c r="O1072" s="182">
        <v>5.2700000000000002E-4</v>
      </c>
      <c r="P1072" s="182">
        <v>5.2700000000000002E-4</v>
      </c>
      <c r="R1072" s="154" t="str">
        <f t="shared" si="49"/>
        <v>A0617:スマートエコエナジー(株)メニューG</v>
      </c>
      <c r="S1072" s="182">
        <f t="shared" si="50"/>
        <v>2.8200000000000002E-4</v>
      </c>
    </row>
    <row r="1073" spans="9:19">
      <c r="I1073" s="124" t="s">
        <v>1147</v>
      </c>
      <c r="J1073" s="124" t="s">
        <v>1148</v>
      </c>
      <c r="K1073" s="182" t="s">
        <v>2010</v>
      </c>
      <c r="L1073" s="182">
        <v>0</v>
      </c>
      <c r="M1073" s="182">
        <v>0</v>
      </c>
      <c r="N1073" s="182">
        <v>0</v>
      </c>
      <c r="O1073" s="182">
        <v>0</v>
      </c>
      <c r="P1073" s="182">
        <v>0</v>
      </c>
      <c r="R1073" s="154" t="str">
        <f t="shared" si="49"/>
        <v>A0617:スマートエコエナジー(株)(参考値)事業者全体</v>
      </c>
      <c r="S1073" s="182">
        <f t="shared" si="50"/>
        <v>0</v>
      </c>
    </row>
    <row r="1074" spans="9:19">
      <c r="I1074" s="124" t="s">
        <v>1149</v>
      </c>
      <c r="J1074" s="124" t="s">
        <v>1150</v>
      </c>
      <c r="K1074" s="182"/>
      <c r="L1074" s="182">
        <v>5.9699999999999998E-4</v>
      </c>
      <c r="M1074" s="182">
        <v>3.0600000000000001E-4</v>
      </c>
      <c r="N1074" s="182">
        <v>3.0600000000000001E-4</v>
      </c>
      <c r="O1074" s="182">
        <v>3.0600000000000001E-4</v>
      </c>
      <c r="P1074" s="182">
        <v>3.0600000000000001E-4</v>
      </c>
      <c r="R1074" s="154" t="str">
        <f t="shared" si="49"/>
        <v>A0620:(株)LENETS</v>
      </c>
      <c r="S1074" s="182">
        <f t="shared" si="50"/>
        <v>5.9699999999999998E-4</v>
      </c>
    </row>
    <row r="1075" spans="9:19">
      <c r="I1075" s="124" t="s">
        <v>1151</v>
      </c>
      <c r="J1075" s="124" t="s">
        <v>1152</v>
      </c>
      <c r="K1075" s="182" t="s">
        <v>390</v>
      </c>
      <c r="L1075" s="182">
        <v>0</v>
      </c>
      <c r="M1075" s="182">
        <v>4.66E-4</v>
      </c>
      <c r="N1075" s="182">
        <v>4.66E-4</v>
      </c>
      <c r="O1075" s="182">
        <v>4.66E-4</v>
      </c>
      <c r="P1075" s="182">
        <v>4.66E-4</v>
      </c>
      <c r="R1075" s="154" t="str">
        <f t="shared" si="49"/>
        <v>A0622:アイエスジー(株)メニューA</v>
      </c>
      <c r="S1075" s="182">
        <f t="shared" si="50"/>
        <v>0</v>
      </c>
    </row>
    <row r="1076" spans="9:19">
      <c r="I1076" s="124" t="s">
        <v>1151</v>
      </c>
      <c r="J1076" s="124" t="s">
        <v>1152</v>
      </c>
      <c r="K1076" s="182" t="s">
        <v>398</v>
      </c>
      <c r="L1076" s="182">
        <v>5.6099999999999998E-4</v>
      </c>
      <c r="M1076" s="182">
        <v>0</v>
      </c>
      <c r="N1076" s="182">
        <v>0</v>
      </c>
      <c r="O1076" s="182">
        <v>0</v>
      </c>
      <c r="P1076" s="182">
        <v>0</v>
      </c>
      <c r="R1076" s="154" t="str">
        <f t="shared" si="49"/>
        <v>A0622:アイエスジー(株)メニューB</v>
      </c>
      <c r="S1076" s="182">
        <f t="shared" si="50"/>
        <v>5.6099999999999998E-4</v>
      </c>
    </row>
    <row r="1077" spans="9:19">
      <c r="I1077" s="124" t="s">
        <v>1151</v>
      </c>
      <c r="J1077" s="124" t="s">
        <v>1152</v>
      </c>
      <c r="K1077" s="182" t="s">
        <v>399</v>
      </c>
      <c r="L1077" s="182">
        <v>1.356E-3</v>
      </c>
      <c r="M1077" s="182">
        <v>4.7100000000000006E-4</v>
      </c>
      <c r="N1077" s="182">
        <v>4.7100000000000006E-4</v>
      </c>
      <c r="O1077" s="182">
        <v>4.7100000000000006E-4</v>
      </c>
      <c r="P1077" s="182">
        <v>4.7100000000000006E-4</v>
      </c>
      <c r="R1077" s="154" t="str">
        <f t="shared" si="49"/>
        <v>A0622:アイエスジー(株)メニューC</v>
      </c>
      <c r="S1077" s="182">
        <f t="shared" si="50"/>
        <v>1.356E-3</v>
      </c>
    </row>
    <row r="1078" spans="9:19">
      <c r="I1078" s="124" t="s">
        <v>1151</v>
      </c>
      <c r="J1078" s="124" t="s">
        <v>1152</v>
      </c>
      <c r="K1078" s="182" t="s">
        <v>2010</v>
      </c>
      <c r="L1078" s="182">
        <v>1.8200000000000001E-4</v>
      </c>
      <c r="M1078" s="182">
        <v>4.2700000000000002E-4</v>
      </c>
      <c r="N1078" s="182">
        <v>4.2700000000000002E-4</v>
      </c>
      <c r="O1078" s="182">
        <v>4.2700000000000002E-4</v>
      </c>
      <c r="P1078" s="182">
        <v>4.2700000000000002E-4</v>
      </c>
      <c r="R1078" s="154" t="str">
        <f t="shared" si="49"/>
        <v>A0622:アイエスジー(株)(参考値)事業者全体</v>
      </c>
      <c r="S1078" s="182">
        <f t="shared" si="50"/>
        <v>1.8200000000000001E-4</v>
      </c>
    </row>
    <row r="1079" spans="9:19">
      <c r="I1079" s="124" t="s">
        <v>1153</v>
      </c>
      <c r="J1079" s="124" t="s">
        <v>1154</v>
      </c>
      <c r="K1079" s="182" t="s">
        <v>390</v>
      </c>
      <c r="L1079" s="182">
        <v>0</v>
      </c>
      <c r="M1079" s="182">
        <v>4.1899999999999999E-4</v>
      </c>
      <c r="N1079" s="182">
        <v>4.1899999999999999E-4</v>
      </c>
      <c r="O1079" s="182">
        <v>4.1899999999999999E-4</v>
      </c>
      <c r="P1079" s="182">
        <v>4.1899999999999999E-4</v>
      </c>
      <c r="R1079" s="154" t="str">
        <f t="shared" si="49"/>
        <v>A0624:(株)エネクルメニューA</v>
      </c>
      <c r="S1079" s="182">
        <f t="shared" si="50"/>
        <v>0</v>
      </c>
    </row>
    <row r="1080" spans="9:19">
      <c r="I1080" s="124" t="s">
        <v>1153</v>
      </c>
      <c r="J1080" s="124" t="s">
        <v>1154</v>
      </c>
      <c r="K1080" s="182" t="s">
        <v>398</v>
      </c>
      <c r="L1080" s="182">
        <v>3.4099999999999999E-4</v>
      </c>
      <c r="M1080" s="182">
        <v>4.4700000000000002E-4</v>
      </c>
      <c r="N1080" s="182">
        <v>4.4700000000000002E-4</v>
      </c>
      <c r="O1080" s="182">
        <v>4.4700000000000002E-4</v>
      </c>
      <c r="P1080" s="182">
        <v>4.4700000000000002E-4</v>
      </c>
      <c r="R1080" s="154" t="str">
        <f t="shared" si="49"/>
        <v>A0624:(株)エネクルメニューB</v>
      </c>
      <c r="S1080" s="182">
        <f t="shared" si="50"/>
        <v>3.4099999999999999E-4</v>
      </c>
    </row>
    <row r="1081" spans="9:19">
      <c r="I1081" s="124" t="s">
        <v>1153</v>
      </c>
      <c r="J1081" s="124" t="s">
        <v>1154</v>
      </c>
      <c r="K1081" s="182" t="s">
        <v>2010</v>
      </c>
      <c r="L1081" s="182">
        <v>3.4000000000000002E-4</v>
      </c>
      <c r="M1081" s="182">
        <v>0</v>
      </c>
      <c r="N1081" s="182">
        <v>0</v>
      </c>
      <c r="O1081" s="182">
        <v>0</v>
      </c>
      <c r="P1081" s="182">
        <v>0</v>
      </c>
      <c r="R1081" s="154" t="str">
        <f t="shared" si="49"/>
        <v>A0624:(株)エネクル(参考値)事業者全体</v>
      </c>
      <c r="S1081" s="182">
        <f t="shared" si="50"/>
        <v>3.4000000000000002E-4</v>
      </c>
    </row>
    <row r="1082" spans="9:19">
      <c r="I1082" s="124" t="s">
        <v>1155</v>
      </c>
      <c r="J1082" s="124" t="s">
        <v>1156</v>
      </c>
      <c r="K1082" s="182"/>
      <c r="L1082" s="182">
        <v>6.0899999999999995E-4</v>
      </c>
      <c r="M1082" s="182">
        <v>0</v>
      </c>
      <c r="N1082" s="182">
        <v>0</v>
      </c>
      <c r="O1082" s="182">
        <v>0</v>
      </c>
      <c r="P1082" s="182">
        <v>0</v>
      </c>
      <c r="R1082" s="154" t="str">
        <f t="shared" si="49"/>
        <v>A0627:フィンテックラボ協同組合</v>
      </c>
      <c r="S1082" s="182">
        <f t="shared" si="50"/>
        <v>6.0899999999999995E-4</v>
      </c>
    </row>
    <row r="1083" spans="9:19">
      <c r="I1083" s="124" t="s">
        <v>1157</v>
      </c>
      <c r="J1083" s="124" t="s">
        <v>1158</v>
      </c>
      <c r="K1083" s="182"/>
      <c r="L1083" s="182">
        <v>4.2999999999999999E-4</v>
      </c>
      <c r="M1083" s="182">
        <v>3.77E-4</v>
      </c>
      <c r="N1083" s="182">
        <v>3.77E-4</v>
      </c>
      <c r="O1083" s="182">
        <v>3.77E-4</v>
      </c>
      <c r="P1083" s="182">
        <v>3.77E-4</v>
      </c>
      <c r="R1083" s="154" t="str">
        <f t="shared" si="49"/>
        <v>A0629:新電力新潟(株)</v>
      </c>
      <c r="S1083" s="182">
        <f t="shared" si="50"/>
        <v>4.2999999999999999E-4</v>
      </c>
    </row>
    <row r="1084" spans="9:19">
      <c r="I1084" s="124" t="s">
        <v>1159</v>
      </c>
      <c r="J1084" s="124" t="s">
        <v>1160</v>
      </c>
      <c r="K1084" s="182" t="s">
        <v>390</v>
      </c>
      <c r="L1084" s="182">
        <v>0</v>
      </c>
      <c r="M1084" s="182">
        <v>0</v>
      </c>
      <c r="N1084" s="182">
        <v>0</v>
      </c>
      <c r="O1084" s="182">
        <v>0</v>
      </c>
      <c r="P1084" s="182">
        <v>0</v>
      </c>
      <c r="R1084" s="154" t="str">
        <f t="shared" si="49"/>
        <v>A0630:(株)タケエイでんきメニューA</v>
      </c>
      <c r="S1084" s="182">
        <f t="shared" si="50"/>
        <v>0</v>
      </c>
    </row>
    <row r="1085" spans="9:19">
      <c r="I1085" s="124" t="s">
        <v>1159</v>
      </c>
      <c r="J1085" s="124" t="s">
        <v>1160</v>
      </c>
      <c r="K1085" s="182" t="s">
        <v>398</v>
      </c>
      <c r="L1085" s="182">
        <v>0</v>
      </c>
      <c r="M1085" s="182">
        <v>9.3899999999999995E-4</v>
      </c>
      <c r="N1085" s="182">
        <v>9.3899999999999995E-4</v>
      </c>
      <c r="O1085" s="182">
        <v>9.3899999999999995E-4</v>
      </c>
      <c r="P1085" s="182">
        <v>9.3899999999999995E-4</v>
      </c>
      <c r="R1085" s="154" t="str">
        <f t="shared" si="49"/>
        <v>A0630:(株)タケエイでんきメニューB</v>
      </c>
      <c r="S1085" s="182">
        <f t="shared" si="50"/>
        <v>0</v>
      </c>
    </row>
    <row r="1086" spans="9:19">
      <c r="I1086" s="124" t="s">
        <v>1159</v>
      </c>
      <c r="J1086" s="124" t="s">
        <v>1160</v>
      </c>
      <c r="K1086" s="182" t="s">
        <v>399</v>
      </c>
      <c r="L1086" s="182">
        <v>4.2900000000000002E-4</v>
      </c>
      <c r="M1086" s="182">
        <v>5.5099999999999995E-4</v>
      </c>
      <c r="N1086" s="182">
        <v>5.5099999999999995E-4</v>
      </c>
      <c r="O1086" s="182">
        <v>5.5099999999999995E-4</v>
      </c>
      <c r="P1086" s="182">
        <v>5.5099999999999995E-4</v>
      </c>
      <c r="R1086" s="154" t="str">
        <f t="shared" si="49"/>
        <v>A0630:(株)タケエイでんきメニューC</v>
      </c>
      <c r="S1086" s="182">
        <f t="shared" si="50"/>
        <v>4.2900000000000002E-4</v>
      </c>
    </row>
    <row r="1087" spans="9:19">
      <c r="I1087" s="124" t="s">
        <v>1159</v>
      </c>
      <c r="J1087" s="124" t="s">
        <v>1160</v>
      </c>
      <c r="K1087" s="182" t="s">
        <v>2010</v>
      </c>
      <c r="L1087" s="182">
        <v>4.2900000000000002E-4</v>
      </c>
      <c r="M1087" s="182">
        <v>0</v>
      </c>
      <c r="N1087" s="182">
        <v>0</v>
      </c>
      <c r="O1087" s="182">
        <v>0</v>
      </c>
      <c r="P1087" s="182">
        <v>0</v>
      </c>
      <c r="R1087" s="154" t="str">
        <f t="shared" si="49"/>
        <v>A0630:(株)タケエイでんき(参考値)事業者全体</v>
      </c>
      <c r="S1087" s="182">
        <f t="shared" si="50"/>
        <v>4.2900000000000002E-4</v>
      </c>
    </row>
    <row r="1088" spans="9:19">
      <c r="I1088" s="124" t="s">
        <v>1161</v>
      </c>
      <c r="J1088" s="124" t="s">
        <v>1162</v>
      </c>
      <c r="K1088" s="182" t="s">
        <v>390</v>
      </c>
      <c r="L1088" s="182">
        <v>3.8700000000000003E-4</v>
      </c>
      <c r="M1088" s="182">
        <v>3.9600000000000003E-4</v>
      </c>
      <c r="N1088" s="182">
        <v>3.9600000000000003E-4</v>
      </c>
      <c r="O1088" s="182">
        <v>3.9600000000000003E-4</v>
      </c>
      <c r="P1088" s="182">
        <v>3.9600000000000003E-4</v>
      </c>
      <c r="R1088" s="154" t="str">
        <f t="shared" si="49"/>
        <v>A0631:気仙沼グリーンエナジー(株)メニューA</v>
      </c>
      <c r="S1088" s="182">
        <f t="shared" si="50"/>
        <v>3.8700000000000003E-4</v>
      </c>
    </row>
    <row r="1089" spans="9:19">
      <c r="I1089" s="124" t="s">
        <v>1161</v>
      </c>
      <c r="J1089" s="124" t="s">
        <v>1162</v>
      </c>
      <c r="K1089" s="182" t="s">
        <v>398</v>
      </c>
      <c r="L1089" s="182">
        <v>3.8400000000000001E-4</v>
      </c>
      <c r="M1089" s="182">
        <v>4.9200000000000003E-4</v>
      </c>
      <c r="N1089" s="182">
        <v>4.9200000000000003E-4</v>
      </c>
      <c r="O1089" s="182">
        <v>4.9200000000000003E-4</v>
      </c>
      <c r="P1089" s="182">
        <v>4.9200000000000003E-4</v>
      </c>
      <c r="R1089" s="154" t="str">
        <f t="shared" si="49"/>
        <v>A0631:気仙沼グリーンエナジー(株)メニューB</v>
      </c>
      <c r="S1089" s="182">
        <f t="shared" si="50"/>
        <v>3.8400000000000001E-4</v>
      </c>
    </row>
    <row r="1090" spans="9:19">
      <c r="I1090" s="124" t="s">
        <v>1161</v>
      </c>
      <c r="J1090" s="124" t="s">
        <v>1162</v>
      </c>
      <c r="K1090" s="182" t="s">
        <v>2010</v>
      </c>
      <c r="L1090" s="182">
        <v>3.8200000000000002E-4</v>
      </c>
      <c r="M1090" s="182">
        <v>4.8700000000000007E-4</v>
      </c>
      <c r="N1090" s="182">
        <v>4.8700000000000007E-4</v>
      </c>
      <c r="O1090" s="182">
        <v>4.8700000000000007E-4</v>
      </c>
      <c r="P1090" s="182">
        <v>4.8700000000000007E-4</v>
      </c>
      <c r="R1090" s="154" t="str">
        <f t="shared" si="49"/>
        <v>A0631:気仙沼グリーンエナジー(株)(参考値)事業者全体</v>
      </c>
      <c r="S1090" s="182">
        <f t="shared" si="50"/>
        <v>3.8200000000000002E-4</v>
      </c>
    </row>
    <row r="1091" spans="9:19">
      <c r="I1091" s="124" t="s">
        <v>1163</v>
      </c>
      <c r="J1091" s="124" t="s">
        <v>1164</v>
      </c>
      <c r="K1091" s="182" t="s">
        <v>390</v>
      </c>
      <c r="L1091" s="182">
        <v>0</v>
      </c>
      <c r="M1091" s="182">
        <v>0</v>
      </c>
      <c r="N1091" s="182">
        <v>0</v>
      </c>
      <c r="O1091" s="182">
        <v>0</v>
      </c>
      <c r="P1091" s="182">
        <v>0</v>
      </c>
      <c r="R1091" s="154" t="str">
        <f t="shared" si="49"/>
        <v>A0632:(株)ユーラスグリーンエナジーメニューA</v>
      </c>
      <c r="S1091" s="182">
        <f t="shared" si="50"/>
        <v>0</v>
      </c>
    </row>
    <row r="1092" spans="9:19">
      <c r="I1092" s="174" t="s">
        <v>1163</v>
      </c>
      <c r="J1092" s="174" t="s">
        <v>1164</v>
      </c>
      <c r="K1092" s="443" t="s">
        <v>2010</v>
      </c>
      <c r="L1092" s="443">
        <v>0</v>
      </c>
      <c r="M1092" s="443">
        <v>6.1700000000000004E-4</v>
      </c>
      <c r="N1092" s="443">
        <v>6.1700000000000004E-4</v>
      </c>
      <c r="O1092" s="443">
        <v>6.1700000000000004E-4</v>
      </c>
      <c r="P1092" s="443">
        <v>6.1700000000000004E-4</v>
      </c>
      <c r="R1092" s="154" t="str">
        <f t="shared" si="49"/>
        <v>A0632:(株)ユーラスグリーンエナジー(参考値)事業者全体</v>
      </c>
      <c r="S1092" s="182">
        <f t="shared" si="50"/>
        <v>0</v>
      </c>
    </row>
    <row r="1093" spans="9:19">
      <c r="I1093" s="123" t="s">
        <v>1165</v>
      </c>
      <c r="J1093" s="123" t="s">
        <v>1166</v>
      </c>
      <c r="K1093" s="123"/>
      <c r="L1093" s="123">
        <v>2.2599999999999999E-4</v>
      </c>
      <c r="M1093" s="182">
        <v>6.1700000000000004E-4</v>
      </c>
      <c r="N1093" s="182">
        <v>6.1700000000000004E-4</v>
      </c>
      <c r="O1093" s="182">
        <v>6.1700000000000004E-4</v>
      </c>
      <c r="P1093" s="182">
        <v>6.1700000000000004E-4</v>
      </c>
      <c r="R1093" s="154" t="str">
        <f t="shared" ref="R1093:R1156" si="51">I1093&amp;":"&amp;J1093&amp;K1093</f>
        <v>A0636:生活協同組合コープながの</v>
      </c>
      <c r="S1093" s="182">
        <f t="shared" si="50"/>
        <v>2.2599999999999999E-4</v>
      </c>
    </row>
    <row r="1094" spans="9:19">
      <c r="I1094" s="124" t="s">
        <v>1167</v>
      </c>
      <c r="J1094" s="124" t="s">
        <v>1168</v>
      </c>
      <c r="K1094" s="124"/>
      <c r="L1094" s="124">
        <v>3.5199999999999999E-4</v>
      </c>
      <c r="M1094" s="182">
        <v>6.1700000000000004E-4</v>
      </c>
      <c r="N1094" s="182">
        <v>6.1700000000000004E-4</v>
      </c>
      <c r="O1094" s="182">
        <v>6.1700000000000004E-4</v>
      </c>
      <c r="P1094" s="182">
        <v>6.1700000000000004E-4</v>
      </c>
      <c r="R1094" s="154" t="str">
        <f t="shared" si="51"/>
        <v>A0637:京セラ関電エナジー合同会社</v>
      </c>
      <c r="S1094" s="182">
        <f t="shared" si="50"/>
        <v>3.5199999999999999E-4</v>
      </c>
    </row>
    <row r="1095" spans="9:19">
      <c r="I1095" s="124" t="s">
        <v>1169</v>
      </c>
      <c r="J1095" s="124" t="s">
        <v>1170</v>
      </c>
      <c r="K1095" s="124"/>
      <c r="L1095" s="124">
        <v>3.4099999999999999E-4</v>
      </c>
      <c r="M1095" s="182">
        <v>6.1700000000000004E-4</v>
      </c>
      <c r="N1095" s="182">
        <v>6.1700000000000004E-4</v>
      </c>
      <c r="O1095" s="182">
        <v>6.1700000000000004E-4</v>
      </c>
      <c r="P1095" s="182">
        <v>6.1700000000000004E-4</v>
      </c>
      <c r="R1095" s="154" t="str">
        <f t="shared" si="51"/>
        <v>A0639:酒田天然瓦斯(株)</v>
      </c>
      <c r="S1095" s="182">
        <f t="shared" si="50"/>
        <v>3.4099999999999999E-4</v>
      </c>
    </row>
    <row r="1096" spans="9:19">
      <c r="I1096" s="124" t="s">
        <v>1171</v>
      </c>
      <c r="J1096" s="124" t="s">
        <v>1172</v>
      </c>
      <c r="K1096" s="124"/>
      <c r="L1096" s="124">
        <v>6.1200000000000002E-4</v>
      </c>
      <c r="M1096" s="182">
        <v>6.1700000000000004E-4</v>
      </c>
      <c r="N1096" s="182">
        <v>6.1700000000000004E-4</v>
      </c>
      <c r="O1096" s="182">
        <v>6.1700000000000004E-4</v>
      </c>
      <c r="P1096" s="182">
        <v>6.1700000000000004E-4</v>
      </c>
      <c r="R1096" s="154" t="str">
        <f t="shared" si="51"/>
        <v>A0640:東亜ガス(株)</v>
      </c>
      <c r="S1096" s="182">
        <f t="shared" si="50"/>
        <v>6.1200000000000002E-4</v>
      </c>
    </row>
    <row r="1097" spans="9:19">
      <c r="I1097" s="124" t="s">
        <v>1173</v>
      </c>
      <c r="J1097" s="124" t="s">
        <v>1174</v>
      </c>
      <c r="K1097" s="124" t="s">
        <v>390</v>
      </c>
      <c r="L1097" s="124">
        <v>0</v>
      </c>
      <c r="M1097" s="182">
        <v>6.1700000000000004E-4</v>
      </c>
      <c r="N1097" s="182">
        <v>6.1700000000000004E-4</v>
      </c>
      <c r="O1097" s="182">
        <v>6.1700000000000004E-4</v>
      </c>
      <c r="P1097" s="182">
        <v>6.1700000000000004E-4</v>
      </c>
      <c r="R1097" s="154" t="str">
        <f t="shared" si="51"/>
        <v>A0641:(株)三河の山里コミュニティパワーメニューA</v>
      </c>
      <c r="S1097" s="182">
        <f t="shared" si="50"/>
        <v>0</v>
      </c>
    </row>
    <row r="1098" spans="9:19">
      <c r="I1098" s="124" t="s">
        <v>1173</v>
      </c>
      <c r="J1098" s="124" t="s">
        <v>1174</v>
      </c>
      <c r="K1098" s="124" t="s">
        <v>2010</v>
      </c>
      <c r="L1098" s="124">
        <v>2.9099999999999997E-4</v>
      </c>
      <c r="M1098" s="182">
        <v>6.1700000000000004E-4</v>
      </c>
      <c r="N1098" s="182">
        <v>6.1700000000000004E-4</v>
      </c>
      <c r="O1098" s="182">
        <v>6.1700000000000004E-4</v>
      </c>
      <c r="P1098" s="182">
        <v>6.1700000000000004E-4</v>
      </c>
      <c r="R1098" s="154" t="str">
        <f t="shared" si="51"/>
        <v>A0641:(株)三河の山里コミュニティパワー(参考値)事業者全体</v>
      </c>
      <c r="S1098" s="182">
        <f t="shared" ref="S1098:S1161" si="52">HLOOKUP($S$8,$L$8:$P$1500,ROW()-7,FALSE)</f>
        <v>2.9099999999999997E-4</v>
      </c>
    </row>
    <row r="1099" spans="9:19">
      <c r="I1099" s="124" t="s">
        <v>1175</v>
      </c>
      <c r="J1099" s="124" t="s">
        <v>1176</v>
      </c>
      <c r="K1099" s="124" t="s">
        <v>390</v>
      </c>
      <c r="L1099" s="124">
        <v>0</v>
      </c>
      <c r="M1099" s="182">
        <v>6.1700000000000004E-4</v>
      </c>
      <c r="N1099" s="182">
        <v>6.1700000000000004E-4</v>
      </c>
      <c r="O1099" s="182">
        <v>6.1700000000000004E-4</v>
      </c>
      <c r="P1099" s="182">
        <v>6.1700000000000004E-4</v>
      </c>
      <c r="R1099" s="154" t="str">
        <f t="shared" si="51"/>
        <v>A0642:新潟スワンエナジー(株)メニューA</v>
      </c>
      <c r="S1099" s="182">
        <f t="shared" si="52"/>
        <v>0</v>
      </c>
    </row>
    <row r="1100" spans="9:19">
      <c r="I1100" s="124" t="s">
        <v>1175</v>
      </c>
      <c r="J1100" s="124" t="s">
        <v>1176</v>
      </c>
      <c r="K1100" s="124" t="s">
        <v>398</v>
      </c>
      <c r="L1100" s="124">
        <v>2.6600000000000001E-4</v>
      </c>
      <c r="M1100" s="182">
        <v>6.1700000000000004E-4</v>
      </c>
      <c r="N1100" s="182">
        <v>6.1700000000000004E-4</v>
      </c>
      <c r="O1100" s="182">
        <v>6.1700000000000004E-4</v>
      </c>
      <c r="P1100" s="182">
        <v>6.1700000000000004E-4</v>
      </c>
      <c r="R1100" s="154" t="str">
        <f t="shared" si="51"/>
        <v>A0642:新潟スワンエナジー(株)メニューB</v>
      </c>
      <c r="S1100" s="182">
        <f t="shared" si="52"/>
        <v>2.6600000000000001E-4</v>
      </c>
    </row>
    <row r="1101" spans="9:19">
      <c r="I1101" s="124" t="s">
        <v>1175</v>
      </c>
      <c r="J1101" s="124" t="s">
        <v>1176</v>
      </c>
      <c r="K1101" s="124" t="s">
        <v>399</v>
      </c>
      <c r="L1101" s="124">
        <v>1.3800000000000002E-4</v>
      </c>
      <c r="M1101" s="182">
        <v>6.1700000000000004E-4</v>
      </c>
      <c r="N1101" s="182">
        <v>6.1700000000000004E-4</v>
      </c>
      <c r="O1101" s="182">
        <v>6.1700000000000004E-4</v>
      </c>
      <c r="P1101" s="182">
        <v>6.1700000000000004E-4</v>
      </c>
      <c r="R1101" s="154" t="str">
        <f t="shared" si="51"/>
        <v>A0642:新潟スワンエナジー(株)メニューC</v>
      </c>
      <c r="S1101" s="182">
        <f t="shared" si="52"/>
        <v>1.3800000000000002E-4</v>
      </c>
    </row>
    <row r="1102" spans="9:19">
      <c r="I1102" s="124" t="s">
        <v>1175</v>
      </c>
      <c r="J1102" s="124" t="s">
        <v>1176</v>
      </c>
      <c r="K1102" s="124" t="s">
        <v>400</v>
      </c>
      <c r="L1102" s="124">
        <v>2.7300000000000002E-4</v>
      </c>
      <c r="M1102" s="182">
        <v>6.1700000000000004E-4</v>
      </c>
      <c r="N1102" s="182">
        <v>6.1700000000000004E-4</v>
      </c>
      <c r="O1102" s="182">
        <v>6.1700000000000004E-4</v>
      </c>
      <c r="P1102" s="182">
        <v>6.1700000000000004E-4</v>
      </c>
      <c r="R1102" s="154" t="str">
        <f t="shared" si="51"/>
        <v>A0642:新潟スワンエナジー(株)メニューD</v>
      </c>
      <c r="S1102" s="182">
        <f t="shared" si="52"/>
        <v>2.7300000000000002E-4</v>
      </c>
    </row>
    <row r="1103" spans="9:19">
      <c r="I1103" s="124" t="s">
        <v>1175</v>
      </c>
      <c r="J1103" s="124" t="s">
        <v>1176</v>
      </c>
      <c r="K1103" s="124" t="s">
        <v>2010</v>
      </c>
      <c r="L1103" s="124">
        <v>2.0599999999999999E-4</v>
      </c>
      <c r="M1103" s="182">
        <v>6.1700000000000004E-4</v>
      </c>
      <c r="N1103" s="182">
        <v>6.1700000000000004E-4</v>
      </c>
      <c r="O1103" s="182">
        <v>6.1700000000000004E-4</v>
      </c>
      <c r="P1103" s="182">
        <v>6.1700000000000004E-4</v>
      </c>
      <c r="R1103" s="154" t="str">
        <f t="shared" si="51"/>
        <v>A0642:新潟スワンエナジー(株)(参考値)事業者全体</v>
      </c>
      <c r="S1103" s="182">
        <f t="shared" si="52"/>
        <v>2.0599999999999999E-4</v>
      </c>
    </row>
    <row r="1104" spans="9:19">
      <c r="I1104" s="124" t="s">
        <v>1177</v>
      </c>
      <c r="J1104" s="124" t="s">
        <v>1178</v>
      </c>
      <c r="K1104" s="124"/>
      <c r="L1104" s="124">
        <v>6.0800000000000003E-4</v>
      </c>
      <c r="M1104" s="182">
        <v>6.1700000000000004E-4</v>
      </c>
      <c r="N1104" s="182">
        <v>6.1700000000000004E-4</v>
      </c>
      <c r="O1104" s="182">
        <v>6.1700000000000004E-4</v>
      </c>
      <c r="P1104" s="182">
        <v>6.1700000000000004E-4</v>
      </c>
      <c r="R1104" s="154" t="str">
        <f t="shared" si="51"/>
        <v>A0644:グリーンピープルズパワー(株)</v>
      </c>
      <c r="S1104" s="182">
        <f t="shared" si="52"/>
        <v>6.0800000000000003E-4</v>
      </c>
    </row>
    <row r="1105" spans="9:19">
      <c r="I1105" s="124" t="s">
        <v>1179</v>
      </c>
      <c r="J1105" s="124" t="s">
        <v>1180</v>
      </c>
      <c r="K1105" s="124"/>
      <c r="L1105" s="124">
        <v>3.9800000000000002E-4</v>
      </c>
      <c r="M1105" s="182">
        <v>6.1700000000000004E-4</v>
      </c>
      <c r="N1105" s="182">
        <v>6.1700000000000004E-4</v>
      </c>
      <c r="O1105" s="182">
        <v>6.1700000000000004E-4</v>
      </c>
      <c r="P1105" s="182">
        <v>6.1700000000000004E-4</v>
      </c>
      <c r="R1105" s="154" t="str">
        <f t="shared" si="51"/>
        <v>A0648:(株)マルイファシリティーズ</v>
      </c>
      <c r="S1105" s="182">
        <f t="shared" si="52"/>
        <v>3.9800000000000002E-4</v>
      </c>
    </row>
    <row r="1106" spans="9:19">
      <c r="I1106" s="124" t="s">
        <v>1181</v>
      </c>
      <c r="J1106" s="124" t="s">
        <v>1182</v>
      </c>
      <c r="K1106" s="124"/>
      <c r="L1106" s="124">
        <v>5.1500000000000005E-4</v>
      </c>
      <c r="M1106" s="182">
        <v>6.1700000000000004E-4</v>
      </c>
      <c r="N1106" s="182">
        <v>6.1700000000000004E-4</v>
      </c>
      <c r="O1106" s="182">
        <v>6.1700000000000004E-4</v>
      </c>
      <c r="P1106" s="182">
        <v>6.1700000000000004E-4</v>
      </c>
      <c r="R1106" s="154" t="str">
        <f t="shared" si="51"/>
        <v>A0649:(株)デンケン</v>
      </c>
      <c r="S1106" s="182">
        <f t="shared" si="52"/>
        <v>5.1500000000000005E-4</v>
      </c>
    </row>
    <row r="1107" spans="9:19">
      <c r="I1107" s="124" t="s">
        <v>1183</v>
      </c>
      <c r="J1107" s="124" t="s">
        <v>1184</v>
      </c>
      <c r="K1107" s="124" t="s">
        <v>390</v>
      </c>
      <c r="L1107" s="124">
        <v>0</v>
      </c>
      <c r="M1107" s="182">
        <v>6.1700000000000004E-4</v>
      </c>
      <c r="N1107" s="182">
        <v>6.1700000000000004E-4</v>
      </c>
      <c r="O1107" s="182">
        <v>6.1700000000000004E-4</v>
      </c>
      <c r="P1107" s="182">
        <v>6.1700000000000004E-4</v>
      </c>
      <c r="R1107" s="154" t="str">
        <f t="shared" si="51"/>
        <v>A0650:(株)東名メニューA</v>
      </c>
      <c r="S1107" s="182">
        <f t="shared" si="52"/>
        <v>0</v>
      </c>
    </row>
    <row r="1108" spans="9:19">
      <c r="I1108" s="124" t="s">
        <v>1183</v>
      </c>
      <c r="J1108" s="124" t="s">
        <v>1184</v>
      </c>
      <c r="K1108" s="124" t="s">
        <v>398</v>
      </c>
      <c r="L1108" s="124">
        <v>7.0899999999999999E-4</v>
      </c>
      <c r="M1108" s="182">
        <v>6.1700000000000004E-4</v>
      </c>
      <c r="N1108" s="182">
        <v>6.1700000000000004E-4</v>
      </c>
      <c r="O1108" s="182">
        <v>6.1700000000000004E-4</v>
      </c>
      <c r="P1108" s="182">
        <v>6.1700000000000004E-4</v>
      </c>
      <c r="R1108" s="154" t="str">
        <f t="shared" si="51"/>
        <v>A0650:(株)東名メニューB</v>
      </c>
      <c r="S1108" s="182">
        <f t="shared" si="52"/>
        <v>7.0899999999999999E-4</v>
      </c>
    </row>
    <row r="1109" spans="9:19">
      <c r="I1109" s="124" t="s">
        <v>1183</v>
      </c>
      <c r="J1109" s="124" t="s">
        <v>1184</v>
      </c>
      <c r="K1109" s="124" t="s">
        <v>2010</v>
      </c>
      <c r="L1109" s="124">
        <v>4.3800000000000002E-4</v>
      </c>
      <c r="M1109" s="182">
        <v>6.1700000000000004E-4</v>
      </c>
      <c r="N1109" s="182">
        <v>6.1700000000000004E-4</v>
      </c>
      <c r="O1109" s="182">
        <v>6.1700000000000004E-4</v>
      </c>
      <c r="P1109" s="182">
        <v>6.1700000000000004E-4</v>
      </c>
      <c r="R1109" s="154" t="str">
        <f t="shared" si="51"/>
        <v>A0650:(株)東名(参考値)事業者全体</v>
      </c>
      <c r="S1109" s="182">
        <f t="shared" si="52"/>
        <v>4.3800000000000002E-4</v>
      </c>
    </row>
    <row r="1110" spans="9:19">
      <c r="I1110" s="124" t="s">
        <v>1185</v>
      </c>
      <c r="J1110" s="124" t="s">
        <v>1186</v>
      </c>
      <c r="K1110" s="124" t="s">
        <v>390</v>
      </c>
      <c r="L1110" s="124">
        <v>0</v>
      </c>
      <c r="M1110" s="182">
        <v>6.1700000000000004E-4</v>
      </c>
      <c r="N1110" s="182">
        <v>6.1700000000000004E-4</v>
      </c>
      <c r="O1110" s="182">
        <v>6.1700000000000004E-4</v>
      </c>
      <c r="P1110" s="182">
        <v>6.1700000000000004E-4</v>
      </c>
      <c r="R1110" s="154" t="str">
        <f t="shared" si="51"/>
        <v>A0653:NTTアノードエナジー(株)メニューA</v>
      </c>
      <c r="S1110" s="182">
        <f t="shared" si="52"/>
        <v>0</v>
      </c>
    </row>
    <row r="1111" spans="9:19">
      <c r="I1111" s="124" t="s">
        <v>1185</v>
      </c>
      <c r="J1111" s="124" t="s">
        <v>1186</v>
      </c>
      <c r="K1111" s="124" t="s">
        <v>398</v>
      </c>
      <c r="L1111" s="124">
        <v>4.4799999999999999E-4</v>
      </c>
      <c r="M1111" s="182">
        <v>6.1700000000000004E-4</v>
      </c>
      <c r="N1111" s="182">
        <v>6.1700000000000004E-4</v>
      </c>
      <c r="O1111" s="182">
        <v>6.1700000000000004E-4</v>
      </c>
      <c r="P1111" s="182">
        <v>6.1700000000000004E-4</v>
      </c>
      <c r="R1111" s="154" t="str">
        <f t="shared" si="51"/>
        <v>A0653:NTTアノードエナジー(株)メニューB</v>
      </c>
      <c r="S1111" s="182">
        <f t="shared" si="52"/>
        <v>4.4799999999999999E-4</v>
      </c>
    </row>
    <row r="1112" spans="9:19">
      <c r="I1112" s="124" t="s">
        <v>1185</v>
      </c>
      <c r="J1112" s="124" t="s">
        <v>1186</v>
      </c>
      <c r="K1112" s="124" t="s">
        <v>2010</v>
      </c>
      <c r="L1112" s="124">
        <v>8.8999999999999995E-5</v>
      </c>
      <c r="M1112" s="182">
        <v>6.1700000000000004E-4</v>
      </c>
      <c r="N1112" s="182">
        <v>6.1700000000000004E-4</v>
      </c>
      <c r="O1112" s="182">
        <v>6.1700000000000004E-4</v>
      </c>
      <c r="P1112" s="182">
        <v>6.1700000000000004E-4</v>
      </c>
      <c r="R1112" s="154" t="str">
        <f t="shared" si="51"/>
        <v>A0653:NTTアノードエナジー(株)(参考値)事業者全体</v>
      </c>
      <c r="S1112" s="182">
        <f t="shared" si="52"/>
        <v>8.8999999999999995E-5</v>
      </c>
    </row>
    <row r="1113" spans="9:19">
      <c r="I1113" s="124" t="s">
        <v>1187</v>
      </c>
      <c r="J1113" s="124" t="s">
        <v>1188</v>
      </c>
      <c r="K1113" s="124"/>
      <c r="L1113" s="124">
        <v>3.4699999999999998E-4</v>
      </c>
      <c r="M1113" s="182">
        <v>6.1700000000000004E-4</v>
      </c>
      <c r="N1113" s="182">
        <v>6.1700000000000004E-4</v>
      </c>
      <c r="O1113" s="182">
        <v>6.1700000000000004E-4</v>
      </c>
      <c r="P1113" s="182">
        <v>6.1700000000000004E-4</v>
      </c>
      <c r="R1113" s="154" t="str">
        <f t="shared" si="51"/>
        <v>A0654:スマート電気(株)</v>
      </c>
      <c r="S1113" s="182">
        <f t="shared" si="52"/>
        <v>3.4699999999999998E-4</v>
      </c>
    </row>
    <row r="1114" spans="9:19">
      <c r="I1114" s="124" t="s">
        <v>1189</v>
      </c>
      <c r="J1114" s="124" t="s">
        <v>1190</v>
      </c>
      <c r="K1114" s="124"/>
      <c r="L1114" s="124">
        <v>5.53E-4</v>
      </c>
      <c r="M1114" s="182">
        <v>6.1700000000000004E-4</v>
      </c>
      <c r="N1114" s="182">
        <v>6.1700000000000004E-4</v>
      </c>
      <c r="O1114" s="182">
        <v>6.1700000000000004E-4</v>
      </c>
      <c r="P1114" s="182">
        <v>6.1700000000000004E-4</v>
      </c>
      <c r="R1114" s="154" t="str">
        <f t="shared" si="51"/>
        <v>A0655:(株)唐津パワーホールディングス</v>
      </c>
      <c r="S1114" s="182">
        <f t="shared" si="52"/>
        <v>5.53E-4</v>
      </c>
    </row>
    <row r="1115" spans="9:19">
      <c r="I1115" s="124" t="s">
        <v>1191</v>
      </c>
      <c r="J1115" s="124" t="s">
        <v>1192</v>
      </c>
      <c r="K1115" s="124" t="s">
        <v>390</v>
      </c>
      <c r="L1115" s="124">
        <v>0</v>
      </c>
      <c r="M1115" s="182">
        <v>6.1700000000000004E-4</v>
      </c>
      <c r="N1115" s="182">
        <v>6.1700000000000004E-4</v>
      </c>
      <c r="O1115" s="182">
        <v>6.1700000000000004E-4</v>
      </c>
      <c r="P1115" s="182">
        <v>6.1700000000000004E-4</v>
      </c>
      <c r="R1115" s="154" t="str">
        <f t="shared" si="51"/>
        <v>A0656:(株)クリーンエネルギー総合研究所メニューA</v>
      </c>
      <c r="S1115" s="182">
        <f t="shared" si="52"/>
        <v>0</v>
      </c>
    </row>
    <row r="1116" spans="9:19">
      <c r="I1116" s="124" t="s">
        <v>1191</v>
      </c>
      <c r="J1116" s="124" t="s">
        <v>1192</v>
      </c>
      <c r="K1116" s="124" t="s">
        <v>398</v>
      </c>
      <c r="L1116" s="124">
        <v>3.4000000000000002E-4</v>
      </c>
      <c r="M1116" s="182">
        <v>6.1700000000000004E-4</v>
      </c>
      <c r="N1116" s="182">
        <v>6.1700000000000004E-4</v>
      </c>
      <c r="O1116" s="182">
        <v>6.1700000000000004E-4</v>
      </c>
      <c r="P1116" s="182">
        <v>6.1700000000000004E-4</v>
      </c>
      <c r="R1116" s="154" t="str">
        <f t="shared" si="51"/>
        <v>A0656:(株)クリーンエネルギー総合研究所メニューB</v>
      </c>
      <c r="S1116" s="182">
        <f t="shared" si="52"/>
        <v>3.4000000000000002E-4</v>
      </c>
    </row>
    <row r="1117" spans="9:19">
      <c r="I1117" s="124" t="s">
        <v>1191</v>
      </c>
      <c r="J1117" s="124" t="s">
        <v>1192</v>
      </c>
      <c r="K1117" s="124" t="s">
        <v>399</v>
      </c>
      <c r="L1117" s="124">
        <v>2.9599999999999998E-4</v>
      </c>
      <c r="M1117" s="182">
        <v>6.1700000000000004E-4</v>
      </c>
      <c r="N1117" s="182">
        <v>6.1700000000000004E-4</v>
      </c>
      <c r="O1117" s="182">
        <v>6.1700000000000004E-4</v>
      </c>
      <c r="P1117" s="182">
        <v>6.1700000000000004E-4</v>
      </c>
      <c r="R1117" s="154" t="str">
        <f t="shared" si="51"/>
        <v>A0656:(株)クリーンエネルギー総合研究所メニューC</v>
      </c>
      <c r="S1117" s="182">
        <f t="shared" si="52"/>
        <v>2.9599999999999998E-4</v>
      </c>
    </row>
    <row r="1118" spans="9:19">
      <c r="I1118" s="124" t="s">
        <v>1191</v>
      </c>
      <c r="J1118" s="124" t="s">
        <v>1192</v>
      </c>
      <c r="K1118" s="124" t="s">
        <v>400</v>
      </c>
      <c r="L1118" s="124">
        <v>5.1900000000000004E-4</v>
      </c>
      <c r="M1118" s="182">
        <v>6.1700000000000004E-4</v>
      </c>
      <c r="N1118" s="182">
        <v>6.1700000000000004E-4</v>
      </c>
      <c r="O1118" s="182">
        <v>6.1700000000000004E-4</v>
      </c>
      <c r="P1118" s="182">
        <v>6.1700000000000004E-4</v>
      </c>
      <c r="R1118" s="154" t="str">
        <f t="shared" si="51"/>
        <v>A0656:(株)クリーンエネルギー総合研究所メニューD</v>
      </c>
      <c r="S1118" s="182">
        <f t="shared" si="52"/>
        <v>5.1900000000000004E-4</v>
      </c>
    </row>
    <row r="1119" spans="9:19">
      <c r="I1119" s="124" t="s">
        <v>1191</v>
      </c>
      <c r="J1119" s="124" t="s">
        <v>1192</v>
      </c>
      <c r="K1119" s="124" t="s">
        <v>2010</v>
      </c>
      <c r="L1119" s="124">
        <v>4.2000000000000002E-4</v>
      </c>
      <c r="M1119" s="182">
        <v>6.1700000000000004E-4</v>
      </c>
      <c r="N1119" s="182">
        <v>6.1700000000000004E-4</v>
      </c>
      <c r="O1119" s="182">
        <v>6.1700000000000004E-4</v>
      </c>
      <c r="P1119" s="182">
        <v>6.1700000000000004E-4</v>
      </c>
      <c r="R1119" s="154" t="str">
        <f t="shared" si="51"/>
        <v>A0656:(株)クリーンエネルギー総合研究所(参考値)事業者全体</v>
      </c>
      <c r="S1119" s="182">
        <f t="shared" si="52"/>
        <v>4.2000000000000002E-4</v>
      </c>
    </row>
    <row r="1120" spans="9:19">
      <c r="I1120" s="124" t="s">
        <v>1193</v>
      </c>
      <c r="J1120" s="124" t="s">
        <v>1194</v>
      </c>
      <c r="K1120" s="124"/>
      <c r="L1120" s="124">
        <v>0</v>
      </c>
      <c r="M1120" s="182">
        <v>6.1700000000000004E-4</v>
      </c>
      <c r="N1120" s="182">
        <v>6.1700000000000004E-4</v>
      </c>
      <c r="O1120" s="182">
        <v>6.1700000000000004E-4</v>
      </c>
      <c r="P1120" s="182">
        <v>6.1700000000000004E-4</v>
      </c>
      <c r="R1120" s="154" t="str">
        <f t="shared" si="51"/>
        <v>A0659:(株)かづのパワー</v>
      </c>
      <c r="S1120" s="182">
        <f t="shared" si="52"/>
        <v>0</v>
      </c>
    </row>
    <row r="1121" spans="9:19">
      <c r="I1121" s="124" t="s">
        <v>1195</v>
      </c>
      <c r="J1121" s="124" t="s">
        <v>1196</v>
      </c>
      <c r="K1121" s="124" t="s">
        <v>390</v>
      </c>
      <c r="L1121" s="124">
        <v>0</v>
      </c>
      <c r="M1121" s="182">
        <v>6.1700000000000004E-4</v>
      </c>
      <c r="N1121" s="182">
        <v>6.1700000000000004E-4</v>
      </c>
      <c r="O1121" s="182">
        <v>6.1700000000000004E-4</v>
      </c>
      <c r="P1121" s="182">
        <v>6.1700000000000004E-4</v>
      </c>
      <c r="R1121" s="154" t="str">
        <f t="shared" si="51"/>
        <v>A0660:UNIVERGY(株)メニューA</v>
      </c>
      <c r="S1121" s="182">
        <f t="shared" si="52"/>
        <v>0</v>
      </c>
    </row>
    <row r="1122" spans="9:19">
      <c r="I1122" s="124" t="s">
        <v>1195</v>
      </c>
      <c r="J1122" s="124" t="s">
        <v>1196</v>
      </c>
      <c r="K1122" s="124" t="s">
        <v>2010</v>
      </c>
      <c r="L1122" s="124">
        <v>5.6000000000000006E-4</v>
      </c>
      <c r="M1122" s="182">
        <v>6.1700000000000004E-4</v>
      </c>
      <c r="N1122" s="182">
        <v>6.1700000000000004E-4</v>
      </c>
      <c r="O1122" s="182">
        <v>6.1700000000000004E-4</v>
      </c>
      <c r="P1122" s="182">
        <v>6.1700000000000004E-4</v>
      </c>
      <c r="R1122" s="154" t="str">
        <f t="shared" si="51"/>
        <v>A0660:UNIVERGY(株)(参考値)事業者全体</v>
      </c>
      <c r="S1122" s="182">
        <f t="shared" si="52"/>
        <v>5.6000000000000006E-4</v>
      </c>
    </row>
    <row r="1123" spans="9:19">
      <c r="I1123" s="124" t="s">
        <v>1197</v>
      </c>
      <c r="J1123" s="124" t="s">
        <v>1198</v>
      </c>
      <c r="K1123" s="124"/>
      <c r="L1123" s="124">
        <v>2.3000000000000001E-4</v>
      </c>
      <c r="M1123" s="182">
        <v>6.1700000000000004E-4</v>
      </c>
      <c r="N1123" s="182">
        <v>6.1700000000000004E-4</v>
      </c>
      <c r="O1123" s="182">
        <v>6.1700000000000004E-4</v>
      </c>
      <c r="P1123" s="182">
        <v>6.1700000000000004E-4</v>
      </c>
      <c r="R1123" s="154" t="str">
        <f t="shared" si="51"/>
        <v>A0661:JR西日本住宅サービス(株)</v>
      </c>
      <c r="S1123" s="182">
        <f t="shared" si="52"/>
        <v>2.3000000000000001E-4</v>
      </c>
    </row>
    <row r="1124" spans="9:19">
      <c r="I1124" s="124" t="s">
        <v>1199</v>
      </c>
      <c r="J1124" s="124" t="s">
        <v>1200</v>
      </c>
      <c r="K1124" s="124" t="s">
        <v>390</v>
      </c>
      <c r="L1124" s="124">
        <v>0</v>
      </c>
      <c r="M1124" s="182">
        <v>6.1700000000000004E-4</v>
      </c>
      <c r="N1124" s="182">
        <v>6.1700000000000004E-4</v>
      </c>
      <c r="O1124" s="182">
        <v>6.1700000000000004E-4</v>
      </c>
      <c r="P1124" s="182">
        <v>6.1700000000000004E-4</v>
      </c>
      <c r="R1124" s="154" t="str">
        <f t="shared" si="51"/>
        <v>A0664:デジタルグリッド(株)メニューA</v>
      </c>
      <c r="S1124" s="182">
        <f t="shared" si="52"/>
        <v>0</v>
      </c>
    </row>
    <row r="1125" spans="9:19">
      <c r="I1125" s="124" t="s">
        <v>1199</v>
      </c>
      <c r="J1125" s="124" t="s">
        <v>1200</v>
      </c>
      <c r="K1125" s="124" t="s">
        <v>398</v>
      </c>
      <c r="L1125" s="124">
        <v>2.12E-4</v>
      </c>
      <c r="M1125" s="182">
        <v>6.1700000000000004E-4</v>
      </c>
      <c r="N1125" s="182">
        <v>6.1700000000000004E-4</v>
      </c>
      <c r="O1125" s="182">
        <v>6.1700000000000004E-4</v>
      </c>
      <c r="P1125" s="182">
        <v>6.1700000000000004E-4</v>
      </c>
      <c r="R1125" s="154" t="str">
        <f t="shared" si="51"/>
        <v>A0664:デジタルグリッド(株)メニューB</v>
      </c>
      <c r="S1125" s="182">
        <f t="shared" si="52"/>
        <v>2.12E-4</v>
      </c>
    </row>
    <row r="1126" spans="9:19">
      <c r="I1126" s="124" t="s">
        <v>1199</v>
      </c>
      <c r="J1126" s="124" t="s">
        <v>1200</v>
      </c>
      <c r="K1126" s="124" t="s">
        <v>399</v>
      </c>
      <c r="L1126" s="124">
        <v>3.1800000000000003E-4</v>
      </c>
      <c r="M1126" s="182">
        <v>6.1700000000000004E-4</v>
      </c>
      <c r="N1126" s="182">
        <v>6.1700000000000004E-4</v>
      </c>
      <c r="O1126" s="182">
        <v>6.1700000000000004E-4</v>
      </c>
      <c r="P1126" s="182">
        <v>6.1700000000000004E-4</v>
      </c>
      <c r="R1126" s="154" t="str">
        <f t="shared" si="51"/>
        <v>A0664:デジタルグリッド(株)メニューC</v>
      </c>
      <c r="S1126" s="182">
        <f t="shared" si="52"/>
        <v>3.1800000000000003E-4</v>
      </c>
    </row>
    <row r="1127" spans="9:19">
      <c r="I1127" s="124" t="s">
        <v>1199</v>
      </c>
      <c r="J1127" s="124" t="s">
        <v>1200</v>
      </c>
      <c r="K1127" s="124" t="s">
        <v>400</v>
      </c>
      <c r="L1127" s="124">
        <v>3.3900000000000005E-4</v>
      </c>
      <c r="M1127" s="182">
        <v>6.1700000000000004E-4</v>
      </c>
      <c r="N1127" s="182">
        <v>6.1700000000000004E-4</v>
      </c>
      <c r="O1127" s="182">
        <v>6.1700000000000004E-4</v>
      </c>
      <c r="P1127" s="182">
        <v>6.1700000000000004E-4</v>
      </c>
      <c r="R1127" s="154" t="str">
        <f t="shared" si="51"/>
        <v>A0664:デジタルグリッド(株)メニューD</v>
      </c>
      <c r="S1127" s="182">
        <f t="shared" si="52"/>
        <v>3.3900000000000005E-4</v>
      </c>
    </row>
    <row r="1128" spans="9:19">
      <c r="I1128" s="124" t="s">
        <v>1199</v>
      </c>
      <c r="J1128" s="124" t="s">
        <v>1200</v>
      </c>
      <c r="K1128" s="124" t="s">
        <v>401</v>
      </c>
      <c r="L1128" s="124">
        <v>3.3700000000000001E-4</v>
      </c>
      <c r="M1128" s="182">
        <v>6.1700000000000004E-4</v>
      </c>
      <c r="N1128" s="182">
        <v>6.1700000000000004E-4</v>
      </c>
      <c r="O1128" s="182">
        <v>6.1700000000000004E-4</v>
      </c>
      <c r="P1128" s="182">
        <v>6.1700000000000004E-4</v>
      </c>
      <c r="R1128" s="154" t="str">
        <f t="shared" si="51"/>
        <v>A0664:デジタルグリッド(株)メニューE</v>
      </c>
      <c r="S1128" s="182">
        <f t="shared" si="52"/>
        <v>3.3700000000000001E-4</v>
      </c>
    </row>
    <row r="1129" spans="9:19">
      <c r="I1129" s="124" t="s">
        <v>1199</v>
      </c>
      <c r="J1129" s="124" t="s">
        <v>1200</v>
      </c>
      <c r="K1129" s="124" t="s">
        <v>414</v>
      </c>
      <c r="L1129" s="124">
        <v>3.5500000000000001E-4</v>
      </c>
      <c r="M1129" s="182">
        <v>6.1700000000000004E-4</v>
      </c>
      <c r="N1129" s="182">
        <v>6.1700000000000004E-4</v>
      </c>
      <c r="O1129" s="182">
        <v>6.1700000000000004E-4</v>
      </c>
      <c r="P1129" s="182">
        <v>6.1700000000000004E-4</v>
      </c>
      <c r="R1129" s="154" t="str">
        <f t="shared" si="51"/>
        <v>A0664:デジタルグリッド(株)メニューF</v>
      </c>
      <c r="S1129" s="182">
        <f t="shared" si="52"/>
        <v>3.5500000000000001E-4</v>
      </c>
    </row>
    <row r="1130" spans="9:19">
      <c r="I1130" s="124" t="s">
        <v>1199</v>
      </c>
      <c r="J1130" s="124" t="s">
        <v>1200</v>
      </c>
      <c r="K1130" s="124" t="s">
        <v>415</v>
      </c>
      <c r="L1130" s="124">
        <v>5.9999999999999995E-4</v>
      </c>
      <c r="M1130" s="182">
        <v>6.1700000000000004E-4</v>
      </c>
      <c r="N1130" s="182">
        <v>6.1700000000000004E-4</v>
      </c>
      <c r="O1130" s="182">
        <v>6.1700000000000004E-4</v>
      </c>
      <c r="P1130" s="182">
        <v>6.1700000000000004E-4</v>
      </c>
      <c r="R1130" s="154" t="str">
        <f t="shared" si="51"/>
        <v>A0664:デジタルグリッド(株)メニューG</v>
      </c>
      <c r="S1130" s="182">
        <f t="shared" si="52"/>
        <v>5.9999999999999995E-4</v>
      </c>
    </row>
    <row r="1131" spans="9:19">
      <c r="I1131" s="124" t="s">
        <v>1199</v>
      </c>
      <c r="J1131" s="124" t="s">
        <v>1200</v>
      </c>
      <c r="K1131" s="124" t="s">
        <v>2010</v>
      </c>
      <c r="L1131" s="124">
        <v>5.0199999999999995E-4</v>
      </c>
      <c r="M1131" s="182">
        <v>6.1700000000000004E-4</v>
      </c>
      <c r="N1131" s="182">
        <v>6.1700000000000004E-4</v>
      </c>
      <c r="O1131" s="182">
        <v>6.1700000000000004E-4</v>
      </c>
      <c r="P1131" s="182">
        <v>6.1700000000000004E-4</v>
      </c>
      <c r="R1131" s="154" t="str">
        <f t="shared" si="51"/>
        <v>A0664:デジタルグリッド(株)(参考値)事業者全体</v>
      </c>
      <c r="S1131" s="182">
        <f t="shared" si="52"/>
        <v>5.0199999999999995E-4</v>
      </c>
    </row>
    <row r="1132" spans="9:19">
      <c r="I1132" s="124" t="s">
        <v>1201</v>
      </c>
      <c r="J1132" s="124" t="s">
        <v>1202</v>
      </c>
      <c r="K1132" s="124" t="s">
        <v>390</v>
      </c>
      <c r="L1132" s="124">
        <v>0</v>
      </c>
      <c r="M1132" s="182">
        <v>6.1700000000000004E-4</v>
      </c>
      <c r="N1132" s="182">
        <v>6.1700000000000004E-4</v>
      </c>
      <c r="O1132" s="182">
        <v>6.1700000000000004E-4</v>
      </c>
      <c r="P1132" s="182">
        <v>6.1700000000000004E-4</v>
      </c>
      <c r="R1132" s="154" t="str">
        <f t="shared" si="51"/>
        <v>A0666:(株)西九州させぼパワーズメニューA</v>
      </c>
      <c r="S1132" s="182">
        <f t="shared" si="52"/>
        <v>0</v>
      </c>
    </row>
    <row r="1133" spans="9:19">
      <c r="I1133" s="124" t="s">
        <v>1201</v>
      </c>
      <c r="J1133" s="124" t="s">
        <v>1202</v>
      </c>
      <c r="K1133" s="124" t="s">
        <v>398</v>
      </c>
      <c r="L1133" s="124">
        <v>3.9300000000000001E-4</v>
      </c>
      <c r="M1133" s="182">
        <v>6.1700000000000004E-4</v>
      </c>
      <c r="N1133" s="182">
        <v>6.1700000000000004E-4</v>
      </c>
      <c r="O1133" s="182">
        <v>6.1700000000000004E-4</v>
      </c>
      <c r="P1133" s="182">
        <v>6.1700000000000004E-4</v>
      </c>
      <c r="R1133" s="154" t="str">
        <f t="shared" si="51"/>
        <v>A0666:(株)西九州させぼパワーズメニューB</v>
      </c>
      <c r="S1133" s="182">
        <f t="shared" si="52"/>
        <v>3.9300000000000001E-4</v>
      </c>
    </row>
    <row r="1134" spans="9:19">
      <c r="I1134" s="124" t="s">
        <v>1201</v>
      </c>
      <c r="J1134" s="124" t="s">
        <v>1202</v>
      </c>
      <c r="K1134" s="124" t="s">
        <v>399</v>
      </c>
      <c r="L1134" s="124">
        <v>5.6499999999999996E-4</v>
      </c>
      <c r="M1134" s="182">
        <v>6.1700000000000004E-4</v>
      </c>
      <c r="N1134" s="182">
        <v>6.1700000000000004E-4</v>
      </c>
      <c r="O1134" s="182">
        <v>6.1700000000000004E-4</v>
      </c>
      <c r="P1134" s="182">
        <v>6.1700000000000004E-4</v>
      </c>
      <c r="R1134" s="154" t="str">
        <f t="shared" si="51"/>
        <v>A0666:(株)西九州させぼパワーズメニューC</v>
      </c>
      <c r="S1134" s="182">
        <f t="shared" si="52"/>
        <v>5.6499999999999996E-4</v>
      </c>
    </row>
    <row r="1135" spans="9:19">
      <c r="I1135" s="124" t="s">
        <v>1201</v>
      </c>
      <c r="J1135" s="124" t="s">
        <v>1202</v>
      </c>
      <c r="K1135" s="124" t="s">
        <v>2010</v>
      </c>
      <c r="L1135" s="124">
        <v>5.4699999999999996E-4</v>
      </c>
      <c r="M1135" s="182">
        <v>6.1700000000000004E-4</v>
      </c>
      <c r="N1135" s="182">
        <v>6.1700000000000004E-4</v>
      </c>
      <c r="O1135" s="182">
        <v>6.1700000000000004E-4</v>
      </c>
      <c r="P1135" s="182">
        <v>6.1700000000000004E-4</v>
      </c>
      <c r="R1135" s="154" t="str">
        <f t="shared" si="51"/>
        <v>A0666:(株)西九州させぼパワーズ(参考値)事業者全体</v>
      </c>
      <c r="S1135" s="182">
        <f t="shared" si="52"/>
        <v>5.4699999999999996E-4</v>
      </c>
    </row>
    <row r="1136" spans="9:19">
      <c r="I1136" s="124" t="s">
        <v>1203</v>
      </c>
      <c r="J1136" s="124" t="s">
        <v>1204</v>
      </c>
      <c r="K1136" s="124" t="s">
        <v>390</v>
      </c>
      <c r="L1136" s="124">
        <v>0</v>
      </c>
      <c r="M1136" s="182">
        <v>6.1700000000000004E-4</v>
      </c>
      <c r="N1136" s="182">
        <v>6.1700000000000004E-4</v>
      </c>
      <c r="O1136" s="182">
        <v>6.1700000000000004E-4</v>
      </c>
      <c r="P1136" s="182">
        <v>6.1700000000000004E-4</v>
      </c>
      <c r="R1136" s="154" t="str">
        <f t="shared" si="51"/>
        <v>A0667:たんたんエナジー(株)メニューA</v>
      </c>
      <c r="S1136" s="182">
        <f t="shared" si="52"/>
        <v>0</v>
      </c>
    </row>
    <row r="1137" spans="9:19">
      <c r="I1137" s="124" t="s">
        <v>1203</v>
      </c>
      <c r="J1137" s="124" t="s">
        <v>1204</v>
      </c>
      <c r="K1137" s="124" t="s">
        <v>398</v>
      </c>
      <c r="L1137" s="124">
        <v>3.4099999999999999E-4</v>
      </c>
      <c r="M1137" s="182">
        <v>6.1700000000000004E-4</v>
      </c>
      <c r="N1137" s="182">
        <v>6.1700000000000004E-4</v>
      </c>
      <c r="O1137" s="182">
        <v>6.1700000000000004E-4</v>
      </c>
      <c r="P1137" s="182">
        <v>6.1700000000000004E-4</v>
      </c>
      <c r="R1137" s="154" t="str">
        <f t="shared" si="51"/>
        <v>A0667:たんたんエナジー(株)メニューB</v>
      </c>
      <c r="S1137" s="182">
        <f t="shared" si="52"/>
        <v>3.4099999999999999E-4</v>
      </c>
    </row>
    <row r="1138" spans="9:19">
      <c r="I1138" s="124" t="s">
        <v>1203</v>
      </c>
      <c r="J1138" s="124" t="s">
        <v>1204</v>
      </c>
      <c r="K1138" s="124" t="s">
        <v>2010</v>
      </c>
      <c r="L1138" s="124">
        <v>0</v>
      </c>
      <c r="M1138" s="182">
        <v>6.1700000000000004E-4</v>
      </c>
      <c r="N1138" s="182">
        <v>6.1700000000000004E-4</v>
      </c>
      <c r="O1138" s="182">
        <v>6.1700000000000004E-4</v>
      </c>
      <c r="P1138" s="182">
        <v>6.1700000000000004E-4</v>
      </c>
      <c r="R1138" s="154" t="str">
        <f t="shared" si="51"/>
        <v>A0667:たんたんエナジー(株)(参考値)事業者全体</v>
      </c>
      <c r="S1138" s="182">
        <f t="shared" si="52"/>
        <v>0</v>
      </c>
    </row>
    <row r="1139" spans="9:19">
      <c r="I1139" s="124" t="s">
        <v>1205</v>
      </c>
      <c r="J1139" s="124" t="s">
        <v>1206</v>
      </c>
      <c r="K1139" s="124" t="s">
        <v>390</v>
      </c>
      <c r="L1139" s="124">
        <v>0</v>
      </c>
      <c r="M1139" s="182">
        <v>6.1700000000000004E-4</v>
      </c>
      <c r="N1139" s="182">
        <v>6.1700000000000004E-4</v>
      </c>
      <c r="O1139" s="182">
        <v>6.1700000000000004E-4</v>
      </c>
      <c r="P1139" s="182">
        <v>6.1700000000000004E-4</v>
      </c>
      <c r="R1139" s="154" t="str">
        <f t="shared" si="51"/>
        <v>A0668:(株)能勢・豊能まちづくりメニューA</v>
      </c>
      <c r="S1139" s="182">
        <f t="shared" si="52"/>
        <v>0</v>
      </c>
    </row>
    <row r="1140" spans="9:19">
      <c r="I1140" s="124" t="s">
        <v>1205</v>
      </c>
      <c r="J1140" s="124" t="s">
        <v>1206</v>
      </c>
      <c r="K1140" s="124" t="s">
        <v>398</v>
      </c>
      <c r="L1140" s="124">
        <v>0</v>
      </c>
      <c r="M1140" s="182">
        <v>6.1700000000000004E-4</v>
      </c>
      <c r="N1140" s="182">
        <v>6.1700000000000004E-4</v>
      </c>
      <c r="O1140" s="182">
        <v>6.1700000000000004E-4</v>
      </c>
      <c r="P1140" s="182">
        <v>6.1700000000000004E-4</v>
      </c>
      <c r="R1140" s="154" t="str">
        <f t="shared" si="51"/>
        <v>A0668:(株)能勢・豊能まちづくりメニューB</v>
      </c>
      <c r="S1140" s="182">
        <f t="shared" si="52"/>
        <v>0</v>
      </c>
    </row>
    <row r="1141" spans="9:19">
      <c r="I1141" s="124" t="s">
        <v>1205</v>
      </c>
      <c r="J1141" s="124" t="s">
        <v>1206</v>
      </c>
      <c r="K1141" s="124" t="s">
        <v>2010</v>
      </c>
      <c r="L1141" s="124">
        <v>0</v>
      </c>
      <c r="M1141" s="182">
        <v>6.1700000000000004E-4</v>
      </c>
      <c r="N1141" s="182">
        <v>6.1700000000000004E-4</v>
      </c>
      <c r="O1141" s="182">
        <v>6.1700000000000004E-4</v>
      </c>
      <c r="P1141" s="182">
        <v>6.1700000000000004E-4</v>
      </c>
      <c r="R1141" s="154" t="str">
        <f t="shared" si="51"/>
        <v>A0668:(株)能勢・豊能まちづくり(参考値)事業者全体</v>
      </c>
      <c r="S1141" s="182">
        <f t="shared" si="52"/>
        <v>0</v>
      </c>
    </row>
    <row r="1142" spans="9:19">
      <c r="I1142" s="124" t="s">
        <v>1207</v>
      </c>
      <c r="J1142" s="124" t="s">
        <v>1208</v>
      </c>
      <c r="K1142" s="124"/>
      <c r="L1142" s="124">
        <v>9.8999999999999994E-5</v>
      </c>
      <c r="M1142" s="182">
        <v>6.1700000000000004E-4</v>
      </c>
      <c r="N1142" s="182">
        <v>6.1700000000000004E-4</v>
      </c>
      <c r="O1142" s="182">
        <v>6.1700000000000004E-4</v>
      </c>
      <c r="P1142" s="182">
        <v>6.1700000000000004E-4</v>
      </c>
      <c r="R1142" s="154" t="str">
        <f t="shared" si="51"/>
        <v>A0670:(株)再エネ思考電力</v>
      </c>
      <c r="S1142" s="182">
        <f t="shared" si="52"/>
        <v>9.8999999999999994E-5</v>
      </c>
    </row>
    <row r="1143" spans="9:19">
      <c r="I1143" s="124" t="s">
        <v>1209</v>
      </c>
      <c r="J1143" s="124" t="s">
        <v>1210</v>
      </c>
      <c r="K1143" s="124"/>
      <c r="L1143" s="124">
        <v>4.9899999999999999E-4</v>
      </c>
      <c r="M1143" s="182">
        <v>6.1700000000000004E-4</v>
      </c>
      <c r="N1143" s="182">
        <v>6.1700000000000004E-4</v>
      </c>
      <c r="O1143" s="182">
        <v>6.1700000000000004E-4</v>
      </c>
      <c r="P1143" s="182">
        <v>6.1700000000000004E-4</v>
      </c>
      <c r="R1143" s="154" t="str">
        <f t="shared" si="51"/>
        <v>A0673:(株)ジャパネットサービスイノベーション</v>
      </c>
      <c r="S1143" s="182">
        <f t="shared" si="52"/>
        <v>4.9899999999999999E-4</v>
      </c>
    </row>
    <row r="1144" spans="9:19">
      <c r="I1144" s="124" t="s">
        <v>1211</v>
      </c>
      <c r="J1144" s="124" t="s">
        <v>1212</v>
      </c>
      <c r="K1144" s="124"/>
      <c r="L1144" s="124">
        <v>6.3000000000000003E-4</v>
      </c>
      <c r="M1144" s="182">
        <v>6.1700000000000004E-4</v>
      </c>
      <c r="N1144" s="182">
        <v>6.1700000000000004E-4</v>
      </c>
      <c r="O1144" s="182">
        <v>6.1700000000000004E-4</v>
      </c>
      <c r="P1144" s="182">
        <v>6.1700000000000004E-4</v>
      </c>
      <c r="R1144" s="154" t="str">
        <f t="shared" si="51"/>
        <v>A0676:KBN(株)</v>
      </c>
      <c r="S1144" s="182">
        <f t="shared" si="52"/>
        <v>6.3000000000000003E-4</v>
      </c>
    </row>
    <row r="1145" spans="9:19">
      <c r="I1145" s="124" t="s">
        <v>1213</v>
      </c>
      <c r="J1145" s="124" t="s">
        <v>1214</v>
      </c>
      <c r="K1145" s="124" t="s">
        <v>390</v>
      </c>
      <c r="L1145" s="124">
        <v>0</v>
      </c>
      <c r="M1145" s="182">
        <v>6.1700000000000004E-4</v>
      </c>
      <c r="N1145" s="182">
        <v>6.1700000000000004E-4</v>
      </c>
      <c r="O1145" s="182">
        <v>6.1700000000000004E-4</v>
      </c>
      <c r="P1145" s="182">
        <v>6.1700000000000004E-4</v>
      </c>
      <c r="R1145" s="154" t="str">
        <f t="shared" si="51"/>
        <v>A0677:(株)しおさい電力メニューA</v>
      </c>
      <c r="S1145" s="182">
        <f t="shared" si="52"/>
        <v>0</v>
      </c>
    </row>
    <row r="1146" spans="9:19">
      <c r="I1146" s="124" t="s">
        <v>1213</v>
      </c>
      <c r="J1146" s="124" t="s">
        <v>1214</v>
      </c>
      <c r="K1146" s="124" t="s">
        <v>398</v>
      </c>
      <c r="L1146" s="124">
        <v>0</v>
      </c>
      <c r="M1146" s="182">
        <v>6.1700000000000004E-4</v>
      </c>
      <c r="N1146" s="182">
        <v>6.1700000000000004E-4</v>
      </c>
      <c r="O1146" s="182">
        <v>6.1700000000000004E-4</v>
      </c>
      <c r="P1146" s="182">
        <v>6.1700000000000004E-4</v>
      </c>
      <c r="R1146" s="154" t="str">
        <f t="shared" si="51"/>
        <v>A0677:(株)しおさい電力メニューB</v>
      </c>
      <c r="S1146" s="182">
        <f t="shared" si="52"/>
        <v>0</v>
      </c>
    </row>
    <row r="1147" spans="9:19">
      <c r="I1147" s="124" t="s">
        <v>1213</v>
      </c>
      <c r="J1147" s="124" t="s">
        <v>1214</v>
      </c>
      <c r="K1147" s="124" t="s">
        <v>2010</v>
      </c>
      <c r="L1147" s="124">
        <v>4.4500000000000003E-4</v>
      </c>
      <c r="M1147" s="182">
        <v>6.1700000000000004E-4</v>
      </c>
      <c r="N1147" s="182">
        <v>6.1700000000000004E-4</v>
      </c>
      <c r="O1147" s="182">
        <v>6.1700000000000004E-4</v>
      </c>
      <c r="P1147" s="182">
        <v>6.1700000000000004E-4</v>
      </c>
      <c r="R1147" s="154" t="str">
        <f t="shared" si="51"/>
        <v>A0677:(株)しおさい電力(参考値)事業者全体</v>
      </c>
      <c r="S1147" s="182">
        <f t="shared" si="52"/>
        <v>4.4500000000000003E-4</v>
      </c>
    </row>
    <row r="1148" spans="9:19">
      <c r="I1148" s="124" t="s">
        <v>1215</v>
      </c>
      <c r="J1148" s="124" t="s">
        <v>1216</v>
      </c>
      <c r="K1148" s="124" t="s">
        <v>390</v>
      </c>
      <c r="L1148" s="124">
        <v>0</v>
      </c>
      <c r="M1148" s="182">
        <v>6.1700000000000004E-4</v>
      </c>
      <c r="N1148" s="182">
        <v>6.1700000000000004E-4</v>
      </c>
      <c r="O1148" s="182">
        <v>6.1700000000000004E-4</v>
      </c>
      <c r="P1148" s="182">
        <v>6.1700000000000004E-4</v>
      </c>
      <c r="R1148" s="154" t="str">
        <f t="shared" si="51"/>
        <v>A0680:会津エナジー(株)メニューA</v>
      </c>
      <c r="S1148" s="182">
        <f t="shared" si="52"/>
        <v>0</v>
      </c>
    </row>
    <row r="1149" spans="9:19">
      <c r="I1149" s="124" t="s">
        <v>1215</v>
      </c>
      <c r="J1149" s="124" t="s">
        <v>1216</v>
      </c>
      <c r="K1149" s="124" t="s">
        <v>398</v>
      </c>
      <c r="L1149" s="124">
        <v>0</v>
      </c>
      <c r="M1149" s="182">
        <v>6.1700000000000004E-4</v>
      </c>
      <c r="N1149" s="182">
        <v>6.1700000000000004E-4</v>
      </c>
      <c r="O1149" s="182">
        <v>6.1700000000000004E-4</v>
      </c>
      <c r="P1149" s="182">
        <v>6.1700000000000004E-4</v>
      </c>
      <c r="R1149" s="154" t="str">
        <f t="shared" si="51"/>
        <v>A0680:会津エナジー(株)メニューB</v>
      </c>
      <c r="S1149" s="182">
        <f t="shared" si="52"/>
        <v>0</v>
      </c>
    </row>
    <row r="1150" spans="9:19">
      <c r="I1150" s="124" t="s">
        <v>1215</v>
      </c>
      <c r="J1150" s="124" t="s">
        <v>1216</v>
      </c>
      <c r="K1150" s="124" t="s">
        <v>399</v>
      </c>
      <c r="L1150" s="124">
        <v>0</v>
      </c>
      <c r="M1150" s="182">
        <v>6.1700000000000004E-4</v>
      </c>
      <c r="N1150" s="182">
        <v>6.1700000000000004E-4</v>
      </c>
      <c r="O1150" s="182">
        <v>6.1700000000000004E-4</v>
      </c>
      <c r="P1150" s="182">
        <v>6.1700000000000004E-4</v>
      </c>
      <c r="R1150" s="154" t="str">
        <f t="shared" si="51"/>
        <v>A0680:会津エナジー(株)メニューC</v>
      </c>
      <c r="S1150" s="182">
        <f t="shared" si="52"/>
        <v>0</v>
      </c>
    </row>
    <row r="1151" spans="9:19">
      <c r="I1151" s="124" t="s">
        <v>1215</v>
      </c>
      <c r="J1151" s="124" t="s">
        <v>1216</v>
      </c>
      <c r="K1151" s="124" t="s">
        <v>400</v>
      </c>
      <c r="L1151" s="124">
        <v>0</v>
      </c>
      <c r="M1151" s="182">
        <v>6.1700000000000004E-4</v>
      </c>
      <c r="N1151" s="182">
        <v>6.1700000000000004E-4</v>
      </c>
      <c r="O1151" s="182">
        <v>6.1700000000000004E-4</v>
      </c>
      <c r="P1151" s="182">
        <v>6.1700000000000004E-4</v>
      </c>
      <c r="R1151" s="154" t="str">
        <f t="shared" si="51"/>
        <v>A0680:会津エナジー(株)メニューD</v>
      </c>
      <c r="S1151" s="182">
        <f t="shared" si="52"/>
        <v>0</v>
      </c>
    </row>
    <row r="1152" spans="9:19">
      <c r="I1152" s="124" t="s">
        <v>1215</v>
      </c>
      <c r="J1152" s="124" t="s">
        <v>1216</v>
      </c>
      <c r="K1152" s="124" t="s">
        <v>401</v>
      </c>
      <c r="L1152" s="124">
        <v>0</v>
      </c>
      <c r="M1152" s="182">
        <v>6.1700000000000004E-4</v>
      </c>
      <c r="N1152" s="182">
        <v>6.1700000000000004E-4</v>
      </c>
      <c r="O1152" s="182">
        <v>6.1700000000000004E-4</v>
      </c>
      <c r="P1152" s="182">
        <v>6.1700000000000004E-4</v>
      </c>
      <c r="R1152" s="154" t="str">
        <f t="shared" si="51"/>
        <v>A0680:会津エナジー(株)メニューE</v>
      </c>
      <c r="S1152" s="182">
        <f t="shared" si="52"/>
        <v>0</v>
      </c>
    </row>
    <row r="1153" spans="9:19">
      <c r="I1153" s="124" t="s">
        <v>1215</v>
      </c>
      <c r="J1153" s="124" t="s">
        <v>1216</v>
      </c>
      <c r="K1153" s="124" t="s">
        <v>414</v>
      </c>
      <c r="L1153" s="124">
        <v>0</v>
      </c>
      <c r="M1153" s="182">
        <v>6.1700000000000004E-4</v>
      </c>
      <c r="N1153" s="182">
        <v>6.1700000000000004E-4</v>
      </c>
      <c r="O1153" s="182">
        <v>6.1700000000000004E-4</v>
      </c>
      <c r="P1153" s="182">
        <v>6.1700000000000004E-4</v>
      </c>
      <c r="R1153" s="154" t="str">
        <f t="shared" si="51"/>
        <v>A0680:会津エナジー(株)メニューF</v>
      </c>
      <c r="S1153" s="182">
        <f t="shared" si="52"/>
        <v>0</v>
      </c>
    </row>
    <row r="1154" spans="9:19">
      <c r="I1154" s="124" t="s">
        <v>1215</v>
      </c>
      <c r="J1154" s="124" t="s">
        <v>1216</v>
      </c>
      <c r="K1154" s="124" t="s">
        <v>415</v>
      </c>
      <c r="L1154" s="124">
        <v>0</v>
      </c>
      <c r="M1154" s="182">
        <v>6.1700000000000004E-4</v>
      </c>
      <c r="N1154" s="182">
        <v>6.1700000000000004E-4</v>
      </c>
      <c r="O1154" s="182">
        <v>6.1700000000000004E-4</v>
      </c>
      <c r="P1154" s="182">
        <v>6.1700000000000004E-4</v>
      </c>
      <c r="R1154" s="154" t="str">
        <f t="shared" si="51"/>
        <v>A0680:会津エナジー(株)メニューG</v>
      </c>
      <c r="S1154" s="182">
        <f t="shared" si="52"/>
        <v>0</v>
      </c>
    </row>
    <row r="1155" spans="9:19">
      <c r="I1155" s="124" t="s">
        <v>1215</v>
      </c>
      <c r="J1155" s="124" t="s">
        <v>1216</v>
      </c>
      <c r="K1155" s="124" t="s">
        <v>416</v>
      </c>
      <c r="L1155" s="124">
        <v>0</v>
      </c>
      <c r="M1155" s="182">
        <v>6.1700000000000004E-4</v>
      </c>
      <c r="N1155" s="182">
        <v>6.1700000000000004E-4</v>
      </c>
      <c r="O1155" s="182">
        <v>6.1700000000000004E-4</v>
      </c>
      <c r="P1155" s="182">
        <v>6.1700000000000004E-4</v>
      </c>
      <c r="R1155" s="154" t="str">
        <f t="shared" si="51"/>
        <v>A0680:会津エナジー(株)メニューH</v>
      </c>
      <c r="S1155" s="182">
        <f t="shared" si="52"/>
        <v>0</v>
      </c>
    </row>
    <row r="1156" spans="9:19">
      <c r="I1156" s="124" t="s">
        <v>1215</v>
      </c>
      <c r="J1156" s="124" t="s">
        <v>1216</v>
      </c>
      <c r="K1156" s="124" t="s">
        <v>417</v>
      </c>
      <c r="L1156" s="124">
        <v>0</v>
      </c>
      <c r="M1156" s="182">
        <v>6.1700000000000004E-4</v>
      </c>
      <c r="N1156" s="182">
        <v>6.1700000000000004E-4</v>
      </c>
      <c r="O1156" s="182">
        <v>6.1700000000000004E-4</v>
      </c>
      <c r="P1156" s="182">
        <v>6.1700000000000004E-4</v>
      </c>
      <c r="R1156" s="154" t="str">
        <f t="shared" si="51"/>
        <v>A0680:会津エナジー(株)メニューI</v>
      </c>
      <c r="S1156" s="182">
        <f t="shared" si="52"/>
        <v>0</v>
      </c>
    </row>
    <row r="1157" spans="9:19">
      <c r="I1157" s="124" t="s">
        <v>1215</v>
      </c>
      <c r="J1157" s="124" t="s">
        <v>1216</v>
      </c>
      <c r="K1157" s="124" t="s">
        <v>418</v>
      </c>
      <c r="L1157" s="124">
        <v>0</v>
      </c>
      <c r="M1157" s="182">
        <v>6.1700000000000004E-4</v>
      </c>
      <c r="N1157" s="182">
        <v>6.1700000000000004E-4</v>
      </c>
      <c r="O1157" s="182">
        <v>6.1700000000000004E-4</v>
      </c>
      <c r="P1157" s="182">
        <v>6.1700000000000004E-4</v>
      </c>
      <c r="R1157" s="154" t="str">
        <f t="shared" ref="R1157:R1220" si="53">I1157&amp;":"&amp;J1157&amp;K1157</f>
        <v>A0680:会津エナジー(株)メニューJ</v>
      </c>
      <c r="S1157" s="182">
        <f t="shared" si="52"/>
        <v>0</v>
      </c>
    </row>
    <row r="1158" spans="9:19">
      <c r="I1158" s="124" t="s">
        <v>1215</v>
      </c>
      <c r="J1158" s="124" t="s">
        <v>1216</v>
      </c>
      <c r="K1158" s="124" t="s">
        <v>432</v>
      </c>
      <c r="L1158" s="124">
        <v>0</v>
      </c>
      <c r="M1158" s="182">
        <v>6.1700000000000004E-4</v>
      </c>
      <c r="N1158" s="182">
        <v>6.1700000000000004E-4</v>
      </c>
      <c r="O1158" s="182">
        <v>6.1700000000000004E-4</v>
      </c>
      <c r="P1158" s="182">
        <v>6.1700000000000004E-4</v>
      </c>
      <c r="R1158" s="154" t="str">
        <f t="shared" si="53"/>
        <v>A0680:会津エナジー(株)メニューK</v>
      </c>
      <c r="S1158" s="182">
        <f t="shared" si="52"/>
        <v>0</v>
      </c>
    </row>
    <row r="1159" spans="9:19">
      <c r="I1159" s="124" t="s">
        <v>1215</v>
      </c>
      <c r="J1159" s="124" t="s">
        <v>1216</v>
      </c>
      <c r="K1159" s="124" t="s">
        <v>2010</v>
      </c>
      <c r="L1159" s="124">
        <v>1.34E-4</v>
      </c>
      <c r="M1159" s="182">
        <v>6.1700000000000004E-4</v>
      </c>
      <c r="N1159" s="182">
        <v>6.1700000000000004E-4</v>
      </c>
      <c r="O1159" s="182">
        <v>6.1700000000000004E-4</v>
      </c>
      <c r="P1159" s="182">
        <v>6.1700000000000004E-4</v>
      </c>
      <c r="R1159" s="154" t="str">
        <f t="shared" si="53"/>
        <v>A0680:会津エナジー(株)(参考値)事業者全体</v>
      </c>
      <c r="S1159" s="182">
        <f t="shared" si="52"/>
        <v>1.34E-4</v>
      </c>
    </row>
    <row r="1160" spans="9:19">
      <c r="I1160" s="124" t="s">
        <v>1217</v>
      </c>
      <c r="J1160" s="124" t="s">
        <v>1218</v>
      </c>
      <c r="K1160" s="124" t="s">
        <v>390</v>
      </c>
      <c r="L1160" s="124">
        <v>0</v>
      </c>
      <c r="M1160" s="182">
        <v>6.1700000000000004E-4</v>
      </c>
      <c r="N1160" s="182">
        <v>6.1700000000000004E-4</v>
      </c>
      <c r="O1160" s="182">
        <v>6.1700000000000004E-4</v>
      </c>
      <c r="P1160" s="182">
        <v>6.1700000000000004E-4</v>
      </c>
      <c r="R1160" s="154" t="str">
        <f t="shared" si="53"/>
        <v>A0681:うべ未来エネルギー(株)メニューA</v>
      </c>
      <c r="S1160" s="182">
        <f t="shared" si="52"/>
        <v>0</v>
      </c>
    </row>
    <row r="1161" spans="9:19">
      <c r="I1161" s="124" t="s">
        <v>1217</v>
      </c>
      <c r="J1161" s="124" t="s">
        <v>1218</v>
      </c>
      <c r="K1161" s="124" t="s">
        <v>2010</v>
      </c>
      <c r="L1161" s="124">
        <v>5.3600000000000002E-4</v>
      </c>
      <c r="M1161" s="182">
        <v>6.1700000000000004E-4</v>
      </c>
      <c r="N1161" s="182">
        <v>6.1700000000000004E-4</v>
      </c>
      <c r="O1161" s="182">
        <v>6.1700000000000004E-4</v>
      </c>
      <c r="P1161" s="182">
        <v>6.1700000000000004E-4</v>
      </c>
      <c r="R1161" s="154" t="str">
        <f t="shared" si="53"/>
        <v>A0681:うべ未来エネルギー(株)(参考値)事業者全体</v>
      </c>
      <c r="S1161" s="182">
        <f t="shared" si="52"/>
        <v>5.3600000000000002E-4</v>
      </c>
    </row>
    <row r="1162" spans="9:19">
      <c r="I1162" s="124" t="s">
        <v>1219</v>
      </c>
      <c r="J1162" s="124" t="s">
        <v>1220</v>
      </c>
      <c r="K1162" s="124"/>
      <c r="L1162" s="124">
        <v>3.2600000000000001E-4</v>
      </c>
      <c r="M1162" s="182">
        <v>6.1700000000000004E-4</v>
      </c>
      <c r="N1162" s="182">
        <v>6.1700000000000004E-4</v>
      </c>
      <c r="O1162" s="182">
        <v>6.1700000000000004E-4</v>
      </c>
      <c r="P1162" s="182">
        <v>6.1700000000000004E-4</v>
      </c>
      <c r="R1162" s="154" t="str">
        <f t="shared" si="53"/>
        <v>A0683:永井自動車工業(株)</v>
      </c>
      <c r="S1162" s="182">
        <f t="shared" ref="S1162:S1225" si="54">HLOOKUP($S$8,$L$8:$P$1500,ROW()-7,FALSE)</f>
        <v>3.2600000000000001E-4</v>
      </c>
    </row>
    <row r="1163" spans="9:19">
      <c r="I1163" s="124" t="s">
        <v>1221</v>
      </c>
      <c r="J1163" s="124" t="s">
        <v>1222</v>
      </c>
      <c r="K1163" s="124"/>
      <c r="L1163" s="124">
        <v>4.46E-4</v>
      </c>
      <c r="M1163" s="182">
        <v>6.1700000000000004E-4</v>
      </c>
      <c r="N1163" s="182">
        <v>6.1700000000000004E-4</v>
      </c>
      <c r="O1163" s="182">
        <v>6.1700000000000004E-4</v>
      </c>
      <c r="P1163" s="182">
        <v>6.1700000000000004E-4</v>
      </c>
      <c r="R1163" s="154" t="str">
        <f t="shared" si="53"/>
        <v>A0685:陸前高田しみんエネルギー(株)</v>
      </c>
      <c r="S1163" s="182">
        <f t="shared" si="54"/>
        <v>4.46E-4</v>
      </c>
    </row>
    <row r="1164" spans="9:19">
      <c r="I1164" s="124" t="s">
        <v>1223</v>
      </c>
      <c r="J1164" s="124" t="s">
        <v>1224</v>
      </c>
      <c r="K1164" s="124"/>
      <c r="L1164" s="124">
        <v>5.4799999999999998E-4</v>
      </c>
      <c r="M1164" s="182">
        <v>6.1700000000000004E-4</v>
      </c>
      <c r="N1164" s="182">
        <v>6.1700000000000004E-4</v>
      </c>
      <c r="O1164" s="182">
        <v>6.1700000000000004E-4</v>
      </c>
      <c r="P1164" s="182">
        <v>6.1700000000000004E-4</v>
      </c>
      <c r="R1164" s="154" t="str">
        <f t="shared" si="53"/>
        <v>A0687:(株)チャームドライフ</v>
      </c>
      <c r="S1164" s="182">
        <f t="shared" si="54"/>
        <v>5.4799999999999998E-4</v>
      </c>
    </row>
    <row r="1165" spans="9:19">
      <c r="I1165" s="124" t="s">
        <v>1225</v>
      </c>
      <c r="J1165" s="124" t="s">
        <v>1226</v>
      </c>
      <c r="K1165" s="124" t="s">
        <v>390</v>
      </c>
      <c r="L1165" s="124">
        <v>2.3E-5</v>
      </c>
      <c r="M1165" s="182">
        <v>6.1700000000000004E-4</v>
      </c>
      <c r="N1165" s="182">
        <v>6.1700000000000004E-4</v>
      </c>
      <c r="O1165" s="182">
        <v>6.1700000000000004E-4</v>
      </c>
      <c r="P1165" s="182">
        <v>6.1700000000000004E-4</v>
      </c>
      <c r="R1165" s="154" t="str">
        <f t="shared" si="53"/>
        <v>A0689:スターティア(株)メニューA</v>
      </c>
      <c r="S1165" s="182">
        <f t="shared" si="54"/>
        <v>2.3E-5</v>
      </c>
    </row>
    <row r="1166" spans="9:19">
      <c r="I1166" s="124" t="s">
        <v>1225</v>
      </c>
      <c r="J1166" s="124" t="s">
        <v>1226</v>
      </c>
      <c r="K1166" s="124" t="s">
        <v>398</v>
      </c>
      <c r="L1166" s="124">
        <v>5.8900000000000001E-4</v>
      </c>
      <c r="M1166" s="182">
        <v>6.1700000000000004E-4</v>
      </c>
      <c r="N1166" s="182">
        <v>6.1700000000000004E-4</v>
      </c>
      <c r="O1166" s="182">
        <v>6.1700000000000004E-4</v>
      </c>
      <c r="P1166" s="182">
        <v>6.1700000000000004E-4</v>
      </c>
      <c r="R1166" s="154" t="str">
        <f t="shared" si="53"/>
        <v>A0689:スターティア(株)メニューB</v>
      </c>
      <c r="S1166" s="182">
        <f t="shared" si="54"/>
        <v>5.8900000000000001E-4</v>
      </c>
    </row>
    <row r="1167" spans="9:19">
      <c r="I1167" s="124" t="s">
        <v>1225</v>
      </c>
      <c r="J1167" s="124" t="s">
        <v>1226</v>
      </c>
      <c r="K1167" s="124" t="s">
        <v>2010</v>
      </c>
      <c r="L1167" s="124">
        <v>5.8799999999999998E-4</v>
      </c>
      <c r="M1167" s="182">
        <v>6.1700000000000004E-4</v>
      </c>
      <c r="N1167" s="182">
        <v>6.1700000000000004E-4</v>
      </c>
      <c r="O1167" s="182">
        <v>6.1700000000000004E-4</v>
      </c>
      <c r="P1167" s="182">
        <v>6.1700000000000004E-4</v>
      </c>
      <c r="R1167" s="154" t="str">
        <f t="shared" si="53"/>
        <v>A0689:スターティア(株)(参考値)事業者全体</v>
      </c>
      <c r="S1167" s="182">
        <f t="shared" si="54"/>
        <v>5.8799999999999998E-4</v>
      </c>
    </row>
    <row r="1168" spans="9:19">
      <c r="I1168" s="124" t="s">
        <v>1227</v>
      </c>
      <c r="J1168" s="124" t="s">
        <v>1228</v>
      </c>
      <c r="K1168" s="124"/>
      <c r="L1168" s="124">
        <v>3.7399999999999998E-4</v>
      </c>
      <c r="M1168" s="182">
        <v>6.1700000000000004E-4</v>
      </c>
      <c r="N1168" s="182">
        <v>6.1700000000000004E-4</v>
      </c>
      <c r="O1168" s="182">
        <v>6.1700000000000004E-4</v>
      </c>
      <c r="P1168" s="182">
        <v>6.1700000000000004E-4</v>
      </c>
      <c r="R1168" s="154" t="str">
        <f t="shared" si="53"/>
        <v>A0690:東広島スマートエネルギー(株)</v>
      </c>
      <c r="S1168" s="182">
        <f t="shared" si="54"/>
        <v>3.7399999999999998E-4</v>
      </c>
    </row>
    <row r="1169" spans="9:19">
      <c r="I1169" s="124" t="s">
        <v>1229</v>
      </c>
      <c r="J1169" s="124" t="s">
        <v>1230</v>
      </c>
      <c r="K1169" s="124" t="s">
        <v>390</v>
      </c>
      <c r="L1169" s="124">
        <v>3.5199999999999999E-4</v>
      </c>
      <c r="M1169" s="182">
        <v>6.1700000000000004E-4</v>
      </c>
      <c r="N1169" s="182">
        <v>6.1700000000000004E-4</v>
      </c>
      <c r="O1169" s="182">
        <v>6.1700000000000004E-4</v>
      </c>
      <c r="P1169" s="182">
        <v>6.1700000000000004E-4</v>
      </c>
      <c r="R1169" s="154" t="str">
        <f t="shared" si="53"/>
        <v>A0692:旭化成(株)メニューA</v>
      </c>
      <c r="S1169" s="182">
        <f t="shared" si="54"/>
        <v>3.5199999999999999E-4</v>
      </c>
    </row>
    <row r="1170" spans="9:19">
      <c r="I1170" s="124" t="s">
        <v>1229</v>
      </c>
      <c r="J1170" s="124" t="s">
        <v>1230</v>
      </c>
      <c r="K1170" s="124" t="s">
        <v>398</v>
      </c>
      <c r="L1170" s="124">
        <v>5.9900000000000003E-4</v>
      </c>
      <c r="M1170" s="182">
        <v>6.1700000000000004E-4</v>
      </c>
      <c r="N1170" s="182">
        <v>6.1700000000000004E-4</v>
      </c>
      <c r="O1170" s="182">
        <v>6.1700000000000004E-4</v>
      </c>
      <c r="P1170" s="182">
        <v>6.1700000000000004E-4</v>
      </c>
      <c r="R1170" s="154" t="str">
        <f t="shared" si="53"/>
        <v>A0692:旭化成(株)メニューB</v>
      </c>
      <c r="S1170" s="182">
        <f t="shared" si="54"/>
        <v>5.9900000000000003E-4</v>
      </c>
    </row>
    <row r="1171" spans="9:19">
      <c r="I1171" s="124" t="s">
        <v>1229</v>
      </c>
      <c r="J1171" s="124" t="s">
        <v>1230</v>
      </c>
      <c r="K1171" s="124" t="s">
        <v>399</v>
      </c>
      <c r="L1171" s="124">
        <v>3.77E-4</v>
      </c>
      <c r="M1171" s="182">
        <v>6.1700000000000004E-4</v>
      </c>
      <c r="N1171" s="182">
        <v>6.1700000000000004E-4</v>
      </c>
      <c r="O1171" s="182">
        <v>6.1700000000000004E-4</v>
      </c>
      <c r="P1171" s="182">
        <v>6.1700000000000004E-4</v>
      </c>
      <c r="R1171" s="154" t="str">
        <f t="shared" si="53"/>
        <v>A0692:旭化成(株)メニューC</v>
      </c>
      <c r="S1171" s="182">
        <f t="shared" si="54"/>
        <v>3.77E-4</v>
      </c>
    </row>
    <row r="1172" spans="9:19">
      <c r="I1172" s="124" t="s">
        <v>1229</v>
      </c>
      <c r="J1172" s="124" t="s">
        <v>1230</v>
      </c>
      <c r="K1172" s="124" t="s">
        <v>400</v>
      </c>
      <c r="L1172" s="124">
        <v>3.5399999999999999E-4</v>
      </c>
      <c r="M1172" s="182">
        <v>6.1700000000000004E-4</v>
      </c>
      <c r="N1172" s="182">
        <v>6.1700000000000004E-4</v>
      </c>
      <c r="O1172" s="182">
        <v>6.1700000000000004E-4</v>
      </c>
      <c r="P1172" s="182">
        <v>6.1700000000000004E-4</v>
      </c>
      <c r="R1172" s="154" t="str">
        <f t="shared" si="53"/>
        <v>A0692:旭化成(株)メニューD</v>
      </c>
      <c r="S1172" s="182">
        <f t="shared" si="54"/>
        <v>3.5399999999999999E-4</v>
      </c>
    </row>
    <row r="1173" spans="9:19">
      <c r="I1173" s="124" t="s">
        <v>1229</v>
      </c>
      <c r="J1173" s="124" t="s">
        <v>1230</v>
      </c>
      <c r="K1173" s="124" t="s">
        <v>401</v>
      </c>
      <c r="L1173" s="124">
        <v>3.5999999999999997E-4</v>
      </c>
      <c r="M1173" s="182">
        <v>6.1700000000000004E-4</v>
      </c>
      <c r="N1173" s="182">
        <v>6.1700000000000004E-4</v>
      </c>
      <c r="O1173" s="182">
        <v>6.1700000000000004E-4</v>
      </c>
      <c r="P1173" s="182">
        <v>6.1700000000000004E-4</v>
      </c>
      <c r="R1173" s="154" t="str">
        <f t="shared" si="53"/>
        <v>A0692:旭化成(株)メニューE</v>
      </c>
      <c r="S1173" s="182">
        <f t="shared" si="54"/>
        <v>3.5999999999999997E-4</v>
      </c>
    </row>
    <row r="1174" spans="9:19">
      <c r="I1174" s="124" t="s">
        <v>1229</v>
      </c>
      <c r="J1174" s="124" t="s">
        <v>1230</v>
      </c>
      <c r="K1174" s="124" t="s">
        <v>414</v>
      </c>
      <c r="L1174" s="124">
        <v>0</v>
      </c>
      <c r="M1174" s="182">
        <v>6.1700000000000004E-4</v>
      </c>
      <c r="N1174" s="182">
        <v>6.1700000000000004E-4</v>
      </c>
      <c r="O1174" s="182">
        <v>6.1700000000000004E-4</v>
      </c>
      <c r="P1174" s="182">
        <v>6.1700000000000004E-4</v>
      </c>
      <c r="R1174" s="154" t="str">
        <f t="shared" si="53"/>
        <v>A0692:旭化成(株)メニューF</v>
      </c>
      <c r="S1174" s="182">
        <f t="shared" si="54"/>
        <v>0</v>
      </c>
    </row>
    <row r="1175" spans="9:19">
      <c r="I1175" s="124" t="s">
        <v>1229</v>
      </c>
      <c r="J1175" s="124" t="s">
        <v>1230</v>
      </c>
      <c r="K1175" s="124" t="s">
        <v>415</v>
      </c>
      <c r="L1175" s="124">
        <v>0</v>
      </c>
      <c r="M1175" s="182">
        <v>6.1700000000000004E-4</v>
      </c>
      <c r="N1175" s="182">
        <v>6.1700000000000004E-4</v>
      </c>
      <c r="O1175" s="182">
        <v>6.1700000000000004E-4</v>
      </c>
      <c r="P1175" s="182">
        <v>6.1700000000000004E-4</v>
      </c>
      <c r="R1175" s="154" t="str">
        <f t="shared" si="53"/>
        <v>A0692:旭化成(株)メニューG</v>
      </c>
      <c r="S1175" s="182">
        <f t="shared" si="54"/>
        <v>0</v>
      </c>
    </row>
    <row r="1176" spans="9:19">
      <c r="I1176" s="124" t="s">
        <v>1229</v>
      </c>
      <c r="J1176" s="124" t="s">
        <v>1230</v>
      </c>
      <c r="K1176" s="124" t="s">
        <v>2010</v>
      </c>
      <c r="L1176" s="124">
        <v>3.9800000000000002E-4</v>
      </c>
      <c r="M1176" s="182">
        <v>6.1700000000000004E-4</v>
      </c>
      <c r="N1176" s="182">
        <v>6.1700000000000004E-4</v>
      </c>
      <c r="O1176" s="182">
        <v>6.1700000000000004E-4</v>
      </c>
      <c r="P1176" s="182">
        <v>6.1700000000000004E-4</v>
      </c>
      <c r="R1176" s="154" t="str">
        <f t="shared" si="53"/>
        <v>A0692:旭化成(株)(参考値)事業者全体</v>
      </c>
      <c r="S1176" s="182">
        <f t="shared" si="54"/>
        <v>3.9800000000000002E-4</v>
      </c>
    </row>
    <row r="1177" spans="9:19">
      <c r="I1177" s="124" t="s">
        <v>1231</v>
      </c>
      <c r="J1177" s="124" t="s">
        <v>1232</v>
      </c>
      <c r="K1177" s="124"/>
      <c r="L1177" s="124">
        <v>4.0499999999999998E-4</v>
      </c>
      <c r="M1177" s="182">
        <v>6.1700000000000004E-4</v>
      </c>
      <c r="N1177" s="182">
        <v>6.1700000000000004E-4</v>
      </c>
      <c r="O1177" s="182">
        <v>6.1700000000000004E-4</v>
      </c>
      <c r="P1177" s="182">
        <v>6.1700000000000004E-4</v>
      </c>
      <c r="R1177" s="154" t="str">
        <f t="shared" si="53"/>
        <v>A0693:京和ガス(株)</v>
      </c>
      <c r="S1177" s="182">
        <f t="shared" si="54"/>
        <v>4.0499999999999998E-4</v>
      </c>
    </row>
    <row r="1178" spans="9:19">
      <c r="I1178" s="124" t="s">
        <v>1233</v>
      </c>
      <c r="J1178" s="124" t="s">
        <v>1234</v>
      </c>
      <c r="K1178" s="124"/>
      <c r="L1178" s="124">
        <v>5.53E-4</v>
      </c>
      <c r="M1178" s="182">
        <v>6.1700000000000004E-4</v>
      </c>
      <c r="N1178" s="182">
        <v>6.1700000000000004E-4</v>
      </c>
      <c r="O1178" s="182">
        <v>6.1700000000000004E-4</v>
      </c>
      <c r="P1178" s="182">
        <v>6.1700000000000004E-4</v>
      </c>
      <c r="R1178" s="154" t="str">
        <f t="shared" si="53"/>
        <v>A0695:KMパワー(株)</v>
      </c>
      <c r="S1178" s="182">
        <f t="shared" si="54"/>
        <v>5.53E-4</v>
      </c>
    </row>
    <row r="1179" spans="9:19">
      <c r="I1179" s="124" t="s">
        <v>1235</v>
      </c>
      <c r="J1179" s="124" t="s">
        <v>1236</v>
      </c>
      <c r="K1179" s="124"/>
      <c r="L1179" s="124">
        <v>3.4299999999999999E-4</v>
      </c>
      <c r="M1179" s="182">
        <v>6.1700000000000004E-4</v>
      </c>
      <c r="N1179" s="182">
        <v>6.1700000000000004E-4</v>
      </c>
      <c r="O1179" s="182">
        <v>6.1700000000000004E-4</v>
      </c>
      <c r="P1179" s="182">
        <v>6.1700000000000004E-4</v>
      </c>
      <c r="R1179" s="154" t="str">
        <f t="shared" si="53"/>
        <v>A0696:(株)Okazaki</v>
      </c>
      <c r="S1179" s="182">
        <f t="shared" si="54"/>
        <v>3.4299999999999999E-4</v>
      </c>
    </row>
    <row r="1180" spans="9:19">
      <c r="I1180" s="124" t="s">
        <v>1237</v>
      </c>
      <c r="J1180" s="124" t="s">
        <v>1238</v>
      </c>
      <c r="K1180" s="124" t="s">
        <v>390</v>
      </c>
      <c r="L1180" s="124">
        <v>0</v>
      </c>
      <c r="M1180" s="182">
        <v>6.1700000000000004E-4</v>
      </c>
      <c r="N1180" s="182">
        <v>6.1700000000000004E-4</v>
      </c>
      <c r="O1180" s="182">
        <v>6.1700000000000004E-4</v>
      </c>
      <c r="P1180" s="182">
        <v>6.1700000000000004E-4</v>
      </c>
      <c r="R1180" s="154" t="str">
        <f t="shared" si="53"/>
        <v>A0698:(株)エフオンメニューA</v>
      </c>
      <c r="S1180" s="182">
        <f t="shared" si="54"/>
        <v>0</v>
      </c>
    </row>
    <row r="1181" spans="9:19">
      <c r="I1181" s="124" t="s">
        <v>1237</v>
      </c>
      <c r="J1181" s="124" t="s">
        <v>1238</v>
      </c>
      <c r="K1181" s="124" t="s">
        <v>398</v>
      </c>
      <c r="L1181" s="124">
        <v>1.74E-4</v>
      </c>
      <c r="M1181" s="182">
        <v>6.1700000000000004E-4</v>
      </c>
      <c r="N1181" s="182">
        <v>6.1700000000000004E-4</v>
      </c>
      <c r="O1181" s="182">
        <v>6.1700000000000004E-4</v>
      </c>
      <c r="P1181" s="182">
        <v>6.1700000000000004E-4</v>
      </c>
      <c r="R1181" s="154" t="str">
        <f t="shared" si="53"/>
        <v>A0698:(株)エフオンメニューB</v>
      </c>
      <c r="S1181" s="182">
        <f t="shared" si="54"/>
        <v>1.74E-4</v>
      </c>
    </row>
    <row r="1182" spans="9:19">
      <c r="I1182" s="124" t="s">
        <v>1237</v>
      </c>
      <c r="J1182" s="124" t="s">
        <v>1238</v>
      </c>
      <c r="K1182" s="124" t="s">
        <v>399</v>
      </c>
      <c r="L1182" s="124">
        <v>2.6200000000000003E-4</v>
      </c>
      <c r="M1182" s="182">
        <v>6.1700000000000004E-4</v>
      </c>
      <c r="N1182" s="182">
        <v>6.1700000000000004E-4</v>
      </c>
      <c r="O1182" s="182">
        <v>6.1700000000000004E-4</v>
      </c>
      <c r="P1182" s="182">
        <v>6.1700000000000004E-4</v>
      </c>
      <c r="R1182" s="154" t="str">
        <f t="shared" si="53"/>
        <v>A0698:(株)エフオンメニューC</v>
      </c>
      <c r="S1182" s="182">
        <f t="shared" si="54"/>
        <v>2.6200000000000003E-4</v>
      </c>
    </row>
    <row r="1183" spans="9:19">
      <c r="I1183" s="124" t="s">
        <v>1237</v>
      </c>
      <c r="J1183" s="124" t="s">
        <v>1238</v>
      </c>
      <c r="K1183" s="124" t="s">
        <v>400</v>
      </c>
      <c r="L1183" s="124">
        <v>3.48E-4</v>
      </c>
      <c r="M1183" s="182">
        <v>6.1700000000000004E-4</v>
      </c>
      <c r="N1183" s="182">
        <v>6.1700000000000004E-4</v>
      </c>
      <c r="O1183" s="182">
        <v>6.1700000000000004E-4</v>
      </c>
      <c r="P1183" s="182">
        <v>6.1700000000000004E-4</v>
      </c>
      <c r="R1183" s="154" t="str">
        <f t="shared" si="53"/>
        <v>A0698:(株)エフオンメニューD</v>
      </c>
      <c r="S1183" s="182">
        <f t="shared" si="54"/>
        <v>3.48E-4</v>
      </c>
    </row>
    <row r="1184" spans="9:19">
      <c r="I1184" s="124" t="s">
        <v>1237</v>
      </c>
      <c r="J1184" s="124" t="s">
        <v>1238</v>
      </c>
      <c r="K1184" s="124" t="s">
        <v>2010</v>
      </c>
      <c r="L1184" s="124">
        <v>1.7899999999999999E-4</v>
      </c>
      <c r="M1184" s="182">
        <v>6.1700000000000004E-4</v>
      </c>
      <c r="N1184" s="182">
        <v>6.1700000000000004E-4</v>
      </c>
      <c r="O1184" s="182">
        <v>6.1700000000000004E-4</v>
      </c>
      <c r="P1184" s="182">
        <v>6.1700000000000004E-4</v>
      </c>
      <c r="R1184" s="154" t="str">
        <f t="shared" si="53"/>
        <v>A0698:(株)エフオン(参考値)事業者全体</v>
      </c>
      <c r="S1184" s="182">
        <f t="shared" si="54"/>
        <v>1.7899999999999999E-4</v>
      </c>
    </row>
    <row r="1185" spans="9:19">
      <c r="I1185" s="124" t="s">
        <v>1239</v>
      </c>
      <c r="J1185" s="124" t="s">
        <v>1240</v>
      </c>
      <c r="K1185" s="124"/>
      <c r="L1185" s="124">
        <v>2.99E-4</v>
      </c>
      <c r="M1185" s="182">
        <v>6.1700000000000004E-4</v>
      </c>
      <c r="N1185" s="182">
        <v>6.1700000000000004E-4</v>
      </c>
      <c r="O1185" s="182">
        <v>6.1700000000000004E-4</v>
      </c>
      <c r="P1185" s="182">
        <v>6.1700000000000004E-4</v>
      </c>
      <c r="R1185" s="154" t="str">
        <f t="shared" si="53"/>
        <v>A0699:(株)岡崎さくら電力</v>
      </c>
      <c r="S1185" s="182">
        <f t="shared" si="54"/>
        <v>2.99E-4</v>
      </c>
    </row>
    <row r="1186" spans="9:19">
      <c r="I1186" s="124" t="s">
        <v>1241</v>
      </c>
      <c r="J1186" s="124" t="s">
        <v>1242</v>
      </c>
      <c r="K1186" s="124"/>
      <c r="L1186" s="124">
        <v>5.2099999999999998E-4</v>
      </c>
      <c r="M1186" s="182">
        <v>6.1700000000000004E-4</v>
      </c>
      <c r="N1186" s="182">
        <v>6.1700000000000004E-4</v>
      </c>
      <c r="O1186" s="182">
        <v>6.1700000000000004E-4</v>
      </c>
      <c r="P1186" s="182">
        <v>6.1700000000000004E-4</v>
      </c>
      <c r="R1186" s="154" t="str">
        <f t="shared" si="53"/>
        <v>A0702:旭マルヰガス(株)</v>
      </c>
      <c r="S1186" s="182">
        <f t="shared" si="54"/>
        <v>5.2099999999999998E-4</v>
      </c>
    </row>
    <row r="1187" spans="9:19">
      <c r="I1187" s="124" t="s">
        <v>1243</v>
      </c>
      <c r="J1187" s="124" t="s">
        <v>1244</v>
      </c>
      <c r="K1187" s="124"/>
      <c r="L1187" s="124">
        <v>3.5300000000000002E-4</v>
      </c>
      <c r="M1187" s="182">
        <v>6.1700000000000004E-4</v>
      </c>
      <c r="N1187" s="182">
        <v>6.1700000000000004E-4</v>
      </c>
      <c r="O1187" s="182">
        <v>6.1700000000000004E-4</v>
      </c>
      <c r="P1187" s="182">
        <v>6.1700000000000004E-4</v>
      </c>
      <c r="R1187" s="154" t="str">
        <f t="shared" si="53"/>
        <v>A0703:JREトレーディング(株)</v>
      </c>
      <c r="S1187" s="182">
        <f t="shared" si="54"/>
        <v>3.5300000000000002E-4</v>
      </c>
    </row>
    <row r="1188" spans="9:19">
      <c r="I1188" s="124" t="s">
        <v>1245</v>
      </c>
      <c r="J1188" s="124" t="s">
        <v>1246</v>
      </c>
      <c r="K1188" s="124"/>
      <c r="L1188" s="124">
        <v>4.2900000000000002E-4</v>
      </c>
      <c r="M1188" s="182">
        <v>6.1700000000000004E-4</v>
      </c>
      <c r="N1188" s="182">
        <v>6.1700000000000004E-4</v>
      </c>
      <c r="O1188" s="182">
        <v>6.1700000000000004E-4</v>
      </c>
      <c r="P1188" s="182">
        <v>6.1700000000000004E-4</v>
      </c>
      <c r="R1188" s="154" t="str">
        <f t="shared" si="53"/>
        <v>A0704:Castleton Commodities Japan合同会社</v>
      </c>
      <c r="S1188" s="182">
        <f t="shared" si="54"/>
        <v>4.2900000000000002E-4</v>
      </c>
    </row>
    <row r="1189" spans="9:19">
      <c r="I1189" s="124" t="s">
        <v>1247</v>
      </c>
      <c r="J1189" s="124" t="s">
        <v>1248</v>
      </c>
      <c r="K1189" s="124"/>
      <c r="L1189" s="124">
        <v>4.2900000000000002E-4</v>
      </c>
      <c r="M1189" s="182">
        <v>6.1700000000000004E-4</v>
      </c>
      <c r="N1189" s="182">
        <v>6.1700000000000004E-4</v>
      </c>
      <c r="O1189" s="182">
        <v>6.1700000000000004E-4</v>
      </c>
      <c r="P1189" s="182">
        <v>6.1700000000000004E-4</v>
      </c>
      <c r="R1189" s="154" t="str">
        <f t="shared" si="53"/>
        <v>A0705:神戸電力(株)</v>
      </c>
      <c r="S1189" s="182">
        <f t="shared" si="54"/>
        <v>4.2900000000000002E-4</v>
      </c>
    </row>
    <row r="1190" spans="9:19">
      <c r="I1190" s="124" t="s">
        <v>1249</v>
      </c>
      <c r="J1190" s="124" t="s">
        <v>1250</v>
      </c>
      <c r="K1190" s="124"/>
      <c r="L1190" s="124">
        <v>4.3399999999999998E-4</v>
      </c>
      <c r="M1190" s="182">
        <v>6.1700000000000004E-4</v>
      </c>
      <c r="N1190" s="182">
        <v>6.1700000000000004E-4</v>
      </c>
      <c r="O1190" s="182">
        <v>6.1700000000000004E-4</v>
      </c>
      <c r="P1190" s="182">
        <v>6.1700000000000004E-4</v>
      </c>
      <c r="R1190" s="154" t="str">
        <f t="shared" si="53"/>
        <v>A0708:エア・ウォーター・ライフソリューション(株)</v>
      </c>
      <c r="S1190" s="182">
        <f t="shared" si="54"/>
        <v>4.3399999999999998E-4</v>
      </c>
    </row>
    <row r="1191" spans="9:19">
      <c r="I1191" s="124" t="s">
        <v>1251</v>
      </c>
      <c r="J1191" s="124" t="s">
        <v>1252</v>
      </c>
      <c r="K1191" s="124" t="s">
        <v>390</v>
      </c>
      <c r="L1191" s="124">
        <v>3.4499999999999998E-4</v>
      </c>
      <c r="M1191" s="182">
        <v>6.1700000000000004E-4</v>
      </c>
      <c r="N1191" s="182">
        <v>6.1700000000000004E-4</v>
      </c>
      <c r="O1191" s="182">
        <v>6.1700000000000004E-4</v>
      </c>
      <c r="P1191" s="182">
        <v>6.1700000000000004E-4</v>
      </c>
      <c r="R1191" s="154" t="str">
        <f t="shared" si="53"/>
        <v>A0709:生活協同組合ひろしまメニューA</v>
      </c>
      <c r="S1191" s="182">
        <f t="shared" si="54"/>
        <v>3.4499999999999998E-4</v>
      </c>
    </row>
    <row r="1192" spans="9:19">
      <c r="I1192" s="124" t="s">
        <v>1251</v>
      </c>
      <c r="J1192" s="124" t="s">
        <v>1252</v>
      </c>
      <c r="K1192" s="124" t="s">
        <v>398</v>
      </c>
      <c r="L1192" s="124">
        <v>2.2900000000000001E-4</v>
      </c>
      <c r="M1192" s="182">
        <v>6.1700000000000004E-4</v>
      </c>
      <c r="N1192" s="182">
        <v>6.1700000000000004E-4</v>
      </c>
      <c r="O1192" s="182">
        <v>6.1700000000000004E-4</v>
      </c>
      <c r="P1192" s="182">
        <v>6.1700000000000004E-4</v>
      </c>
      <c r="R1192" s="154" t="str">
        <f t="shared" si="53"/>
        <v>A0709:生活協同組合ひろしまメニューB</v>
      </c>
      <c r="S1192" s="182">
        <f t="shared" si="54"/>
        <v>2.2900000000000001E-4</v>
      </c>
    </row>
    <row r="1193" spans="9:19">
      <c r="I1193" s="124" t="s">
        <v>1251</v>
      </c>
      <c r="J1193" s="124" t="s">
        <v>1252</v>
      </c>
      <c r="K1193" s="124" t="s">
        <v>2010</v>
      </c>
      <c r="L1193" s="124">
        <v>2.31E-4</v>
      </c>
      <c r="M1193" s="182">
        <v>6.1700000000000004E-4</v>
      </c>
      <c r="N1193" s="182">
        <v>6.1700000000000004E-4</v>
      </c>
      <c r="O1193" s="182">
        <v>6.1700000000000004E-4</v>
      </c>
      <c r="P1193" s="182">
        <v>6.1700000000000004E-4</v>
      </c>
      <c r="R1193" s="154" t="str">
        <f t="shared" si="53"/>
        <v>A0709:生活協同組合ひろしま(参考値)事業者全体</v>
      </c>
      <c r="S1193" s="182">
        <f t="shared" si="54"/>
        <v>2.31E-4</v>
      </c>
    </row>
    <row r="1194" spans="9:19">
      <c r="I1194" s="124" t="s">
        <v>1253</v>
      </c>
      <c r="J1194" s="124" t="s">
        <v>1254</v>
      </c>
      <c r="K1194" s="124"/>
      <c r="L1194" s="124">
        <v>5.8500000000000002E-4</v>
      </c>
      <c r="M1194" s="182">
        <v>6.1700000000000004E-4</v>
      </c>
      <c r="N1194" s="182">
        <v>6.1700000000000004E-4</v>
      </c>
      <c r="O1194" s="182">
        <v>6.1700000000000004E-4</v>
      </c>
      <c r="P1194" s="182">
        <v>6.1700000000000004E-4</v>
      </c>
      <c r="R1194" s="154" t="str">
        <f t="shared" si="53"/>
        <v>A0711:(株)RenoLAbo</v>
      </c>
      <c r="S1194" s="182">
        <f t="shared" si="54"/>
        <v>5.8500000000000002E-4</v>
      </c>
    </row>
    <row r="1195" spans="9:19">
      <c r="I1195" s="124" t="s">
        <v>1255</v>
      </c>
      <c r="J1195" s="124" t="s">
        <v>1256</v>
      </c>
      <c r="K1195" s="124"/>
      <c r="L1195" s="124">
        <v>5.1999999999999997E-5</v>
      </c>
      <c r="M1195" s="182">
        <v>6.1700000000000004E-4</v>
      </c>
      <c r="N1195" s="182">
        <v>6.1700000000000004E-4</v>
      </c>
      <c r="O1195" s="182">
        <v>6.1700000000000004E-4</v>
      </c>
      <c r="P1195" s="182">
        <v>6.1700000000000004E-4</v>
      </c>
      <c r="R1195" s="154" t="str">
        <f t="shared" si="53"/>
        <v>A0712:アークエルテクノロジーズ(株)</v>
      </c>
      <c r="S1195" s="182">
        <f t="shared" si="54"/>
        <v>5.1999999999999997E-5</v>
      </c>
    </row>
    <row r="1196" spans="9:19">
      <c r="I1196" s="124" t="s">
        <v>1257</v>
      </c>
      <c r="J1196" s="124" t="s">
        <v>1258</v>
      </c>
      <c r="K1196" s="124"/>
      <c r="L1196" s="124">
        <v>5.2400000000000005E-4</v>
      </c>
      <c r="M1196" s="182">
        <v>6.1700000000000004E-4</v>
      </c>
      <c r="N1196" s="182">
        <v>6.1700000000000004E-4</v>
      </c>
      <c r="O1196" s="182">
        <v>6.1700000000000004E-4</v>
      </c>
      <c r="P1196" s="182">
        <v>6.1700000000000004E-4</v>
      </c>
      <c r="R1196" s="154" t="str">
        <f t="shared" si="53"/>
        <v>A0714:エルメック(株)</v>
      </c>
      <c r="S1196" s="182">
        <f t="shared" si="54"/>
        <v>5.2400000000000005E-4</v>
      </c>
    </row>
    <row r="1197" spans="9:19">
      <c r="I1197" s="124" t="s">
        <v>1259</v>
      </c>
      <c r="J1197" s="124" t="s">
        <v>1260</v>
      </c>
      <c r="K1197" s="124"/>
      <c r="L1197" s="124">
        <v>4.44E-4</v>
      </c>
      <c r="M1197" s="182">
        <v>6.1700000000000004E-4</v>
      </c>
      <c r="N1197" s="182">
        <v>6.1700000000000004E-4</v>
      </c>
      <c r="O1197" s="182">
        <v>6.1700000000000004E-4</v>
      </c>
      <c r="P1197" s="182">
        <v>6.1700000000000004E-4</v>
      </c>
      <c r="R1197" s="154" t="str">
        <f t="shared" si="53"/>
        <v>A0715:(株)オズエナジー</v>
      </c>
      <c r="S1197" s="182">
        <f t="shared" si="54"/>
        <v>4.44E-4</v>
      </c>
    </row>
    <row r="1198" spans="9:19">
      <c r="I1198" s="124" t="s">
        <v>1261</v>
      </c>
      <c r="J1198" s="124" t="s">
        <v>1262</v>
      </c>
      <c r="K1198" s="124"/>
      <c r="L1198" s="124">
        <v>4.3899999999999999E-4</v>
      </c>
      <c r="M1198" s="182">
        <v>6.1700000000000004E-4</v>
      </c>
      <c r="N1198" s="182">
        <v>6.1700000000000004E-4</v>
      </c>
      <c r="O1198" s="182">
        <v>6.1700000000000004E-4</v>
      </c>
      <c r="P1198" s="182">
        <v>6.1700000000000004E-4</v>
      </c>
      <c r="R1198" s="154" t="str">
        <f t="shared" si="53"/>
        <v>A0716:レモンガス(株)</v>
      </c>
      <c r="S1198" s="182">
        <f t="shared" si="54"/>
        <v>4.3899999999999999E-4</v>
      </c>
    </row>
    <row r="1199" spans="9:19">
      <c r="I1199" s="124" t="s">
        <v>1263</v>
      </c>
      <c r="J1199" s="124" t="s">
        <v>1264</v>
      </c>
      <c r="K1199" s="124"/>
      <c r="L1199" s="124">
        <v>3.4200000000000002E-4</v>
      </c>
      <c r="M1199" s="182">
        <v>6.1700000000000004E-4</v>
      </c>
      <c r="N1199" s="182">
        <v>6.1700000000000004E-4</v>
      </c>
      <c r="O1199" s="182">
        <v>6.1700000000000004E-4</v>
      </c>
      <c r="P1199" s="182">
        <v>6.1700000000000004E-4</v>
      </c>
      <c r="R1199" s="154" t="str">
        <f t="shared" si="53"/>
        <v>A0718:(株)日本海水</v>
      </c>
      <c r="S1199" s="182">
        <f t="shared" si="54"/>
        <v>3.4200000000000002E-4</v>
      </c>
    </row>
    <row r="1200" spans="9:19">
      <c r="I1200" s="124" t="s">
        <v>1265</v>
      </c>
      <c r="J1200" s="124" t="s">
        <v>1266</v>
      </c>
      <c r="K1200" s="124" t="s">
        <v>390</v>
      </c>
      <c r="L1200" s="124">
        <v>0</v>
      </c>
      <c r="M1200" s="182">
        <v>6.1700000000000004E-4</v>
      </c>
      <c r="N1200" s="182">
        <v>6.1700000000000004E-4</v>
      </c>
      <c r="O1200" s="182">
        <v>6.1700000000000004E-4</v>
      </c>
      <c r="P1200" s="182">
        <v>6.1700000000000004E-4</v>
      </c>
      <c r="R1200" s="154" t="str">
        <f t="shared" si="53"/>
        <v>A0720:しろくま電力(株)(旧:(株)afterFIT)メニューA</v>
      </c>
      <c r="S1200" s="182">
        <f t="shared" si="54"/>
        <v>0</v>
      </c>
    </row>
    <row r="1201" spans="9:19">
      <c r="I1201" s="124" t="s">
        <v>1265</v>
      </c>
      <c r="J1201" s="124" t="s">
        <v>1266</v>
      </c>
      <c r="K1201" s="124" t="s">
        <v>398</v>
      </c>
      <c r="L1201" s="124">
        <v>3.9900000000000005E-4</v>
      </c>
      <c r="M1201" s="182">
        <v>6.1700000000000004E-4</v>
      </c>
      <c r="N1201" s="182">
        <v>6.1700000000000004E-4</v>
      </c>
      <c r="O1201" s="182">
        <v>6.1700000000000004E-4</v>
      </c>
      <c r="P1201" s="182">
        <v>6.1700000000000004E-4</v>
      </c>
      <c r="R1201" s="154" t="str">
        <f t="shared" si="53"/>
        <v>A0720:しろくま電力(株)(旧:(株)afterFIT)メニューB</v>
      </c>
      <c r="S1201" s="182">
        <f t="shared" si="54"/>
        <v>3.9900000000000005E-4</v>
      </c>
    </row>
    <row r="1202" spans="9:19">
      <c r="I1202" s="124" t="s">
        <v>1265</v>
      </c>
      <c r="J1202" s="124" t="s">
        <v>1266</v>
      </c>
      <c r="K1202" s="124" t="s">
        <v>2010</v>
      </c>
      <c r="L1202" s="124">
        <v>1.0900000000000001E-4</v>
      </c>
      <c r="M1202" s="182">
        <v>6.1700000000000004E-4</v>
      </c>
      <c r="N1202" s="182">
        <v>6.1700000000000004E-4</v>
      </c>
      <c r="O1202" s="182">
        <v>6.1700000000000004E-4</v>
      </c>
      <c r="P1202" s="182">
        <v>6.1700000000000004E-4</v>
      </c>
      <c r="R1202" s="154" t="str">
        <f t="shared" si="53"/>
        <v>A0720:しろくま電力(株)(旧:(株)afterFIT)(参考値)事業者全体</v>
      </c>
      <c r="S1202" s="182">
        <f t="shared" si="54"/>
        <v>1.0900000000000001E-4</v>
      </c>
    </row>
    <row r="1203" spans="9:19">
      <c r="I1203" s="124" t="s">
        <v>1267</v>
      </c>
      <c r="J1203" s="124" t="s">
        <v>1268</v>
      </c>
      <c r="K1203" s="124"/>
      <c r="L1203" s="124">
        <v>5.2400000000000005E-4</v>
      </c>
      <c r="M1203" s="182">
        <v>6.1700000000000004E-4</v>
      </c>
      <c r="N1203" s="182">
        <v>6.1700000000000004E-4</v>
      </c>
      <c r="O1203" s="182">
        <v>6.1700000000000004E-4</v>
      </c>
      <c r="P1203" s="182">
        <v>6.1700000000000004E-4</v>
      </c>
      <c r="R1203" s="154" t="str">
        <f t="shared" si="53"/>
        <v>A0721:中小企業支援(株)</v>
      </c>
      <c r="S1203" s="182">
        <f t="shared" si="54"/>
        <v>5.2400000000000005E-4</v>
      </c>
    </row>
    <row r="1204" spans="9:19">
      <c r="I1204" s="124" t="s">
        <v>1269</v>
      </c>
      <c r="J1204" s="124" t="s">
        <v>1270</v>
      </c>
      <c r="K1204" s="124"/>
      <c r="L1204" s="124">
        <v>4.9600000000000002E-4</v>
      </c>
      <c r="M1204" s="182">
        <v>6.1700000000000004E-4</v>
      </c>
      <c r="N1204" s="182">
        <v>6.1700000000000004E-4</v>
      </c>
      <c r="O1204" s="182">
        <v>6.1700000000000004E-4</v>
      </c>
      <c r="P1204" s="182">
        <v>6.1700000000000004E-4</v>
      </c>
      <c r="R1204" s="154" t="str">
        <f t="shared" si="53"/>
        <v>A0722:サントラベラーズサービス有限会社</v>
      </c>
      <c r="S1204" s="182">
        <f t="shared" si="54"/>
        <v>4.9600000000000002E-4</v>
      </c>
    </row>
    <row r="1205" spans="9:19">
      <c r="I1205" s="124" t="s">
        <v>1271</v>
      </c>
      <c r="J1205" s="124" t="s">
        <v>1272</v>
      </c>
      <c r="K1205" s="124"/>
      <c r="L1205" s="124">
        <v>0</v>
      </c>
      <c r="M1205" s="182">
        <v>6.1700000000000004E-4</v>
      </c>
      <c r="N1205" s="182">
        <v>6.1700000000000004E-4</v>
      </c>
      <c r="O1205" s="182">
        <v>6.1700000000000004E-4</v>
      </c>
      <c r="P1205" s="182">
        <v>6.1700000000000004E-4</v>
      </c>
      <c r="R1205" s="154" t="str">
        <f t="shared" si="53"/>
        <v>A0726:八千代エンジニヤリング(株)</v>
      </c>
      <c r="S1205" s="182">
        <f t="shared" si="54"/>
        <v>0</v>
      </c>
    </row>
    <row r="1206" spans="9:19">
      <c r="I1206" s="124" t="s">
        <v>1273</v>
      </c>
      <c r="J1206" s="124" t="s">
        <v>1274</v>
      </c>
      <c r="K1206" s="124" t="s">
        <v>390</v>
      </c>
      <c r="L1206" s="124">
        <v>0</v>
      </c>
      <c r="M1206" s="182">
        <v>6.1700000000000004E-4</v>
      </c>
      <c r="N1206" s="182">
        <v>6.1700000000000004E-4</v>
      </c>
      <c r="O1206" s="182">
        <v>6.1700000000000004E-4</v>
      </c>
      <c r="P1206" s="182">
        <v>6.1700000000000004E-4</v>
      </c>
      <c r="R1206" s="154" t="str">
        <f t="shared" si="53"/>
        <v>A0729:神楽電力(株)メニューA</v>
      </c>
      <c r="S1206" s="182">
        <f t="shared" si="54"/>
        <v>0</v>
      </c>
    </row>
    <row r="1207" spans="9:19">
      <c r="I1207" s="124" t="s">
        <v>1273</v>
      </c>
      <c r="J1207" s="124" t="s">
        <v>1274</v>
      </c>
      <c r="K1207" s="124" t="s">
        <v>398</v>
      </c>
      <c r="L1207" s="124">
        <v>0</v>
      </c>
      <c r="M1207" s="182">
        <v>6.1700000000000004E-4</v>
      </c>
      <c r="N1207" s="182">
        <v>6.1700000000000004E-4</v>
      </c>
      <c r="O1207" s="182">
        <v>6.1700000000000004E-4</v>
      </c>
      <c r="P1207" s="182">
        <v>6.1700000000000004E-4</v>
      </c>
      <c r="R1207" s="154" t="str">
        <f t="shared" si="53"/>
        <v>A0729:神楽電力(株)メニューB</v>
      </c>
      <c r="S1207" s="182">
        <f t="shared" si="54"/>
        <v>0</v>
      </c>
    </row>
    <row r="1208" spans="9:19">
      <c r="I1208" s="124" t="s">
        <v>1273</v>
      </c>
      <c r="J1208" s="124" t="s">
        <v>1274</v>
      </c>
      <c r="K1208" s="124" t="s">
        <v>399</v>
      </c>
      <c r="L1208" s="124">
        <v>6.78E-4</v>
      </c>
      <c r="M1208" s="182">
        <v>6.1700000000000004E-4</v>
      </c>
      <c r="N1208" s="182">
        <v>6.1700000000000004E-4</v>
      </c>
      <c r="O1208" s="182">
        <v>6.1700000000000004E-4</v>
      </c>
      <c r="P1208" s="182">
        <v>6.1700000000000004E-4</v>
      </c>
      <c r="R1208" s="154" t="str">
        <f t="shared" si="53"/>
        <v>A0729:神楽電力(株)メニューC</v>
      </c>
      <c r="S1208" s="182">
        <f t="shared" si="54"/>
        <v>6.78E-4</v>
      </c>
    </row>
    <row r="1209" spans="9:19">
      <c r="I1209" s="124" t="s">
        <v>1273</v>
      </c>
      <c r="J1209" s="124" t="s">
        <v>1274</v>
      </c>
      <c r="K1209" s="124" t="s">
        <v>2010</v>
      </c>
      <c r="L1209" s="124">
        <v>4.26E-4</v>
      </c>
      <c r="M1209" s="182">
        <v>6.1700000000000004E-4</v>
      </c>
      <c r="N1209" s="182">
        <v>6.1700000000000004E-4</v>
      </c>
      <c r="O1209" s="182">
        <v>6.1700000000000004E-4</v>
      </c>
      <c r="P1209" s="182">
        <v>6.1700000000000004E-4</v>
      </c>
      <c r="R1209" s="154" t="str">
        <f t="shared" si="53"/>
        <v>A0729:神楽電力(株)(参考値)事業者全体</v>
      </c>
      <c r="S1209" s="182">
        <f t="shared" si="54"/>
        <v>4.26E-4</v>
      </c>
    </row>
    <row r="1210" spans="9:19">
      <c r="I1210" s="124" t="s">
        <v>1275</v>
      </c>
      <c r="J1210" s="124" t="s">
        <v>1276</v>
      </c>
      <c r="K1210" s="124"/>
      <c r="L1210" s="124" t="s">
        <v>2011</v>
      </c>
      <c r="M1210" s="182">
        <v>6.1700000000000004E-4</v>
      </c>
      <c r="N1210" s="182">
        <v>6.1700000000000004E-4</v>
      </c>
      <c r="O1210" s="182">
        <v>6.1700000000000004E-4</v>
      </c>
      <c r="P1210" s="182">
        <v>6.1700000000000004E-4</v>
      </c>
      <c r="R1210" s="154" t="str">
        <f t="shared" si="53"/>
        <v>A0730:ゆきぐに新電力(株)</v>
      </c>
      <c r="S1210" s="182" t="str">
        <f t="shared" si="54"/>
        <v>0.000422</v>
      </c>
    </row>
    <row r="1211" spans="9:19">
      <c r="I1211" s="124" t="s">
        <v>1277</v>
      </c>
      <c r="J1211" s="124" t="s">
        <v>1278</v>
      </c>
      <c r="K1211" s="124"/>
      <c r="L1211" s="124">
        <v>0</v>
      </c>
      <c r="M1211" s="182">
        <v>6.1700000000000004E-4</v>
      </c>
      <c r="N1211" s="182">
        <v>6.1700000000000004E-4</v>
      </c>
      <c r="O1211" s="182">
        <v>6.1700000000000004E-4</v>
      </c>
      <c r="P1211" s="182">
        <v>6.1700000000000004E-4</v>
      </c>
      <c r="R1211" s="154" t="str">
        <f t="shared" si="53"/>
        <v>A0732:(株)ながさきサステナエナジー</v>
      </c>
      <c r="S1211" s="182">
        <f t="shared" si="54"/>
        <v>0</v>
      </c>
    </row>
    <row r="1212" spans="9:19">
      <c r="I1212" s="124" t="s">
        <v>1279</v>
      </c>
      <c r="J1212" s="124" t="s">
        <v>1280</v>
      </c>
      <c r="K1212" s="124"/>
      <c r="L1212" s="124">
        <v>3.8000000000000002E-4</v>
      </c>
      <c r="M1212" s="182">
        <v>6.1700000000000004E-4</v>
      </c>
      <c r="N1212" s="182">
        <v>6.1700000000000004E-4</v>
      </c>
      <c r="O1212" s="182">
        <v>6.1700000000000004E-4</v>
      </c>
      <c r="P1212" s="182">
        <v>6.1700000000000004E-4</v>
      </c>
      <c r="R1212" s="154" t="str">
        <f t="shared" si="53"/>
        <v>A0733:葛尾創生電力(株)</v>
      </c>
      <c r="S1212" s="182">
        <f t="shared" si="54"/>
        <v>3.8000000000000002E-4</v>
      </c>
    </row>
    <row r="1213" spans="9:19">
      <c r="I1213" s="124" t="s">
        <v>1281</v>
      </c>
      <c r="J1213" s="124" t="s">
        <v>1282</v>
      </c>
      <c r="K1213" s="124" t="s">
        <v>390</v>
      </c>
      <c r="L1213" s="124">
        <v>0</v>
      </c>
      <c r="M1213" s="182">
        <v>6.1700000000000004E-4</v>
      </c>
      <c r="N1213" s="182">
        <v>6.1700000000000004E-4</v>
      </c>
      <c r="O1213" s="182">
        <v>6.1700000000000004E-4</v>
      </c>
      <c r="P1213" s="182">
        <v>6.1700000000000004E-4</v>
      </c>
      <c r="R1213" s="154" t="str">
        <f t="shared" si="53"/>
        <v>A0737:(株)ライフエナジーメニューA</v>
      </c>
      <c r="S1213" s="182">
        <f t="shared" si="54"/>
        <v>0</v>
      </c>
    </row>
    <row r="1214" spans="9:19">
      <c r="I1214" s="124" t="s">
        <v>1281</v>
      </c>
      <c r="J1214" s="124" t="s">
        <v>1282</v>
      </c>
      <c r="K1214" s="124" t="s">
        <v>398</v>
      </c>
      <c r="L1214" s="124">
        <v>1.2400000000000001E-4</v>
      </c>
      <c r="M1214" s="182">
        <v>6.1700000000000004E-4</v>
      </c>
      <c r="N1214" s="182">
        <v>6.1700000000000004E-4</v>
      </c>
      <c r="O1214" s="182">
        <v>6.1700000000000004E-4</v>
      </c>
      <c r="P1214" s="182">
        <v>6.1700000000000004E-4</v>
      </c>
      <c r="R1214" s="154" t="str">
        <f t="shared" si="53"/>
        <v>A0737:(株)ライフエナジーメニューB</v>
      </c>
      <c r="S1214" s="182">
        <f t="shared" si="54"/>
        <v>1.2400000000000001E-4</v>
      </c>
    </row>
    <row r="1215" spans="9:19">
      <c r="I1215" s="124" t="s">
        <v>1281</v>
      </c>
      <c r="J1215" s="124" t="s">
        <v>1282</v>
      </c>
      <c r="K1215" s="124" t="s">
        <v>399</v>
      </c>
      <c r="L1215" s="124">
        <v>4.1599999999999997E-4</v>
      </c>
      <c r="M1215" s="182">
        <v>6.1700000000000004E-4</v>
      </c>
      <c r="N1215" s="182">
        <v>6.1700000000000004E-4</v>
      </c>
      <c r="O1215" s="182">
        <v>6.1700000000000004E-4</v>
      </c>
      <c r="P1215" s="182">
        <v>6.1700000000000004E-4</v>
      </c>
      <c r="R1215" s="154" t="str">
        <f t="shared" si="53"/>
        <v>A0737:(株)ライフエナジーメニューC</v>
      </c>
      <c r="S1215" s="182">
        <f t="shared" si="54"/>
        <v>4.1599999999999997E-4</v>
      </c>
    </row>
    <row r="1216" spans="9:19">
      <c r="I1216" s="124" t="s">
        <v>1281</v>
      </c>
      <c r="J1216" s="124" t="s">
        <v>1282</v>
      </c>
      <c r="K1216" s="124" t="s">
        <v>2010</v>
      </c>
      <c r="L1216" s="124">
        <v>3.0699999999999998E-4</v>
      </c>
      <c r="M1216" s="182">
        <v>6.1700000000000004E-4</v>
      </c>
      <c r="N1216" s="182">
        <v>6.1700000000000004E-4</v>
      </c>
      <c r="O1216" s="182">
        <v>6.1700000000000004E-4</v>
      </c>
      <c r="P1216" s="182">
        <v>6.1700000000000004E-4</v>
      </c>
      <c r="R1216" s="154" t="str">
        <f t="shared" si="53"/>
        <v>A0737:(株)ライフエナジー(参考値)事業者全体</v>
      </c>
      <c r="S1216" s="182">
        <f t="shared" si="54"/>
        <v>3.0699999999999998E-4</v>
      </c>
    </row>
    <row r="1217" spans="9:19">
      <c r="I1217" s="124" t="s">
        <v>1283</v>
      </c>
      <c r="J1217" s="124" t="s">
        <v>1284</v>
      </c>
      <c r="K1217" s="124"/>
      <c r="L1217" s="124">
        <v>5.2800000000000004E-4</v>
      </c>
      <c r="M1217" s="182">
        <v>6.1700000000000004E-4</v>
      </c>
      <c r="N1217" s="182">
        <v>6.1700000000000004E-4</v>
      </c>
      <c r="O1217" s="182">
        <v>6.1700000000000004E-4</v>
      </c>
      <c r="P1217" s="182">
        <v>6.1700000000000004E-4</v>
      </c>
      <c r="R1217" s="154" t="str">
        <f t="shared" si="53"/>
        <v>A0738:(株)グルーヴエナジー</v>
      </c>
      <c r="S1217" s="182">
        <f t="shared" si="54"/>
        <v>5.2800000000000004E-4</v>
      </c>
    </row>
    <row r="1218" spans="9:19">
      <c r="I1218" s="124" t="s">
        <v>1285</v>
      </c>
      <c r="J1218" s="124" t="s">
        <v>1286</v>
      </c>
      <c r="K1218" s="124"/>
      <c r="L1218" s="124">
        <v>4.7800000000000002E-4</v>
      </c>
      <c r="M1218" s="182">
        <v>6.1700000000000004E-4</v>
      </c>
      <c r="N1218" s="182">
        <v>6.1700000000000004E-4</v>
      </c>
      <c r="O1218" s="182">
        <v>6.1700000000000004E-4</v>
      </c>
      <c r="P1218" s="182">
        <v>6.1700000000000004E-4</v>
      </c>
      <c r="R1218" s="154" t="str">
        <f t="shared" si="53"/>
        <v>A0739:高知ニューエナジー(株)</v>
      </c>
      <c r="S1218" s="182">
        <f t="shared" si="54"/>
        <v>4.7800000000000002E-4</v>
      </c>
    </row>
    <row r="1219" spans="9:19">
      <c r="I1219" s="124" t="s">
        <v>1287</v>
      </c>
      <c r="J1219" s="124" t="s">
        <v>1288</v>
      </c>
      <c r="K1219" s="124"/>
      <c r="L1219" s="124">
        <v>4.7100000000000001E-4</v>
      </c>
      <c r="M1219" s="182">
        <v>6.1700000000000004E-4</v>
      </c>
      <c r="N1219" s="182">
        <v>6.1700000000000004E-4</v>
      </c>
      <c r="O1219" s="182">
        <v>6.1700000000000004E-4</v>
      </c>
      <c r="P1219" s="182">
        <v>6.1700000000000004E-4</v>
      </c>
      <c r="R1219" s="154" t="str">
        <f t="shared" si="53"/>
        <v>A0740:もみじ電力(株)</v>
      </c>
      <c r="S1219" s="182">
        <f t="shared" si="54"/>
        <v>4.7100000000000001E-4</v>
      </c>
    </row>
    <row r="1220" spans="9:19">
      <c r="I1220" s="124" t="s">
        <v>1289</v>
      </c>
      <c r="J1220" s="124" t="s">
        <v>1290</v>
      </c>
      <c r="K1220" s="124"/>
      <c r="L1220" s="124">
        <v>4.84E-4</v>
      </c>
      <c r="M1220" s="182">
        <v>6.1700000000000004E-4</v>
      </c>
      <c r="N1220" s="182">
        <v>6.1700000000000004E-4</v>
      </c>
      <c r="O1220" s="182">
        <v>6.1700000000000004E-4</v>
      </c>
      <c r="P1220" s="182">
        <v>6.1700000000000004E-4</v>
      </c>
      <c r="R1220" s="154" t="str">
        <f t="shared" si="53"/>
        <v>A0742:(株)縁人</v>
      </c>
      <c r="S1220" s="182">
        <f t="shared" si="54"/>
        <v>4.84E-4</v>
      </c>
    </row>
    <row r="1221" spans="9:19">
      <c r="I1221" s="124" t="s">
        <v>1291</v>
      </c>
      <c r="J1221" s="124" t="s">
        <v>1292</v>
      </c>
      <c r="K1221" s="124"/>
      <c r="L1221" s="124">
        <v>4.4000000000000002E-4</v>
      </c>
      <c r="M1221" s="182">
        <v>6.1700000000000004E-4</v>
      </c>
      <c r="N1221" s="182">
        <v>6.1700000000000004E-4</v>
      </c>
      <c r="O1221" s="182">
        <v>6.1700000000000004E-4</v>
      </c>
      <c r="P1221" s="182">
        <v>6.1700000000000004E-4</v>
      </c>
      <c r="R1221" s="154" t="str">
        <f t="shared" ref="R1221:R1284" si="55">I1221&amp;":"&amp;J1221&amp;K1221</f>
        <v>A0743:T＆Tエナジー(株)</v>
      </c>
      <c r="S1221" s="182">
        <f t="shared" si="54"/>
        <v>4.4000000000000002E-4</v>
      </c>
    </row>
    <row r="1222" spans="9:19">
      <c r="I1222" s="124" t="s">
        <v>1293</v>
      </c>
      <c r="J1222" s="124" t="s">
        <v>1294</v>
      </c>
      <c r="K1222" s="124" t="s">
        <v>390</v>
      </c>
      <c r="L1222" s="124">
        <v>0</v>
      </c>
      <c r="M1222" s="182">
        <v>6.1700000000000004E-4</v>
      </c>
      <c r="N1222" s="182">
        <v>6.1700000000000004E-4</v>
      </c>
      <c r="O1222" s="182">
        <v>6.1700000000000004E-4</v>
      </c>
      <c r="P1222" s="182">
        <v>6.1700000000000004E-4</v>
      </c>
      <c r="R1222" s="154" t="str">
        <f t="shared" si="55"/>
        <v>A0744:(株)ルークメニューA</v>
      </c>
      <c r="S1222" s="182">
        <f t="shared" si="54"/>
        <v>0</v>
      </c>
    </row>
    <row r="1223" spans="9:19">
      <c r="I1223" s="124" t="s">
        <v>1293</v>
      </c>
      <c r="J1223" s="124" t="s">
        <v>1294</v>
      </c>
      <c r="K1223" s="124" t="s">
        <v>398</v>
      </c>
      <c r="L1223" s="124">
        <v>1.94E-4</v>
      </c>
      <c r="M1223" s="182">
        <v>6.1700000000000004E-4</v>
      </c>
      <c r="N1223" s="182">
        <v>6.1700000000000004E-4</v>
      </c>
      <c r="O1223" s="182">
        <v>6.1700000000000004E-4</v>
      </c>
      <c r="P1223" s="182">
        <v>6.1700000000000004E-4</v>
      </c>
      <c r="R1223" s="154" t="str">
        <f t="shared" si="55"/>
        <v>A0744:(株)ルークメニューB</v>
      </c>
      <c r="S1223" s="182">
        <f t="shared" si="54"/>
        <v>1.94E-4</v>
      </c>
    </row>
    <row r="1224" spans="9:19">
      <c r="I1224" s="124" t="s">
        <v>1293</v>
      </c>
      <c r="J1224" s="124" t="s">
        <v>1294</v>
      </c>
      <c r="K1224" s="124" t="s">
        <v>2010</v>
      </c>
      <c r="L1224" s="124">
        <v>1.93E-4</v>
      </c>
      <c r="M1224" s="182">
        <v>6.1700000000000004E-4</v>
      </c>
      <c r="N1224" s="182">
        <v>6.1700000000000004E-4</v>
      </c>
      <c r="O1224" s="182">
        <v>6.1700000000000004E-4</v>
      </c>
      <c r="P1224" s="182">
        <v>6.1700000000000004E-4</v>
      </c>
      <c r="R1224" s="154" t="str">
        <f t="shared" si="55"/>
        <v>A0744:(株)ルーク(参考値)事業者全体</v>
      </c>
      <c r="S1224" s="182">
        <f t="shared" si="54"/>
        <v>1.93E-4</v>
      </c>
    </row>
    <row r="1225" spans="9:19">
      <c r="I1225" s="124" t="s">
        <v>1295</v>
      </c>
      <c r="J1225" s="124" t="s">
        <v>1296</v>
      </c>
      <c r="K1225" s="124"/>
      <c r="L1225" s="124">
        <v>0</v>
      </c>
      <c r="M1225" s="182">
        <v>6.1700000000000004E-4</v>
      </c>
      <c r="N1225" s="182">
        <v>6.1700000000000004E-4</v>
      </c>
      <c r="O1225" s="182">
        <v>6.1700000000000004E-4</v>
      </c>
      <c r="P1225" s="182">
        <v>6.1700000000000004E-4</v>
      </c>
      <c r="R1225" s="154" t="str">
        <f t="shared" si="55"/>
        <v>A0746:かけがわ報徳パワー(株)</v>
      </c>
      <c r="S1225" s="182">
        <f t="shared" si="54"/>
        <v>0</v>
      </c>
    </row>
    <row r="1226" spans="9:19">
      <c r="I1226" s="124" t="s">
        <v>1297</v>
      </c>
      <c r="J1226" s="124" t="s">
        <v>1298</v>
      </c>
      <c r="K1226" s="124"/>
      <c r="L1226" s="124">
        <v>4.8799999999999999E-4</v>
      </c>
      <c r="M1226" s="182">
        <v>6.1700000000000004E-4</v>
      </c>
      <c r="N1226" s="182">
        <v>6.1700000000000004E-4</v>
      </c>
      <c r="O1226" s="182">
        <v>6.1700000000000004E-4</v>
      </c>
      <c r="P1226" s="182">
        <v>6.1700000000000004E-4</v>
      </c>
      <c r="R1226" s="154" t="str">
        <f t="shared" si="55"/>
        <v>A0747:SustainableEnergy(株)</v>
      </c>
      <c r="S1226" s="182">
        <f t="shared" ref="S1226:S1289" si="56">HLOOKUP($S$8,$L$8:$P$1500,ROW()-7,FALSE)</f>
        <v>4.8799999999999999E-4</v>
      </c>
    </row>
    <row r="1227" spans="9:19">
      <c r="I1227" s="124" t="s">
        <v>1299</v>
      </c>
      <c r="J1227" s="124" t="s">
        <v>1300</v>
      </c>
      <c r="K1227" s="124"/>
      <c r="L1227" s="124">
        <v>2.4600000000000002E-4</v>
      </c>
      <c r="M1227" s="182">
        <v>6.1700000000000004E-4</v>
      </c>
      <c r="N1227" s="182">
        <v>6.1700000000000004E-4</v>
      </c>
      <c r="O1227" s="182">
        <v>6.1700000000000004E-4</v>
      </c>
      <c r="P1227" s="182">
        <v>6.1700000000000004E-4</v>
      </c>
      <c r="R1227" s="154" t="str">
        <f t="shared" si="55"/>
        <v>A0748:穂の国とよはし電力(株)</v>
      </c>
      <c r="S1227" s="182">
        <f t="shared" si="56"/>
        <v>2.4600000000000002E-4</v>
      </c>
    </row>
    <row r="1228" spans="9:19">
      <c r="I1228" s="124" t="s">
        <v>1301</v>
      </c>
      <c r="J1228" s="124" t="s">
        <v>1302</v>
      </c>
      <c r="K1228" s="124"/>
      <c r="L1228" s="124">
        <v>4.3800000000000002E-4</v>
      </c>
      <c r="M1228" s="182">
        <v>6.1700000000000004E-4</v>
      </c>
      <c r="N1228" s="182">
        <v>6.1700000000000004E-4</v>
      </c>
      <c r="O1228" s="182">
        <v>6.1700000000000004E-4</v>
      </c>
      <c r="P1228" s="182">
        <v>6.1700000000000004E-4</v>
      </c>
      <c r="R1228" s="154" t="str">
        <f t="shared" si="55"/>
        <v>A0752:イワタニセントラル北海道(株)</v>
      </c>
      <c r="S1228" s="182">
        <f t="shared" si="56"/>
        <v>4.3800000000000002E-4</v>
      </c>
    </row>
    <row r="1229" spans="9:19">
      <c r="I1229" s="124" t="s">
        <v>1303</v>
      </c>
      <c r="J1229" s="124" t="s">
        <v>1304</v>
      </c>
      <c r="K1229" s="124" t="s">
        <v>390</v>
      </c>
      <c r="L1229" s="124">
        <v>2.63E-4</v>
      </c>
      <c r="M1229" s="182">
        <v>6.1700000000000004E-4</v>
      </c>
      <c r="N1229" s="182">
        <v>6.1700000000000004E-4</v>
      </c>
      <c r="O1229" s="182">
        <v>6.1700000000000004E-4</v>
      </c>
      <c r="P1229" s="182">
        <v>6.1700000000000004E-4</v>
      </c>
      <c r="R1229" s="154" t="str">
        <f t="shared" si="55"/>
        <v>A0753:ホームタウンエナジー(株)メニューA</v>
      </c>
      <c r="S1229" s="182">
        <f t="shared" si="56"/>
        <v>2.63E-4</v>
      </c>
    </row>
    <row r="1230" spans="9:19">
      <c r="I1230" s="124" t="s">
        <v>1303</v>
      </c>
      <c r="J1230" s="124" t="s">
        <v>1304</v>
      </c>
      <c r="K1230" s="124" t="s">
        <v>398</v>
      </c>
      <c r="L1230" s="124">
        <v>6.0400000000000004E-4</v>
      </c>
      <c r="M1230" s="182">
        <v>6.1700000000000004E-4</v>
      </c>
      <c r="N1230" s="182">
        <v>6.1700000000000004E-4</v>
      </c>
      <c r="O1230" s="182">
        <v>6.1700000000000004E-4</v>
      </c>
      <c r="P1230" s="182">
        <v>6.1700000000000004E-4</v>
      </c>
      <c r="R1230" s="154" t="str">
        <f t="shared" si="55"/>
        <v>A0753:ホームタウンエナジー(株)メニューB</v>
      </c>
      <c r="S1230" s="182">
        <f t="shared" si="56"/>
        <v>6.0400000000000004E-4</v>
      </c>
    </row>
    <row r="1231" spans="9:19">
      <c r="I1231" s="124" t="s">
        <v>1303</v>
      </c>
      <c r="J1231" s="124" t="s">
        <v>1304</v>
      </c>
      <c r="K1231" s="124" t="s">
        <v>2010</v>
      </c>
      <c r="L1231" s="124">
        <v>5.9699999999999998E-4</v>
      </c>
      <c r="M1231" s="182">
        <v>6.1700000000000004E-4</v>
      </c>
      <c r="N1231" s="182">
        <v>6.1700000000000004E-4</v>
      </c>
      <c r="O1231" s="182">
        <v>6.1700000000000004E-4</v>
      </c>
      <c r="P1231" s="182">
        <v>6.1700000000000004E-4</v>
      </c>
      <c r="R1231" s="154" t="str">
        <f t="shared" si="55"/>
        <v>A0753:ホームタウンエナジー(株)(参考値)事業者全体</v>
      </c>
      <c r="S1231" s="182">
        <f t="shared" si="56"/>
        <v>5.9699999999999998E-4</v>
      </c>
    </row>
    <row r="1232" spans="9:19">
      <c r="I1232" s="124" t="s">
        <v>1305</v>
      </c>
      <c r="J1232" s="124" t="s">
        <v>1306</v>
      </c>
      <c r="K1232" s="124"/>
      <c r="L1232" s="124">
        <v>5.7600000000000001E-4</v>
      </c>
      <c r="M1232" s="182">
        <v>6.1700000000000004E-4</v>
      </c>
      <c r="N1232" s="182">
        <v>6.1700000000000004E-4</v>
      </c>
      <c r="O1232" s="182">
        <v>6.1700000000000004E-4</v>
      </c>
      <c r="P1232" s="182">
        <v>6.1700000000000004E-4</v>
      </c>
      <c r="R1232" s="154" t="str">
        <f t="shared" si="55"/>
        <v>A0754:(株)彩の国でんき</v>
      </c>
      <c r="S1232" s="182">
        <f t="shared" si="56"/>
        <v>5.7600000000000001E-4</v>
      </c>
    </row>
    <row r="1233" spans="9:19">
      <c r="I1233" s="124" t="s">
        <v>1307</v>
      </c>
      <c r="J1233" s="124" t="s">
        <v>1308</v>
      </c>
      <c r="K1233" s="124"/>
      <c r="L1233" s="124">
        <v>6.0499999999999996E-4</v>
      </c>
      <c r="M1233" s="182">
        <v>6.1700000000000004E-4</v>
      </c>
      <c r="N1233" s="182">
        <v>6.1700000000000004E-4</v>
      </c>
      <c r="O1233" s="182">
        <v>6.1700000000000004E-4</v>
      </c>
      <c r="P1233" s="182">
        <v>6.1700000000000004E-4</v>
      </c>
      <c r="R1233" s="154" t="str">
        <f t="shared" si="55"/>
        <v>A0758:(株)みやきエネルギー</v>
      </c>
      <c r="S1233" s="182">
        <f t="shared" si="56"/>
        <v>6.0499999999999996E-4</v>
      </c>
    </row>
    <row r="1234" spans="9:19">
      <c r="I1234" s="124" t="s">
        <v>1309</v>
      </c>
      <c r="J1234" s="124" t="s">
        <v>1310</v>
      </c>
      <c r="K1234" s="124"/>
      <c r="L1234" s="124">
        <v>6.11E-4</v>
      </c>
      <c r="M1234" s="182">
        <v>6.1700000000000004E-4</v>
      </c>
      <c r="N1234" s="182">
        <v>6.1700000000000004E-4</v>
      </c>
      <c r="O1234" s="182">
        <v>6.1700000000000004E-4</v>
      </c>
      <c r="P1234" s="182">
        <v>6.1700000000000004E-4</v>
      </c>
      <c r="R1234" s="154" t="str">
        <f t="shared" si="55"/>
        <v>A0759:(株)クリーンベンチャー21</v>
      </c>
      <c r="S1234" s="182">
        <f t="shared" si="56"/>
        <v>6.11E-4</v>
      </c>
    </row>
    <row r="1235" spans="9:19">
      <c r="I1235" s="124" t="s">
        <v>1311</v>
      </c>
      <c r="J1235" s="124" t="s">
        <v>1312</v>
      </c>
      <c r="K1235" s="124"/>
      <c r="L1235" s="124">
        <v>5.9299999999999999E-4</v>
      </c>
      <c r="M1235" s="182">
        <v>6.1700000000000004E-4</v>
      </c>
      <c r="N1235" s="182">
        <v>6.1700000000000004E-4</v>
      </c>
      <c r="O1235" s="182">
        <v>6.1700000000000004E-4</v>
      </c>
      <c r="P1235" s="182">
        <v>6.1700000000000004E-4</v>
      </c>
      <c r="R1235" s="154" t="str">
        <f t="shared" si="55"/>
        <v>A0760:三河商事(株)</v>
      </c>
      <c r="S1235" s="182">
        <f t="shared" si="56"/>
        <v>5.9299999999999999E-4</v>
      </c>
    </row>
    <row r="1236" spans="9:19">
      <c r="I1236" s="124" t="s">
        <v>1313</v>
      </c>
      <c r="J1236" s="124" t="s">
        <v>1314</v>
      </c>
      <c r="K1236" s="124"/>
      <c r="L1236" s="124">
        <v>4.2499999999999998E-4</v>
      </c>
      <c r="M1236" s="182">
        <v>6.1700000000000004E-4</v>
      </c>
      <c r="N1236" s="182">
        <v>6.1700000000000004E-4</v>
      </c>
      <c r="O1236" s="182">
        <v>6.1700000000000004E-4</v>
      </c>
      <c r="P1236" s="182">
        <v>6.1700000000000004E-4</v>
      </c>
      <c r="R1236" s="154" t="str">
        <f t="shared" si="55"/>
        <v>A0761:(株)みとや</v>
      </c>
      <c r="S1236" s="182">
        <f t="shared" si="56"/>
        <v>4.2499999999999998E-4</v>
      </c>
    </row>
    <row r="1237" spans="9:19">
      <c r="I1237" s="124" t="s">
        <v>1315</v>
      </c>
      <c r="J1237" s="124" t="s">
        <v>1316</v>
      </c>
      <c r="K1237" s="124"/>
      <c r="L1237" s="124">
        <v>4.5100000000000001E-4</v>
      </c>
      <c r="M1237" s="182">
        <v>6.1700000000000004E-4</v>
      </c>
      <c r="N1237" s="182">
        <v>6.1700000000000004E-4</v>
      </c>
      <c r="O1237" s="182">
        <v>6.1700000000000004E-4</v>
      </c>
      <c r="P1237" s="182">
        <v>6.1700000000000004E-4</v>
      </c>
      <c r="R1237" s="154" t="str">
        <f t="shared" si="55"/>
        <v>A0762:三州電力(株)</v>
      </c>
      <c r="S1237" s="182">
        <f t="shared" si="56"/>
        <v>4.5100000000000001E-4</v>
      </c>
    </row>
    <row r="1238" spans="9:19">
      <c r="I1238" s="124" t="s">
        <v>1317</v>
      </c>
      <c r="J1238" s="124" t="s">
        <v>1318</v>
      </c>
      <c r="K1238" s="124"/>
      <c r="L1238" s="124">
        <v>5.7799999999999995E-4</v>
      </c>
      <c r="M1238" s="182">
        <v>6.1700000000000004E-4</v>
      </c>
      <c r="N1238" s="182">
        <v>6.1700000000000004E-4</v>
      </c>
      <c r="O1238" s="182">
        <v>6.1700000000000004E-4</v>
      </c>
      <c r="P1238" s="182">
        <v>6.1700000000000004E-4</v>
      </c>
      <c r="R1238" s="154" t="str">
        <f t="shared" si="55"/>
        <v>A0764:沖縄新エネ開発(株)</v>
      </c>
      <c r="S1238" s="182">
        <f t="shared" si="56"/>
        <v>5.7799999999999995E-4</v>
      </c>
    </row>
    <row r="1239" spans="9:19">
      <c r="I1239" s="124" t="s">
        <v>1319</v>
      </c>
      <c r="J1239" s="124" t="s">
        <v>1320</v>
      </c>
      <c r="K1239" s="124"/>
      <c r="L1239" s="124">
        <v>4.06E-4</v>
      </c>
      <c r="M1239" s="182">
        <v>6.1700000000000004E-4</v>
      </c>
      <c r="N1239" s="182">
        <v>6.1700000000000004E-4</v>
      </c>
      <c r="O1239" s="182">
        <v>6.1700000000000004E-4</v>
      </c>
      <c r="P1239" s="182">
        <v>6.1700000000000004E-4</v>
      </c>
      <c r="R1239" s="154" t="str">
        <f t="shared" si="55"/>
        <v>A0770:(株)ほくだん</v>
      </c>
      <c r="S1239" s="182">
        <f t="shared" si="56"/>
        <v>4.06E-4</v>
      </c>
    </row>
    <row r="1240" spans="9:19">
      <c r="I1240" s="124" t="s">
        <v>1321</v>
      </c>
      <c r="J1240" s="124" t="s">
        <v>1322</v>
      </c>
      <c r="K1240" s="124"/>
      <c r="L1240" s="124">
        <v>3.3399999999999999E-4</v>
      </c>
      <c r="M1240" s="182">
        <v>6.1700000000000004E-4</v>
      </c>
      <c r="N1240" s="182">
        <v>6.1700000000000004E-4</v>
      </c>
      <c r="O1240" s="182">
        <v>6.1700000000000004E-4</v>
      </c>
      <c r="P1240" s="182">
        <v>6.1700000000000004E-4</v>
      </c>
      <c r="R1240" s="154" t="str">
        <f t="shared" si="55"/>
        <v>A0772:(株)エスコ</v>
      </c>
      <c r="S1240" s="182">
        <f t="shared" si="56"/>
        <v>3.3399999999999999E-4</v>
      </c>
    </row>
    <row r="1241" spans="9:19">
      <c r="I1241" s="124" t="s">
        <v>1323</v>
      </c>
      <c r="J1241" s="124" t="s">
        <v>1324</v>
      </c>
      <c r="K1241" s="124"/>
      <c r="L1241" s="124">
        <v>3.88E-4</v>
      </c>
      <c r="M1241" s="182">
        <v>6.1700000000000004E-4</v>
      </c>
      <c r="N1241" s="182">
        <v>6.1700000000000004E-4</v>
      </c>
      <c r="O1241" s="182">
        <v>6.1700000000000004E-4</v>
      </c>
      <c r="P1241" s="182">
        <v>6.1700000000000004E-4</v>
      </c>
      <c r="R1241" s="154" t="str">
        <f t="shared" si="55"/>
        <v>A0773:(株)Qvou</v>
      </c>
      <c r="S1241" s="182">
        <f t="shared" si="56"/>
        <v>3.88E-4</v>
      </c>
    </row>
    <row r="1242" spans="9:19">
      <c r="I1242" s="124" t="s">
        <v>1325</v>
      </c>
      <c r="J1242" s="124" t="s">
        <v>1326</v>
      </c>
      <c r="K1242" s="124" t="s">
        <v>390</v>
      </c>
      <c r="L1242" s="124">
        <v>0</v>
      </c>
      <c r="M1242" s="182">
        <v>6.1700000000000004E-4</v>
      </c>
      <c r="N1242" s="182">
        <v>6.1700000000000004E-4</v>
      </c>
      <c r="O1242" s="182">
        <v>6.1700000000000004E-4</v>
      </c>
      <c r="P1242" s="182">
        <v>6.1700000000000004E-4</v>
      </c>
      <c r="R1242" s="154" t="str">
        <f t="shared" si="55"/>
        <v>A0777:住友商事(株)メニューA</v>
      </c>
      <c r="S1242" s="182">
        <f t="shared" si="56"/>
        <v>0</v>
      </c>
    </row>
    <row r="1243" spans="9:19">
      <c r="I1243" s="124" t="s">
        <v>1325</v>
      </c>
      <c r="J1243" s="124" t="s">
        <v>1326</v>
      </c>
      <c r="K1243" s="124" t="s">
        <v>2010</v>
      </c>
      <c r="L1243" s="124">
        <v>4.1300000000000001E-4</v>
      </c>
      <c r="M1243" s="182">
        <v>6.1700000000000004E-4</v>
      </c>
      <c r="N1243" s="182">
        <v>6.1700000000000004E-4</v>
      </c>
      <c r="O1243" s="182">
        <v>6.1700000000000004E-4</v>
      </c>
      <c r="P1243" s="182">
        <v>6.1700000000000004E-4</v>
      </c>
      <c r="R1243" s="154" t="str">
        <f t="shared" si="55"/>
        <v>A0777:住友商事(株)(参考値)事業者全体</v>
      </c>
      <c r="S1243" s="182">
        <f t="shared" si="56"/>
        <v>4.1300000000000001E-4</v>
      </c>
    </row>
    <row r="1244" spans="9:19">
      <c r="I1244" s="124" t="s">
        <v>1327</v>
      </c>
      <c r="J1244" s="124" t="s">
        <v>1328</v>
      </c>
      <c r="K1244" s="124"/>
      <c r="L1244" s="124">
        <v>5.8299999999999997E-4</v>
      </c>
      <c r="M1244" s="182">
        <v>6.1700000000000004E-4</v>
      </c>
      <c r="N1244" s="182">
        <v>6.1700000000000004E-4</v>
      </c>
      <c r="O1244" s="182">
        <v>6.1700000000000004E-4</v>
      </c>
      <c r="P1244" s="182">
        <v>6.1700000000000004E-4</v>
      </c>
      <c r="R1244" s="154" t="str">
        <f t="shared" si="55"/>
        <v>A0781:(株)丸の内電力</v>
      </c>
      <c r="S1244" s="182">
        <f t="shared" si="56"/>
        <v>5.8299999999999997E-4</v>
      </c>
    </row>
    <row r="1245" spans="9:19">
      <c r="I1245" s="124" t="s">
        <v>1329</v>
      </c>
      <c r="J1245" s="124" t="s">
        <v>1330</v>
      </c>
      <c r="K1245" s="124"/>
      <c r="L1245" s="124">
        <v>4.8000000000000001E-4</v>
      </c>
      <c r="M1245" s="182">
        <v>6.1700000000000004E-4</v>
      </c>
      <c r="N1245" s="182">
        <v>6.1700000000000004E-4</v>
      </c>
      <c r="O1245" s="182">
        <v>6.1700000000000004E-4</v>
      </c>
      <c r="P1245" s="182">
        <v>6.1700000000000004E-4</v>
      </c>
      <c r="R1245" s="154" t="str">
        <f t="shared" si="55"/>
        <v>A0783:(株)中京電力</v>
      </c>
      <c r="S1245" s="182">
        <f t="shared" si="56"/>
        <v>4.8000000000000001E-4</v>
      </c>
    </row>
    <row r="1246" spans="9:19">
      <c r="I1246" s="124" t="s">
        <v>1331</v>
      </c>
      <c r="J1246" s="124" t="s">
        <v>1332</v>
      </c>
      <c r="K1246" s="124"/>
      <c r="L1246" s="124">
        <v>4.3199999999999998E-4</v>
      </c>
      <c r="M1246" s="182">
        <v>6.1700000000000004E-4</v>
      </c>
      <c r="N1246" s="182">
        <v>6.1700000000000004E-4</v>
      </c>
      <c r="O1246" s="182">
        <v>6.1700000000000004E-4</v>
      </c>
      <c r="P1246" s="182">
        <v>6.1700000000000004E-4</v>
      </c>
      <c r="R1246" s="154" t="str">
        <f t="shared" si="55"/>
        <v>A0785:(株)クオリティプラス</v>
      </c>
      <c r="S1246" s="182">
        <f t="shared" si="56"/>
        <v>4.3199999999999998E-4</v>
      </c>
    </row>
    <row r="1247" spans="9:19">
      <c r="I1247" s="124" t="s">
        <v>1333</v>
      </c>
      <c r="J1247" s="124" t="s">
        <v>1334</v>
      </c>
      <c r="K1247" s="124" t="s">
        <v>390</v>
      </c>
      <c r="L1247" s="124">
        <v>4.0999999999999999E-4</v>
      </c>
      <c r="M1247" s="182">
        <v>6.1700000000000004E-4</v>
      </c>
      <c r="N1247" s="182">
        <v>6.1700000000000004E-4</v>
      </c>
      <c r="O1247" s="182">
        <v>6.1700000000000004E-4</v>
      </c>
      <c r="P1247" s="182">
        <v>6.1700000000000004E-4</v>
      </c>
      <c r="R1247" s="154" t="str">
        <f t="shared" si="55"/>
        <v>A0786:Y.W.C.(株)メニューA</v>
      </c>
      <c r="S1247" s="182">
        <f t="shared" si="56"/>
        <v>4.0999999999999999E-4</v>
      </c>
    </row>
    <row r="1248" spans="9:19">
      <c r="I1248" s="124" t="s">
        <v>1333</v>
      </c>
      <c r="J1248" s="124" t="s">
        <v>1334</v>
      </c>
      <c r="K1248" s="124" t="s">
        <v>2010</v>
      </c>
      <c r="L1248" s="124">
        <v>4.6500000000000003E-4</v>
      </c>
      <c r="M1248" s="182">
        <v>6.1700000000000004E-4</v>
      </c>
      <c r="N1248" s="182">
        <v>6.1700000000000004E-4</v>
      </c>
      <c r="O1248" s="182">
        <v>6.1700000000000004E-4</v>
      </c>
      <c r="P1248" s="182">
        <v>6.1700000000000004E-4</v>
      </c>
      <c r="R1248" s="154" t="str">
        <f t="shared" si="55"/>
        <v>A0786:Y.W.C.(株)(参考値)事業者全体</v>
      </c>
      <c r="S1248" s="182">
        <f t="shared" si="56"/>
        <v>4.6500000000000003E-4</v>
      </c>
    </row>
    <row r="1249" spans="9:19">
      <c r="I1249" s="124" t="s">
        <v>1335</v>
      </c>
      <c r="J1249" s="124" t="s">
        <v>1336</v>
      </c>
      <c r="K1249" s="124"/>
      <c r="L1249" s="124">
        <v>4.0900000000000002E-4</v>
      </c>
      <c r="M1249" s="182">
        <v>6.1700000000000004E-4</v>
      </c>
      <c r="N1249" s="182">
        <v>6.1700000000000004E-4</v>
      </c>
      <c r="O1249" s="182">
        <v>6.1700000000000004E-4</v>
      </c>
      <c r="P1249" s="182">
        <v>6.1700000000000004E-4</v>
      </c>
      <c r="R1249" s="154" t="str">
        <f t="shared" si="55"/>
        <v>A0792:(株)MTエナジー</v>
      </c>
      <c r="S1249" s="182">
        <f t="shared" si="56"/>
        <v>4.0900000000000002E-4</v>
      </c>
    </row>
    <row r="1250" spans="9:19">
      <c r="I1250" s="124" t="s">
        <v>1337</v>
      </c>
      <c r="J1250" s="124" t="s">
        <v>1338</v>
      </c>
      <c r="K1250" s="124" t="s">
        <v>390</v>
      </c>
      <c r="L1250" s="124">
        <v>0</v>
      </c>
      <c r="M1250" s="182">
        <v>6.1700000000000004E-4</v>
      </c>
      <c r="N1250" s="182">
        <v>6.1700000000000004E-4</v>
      </c>
      <c r="O1250" s="182">
        <v>6.1700000000000004E-4</v>
      </c>
      <c r="P1250" s="182">
        <v>6.1700000000000004E-4</v>
      </c>
      <c r="R1250" s="154" t="str">
        <f t="shared" si="55"/>
        <v>A0793:TGオクトパスエナジー(株)メニューA</v>
      </c>
      <c r="S1250" s="182">
        <f t="shared" si="56"/>
        <v>0</v>
      </c>
    </row>
    <row r="1251" spans="9:19">
      <c r="I1251" s="124" t="s">
        <v>1337</v>
      </c>
      <c r="J1251" s="124" t="s">
        <v>1338</v>
      </c>
      <c r="K1251" s="124" t="s">
        <v>398</v>
      </c>
      <c r="L1251" s="124">
        <v>2.9999999999999997E-4</v>
      </c>
      <c r="M1251" s="182">
        <v>6.1700000000000004E-4</v>
      </c>
      <c r="N1251" s="182">
        <v>6.1700000000000004E-4</v>
      </c>
      <c r="O1251" s="182">
        <v>6.1700000000000004E-4</v>
      </c>
      <c r="P1251" s="182">
        <v>6.1700000000000004E-4</v>
      </c>
      <c r="R1251" s="154" t="str">
        <f t="shared" si="55"/>
        <v>A0793:TGオクトパスエナジー(株)メニューB</v>
      </c>
      <c r="S1251" s="182">
        <f t="shared" si="56"/>
        <v>2.9999999999999997E-4</v>
      </c>
    </row>
    <row r="1252" spans="9:19">
      <c r="I1252" s="124" t="s">
        <v>1337</v>
      </c>
      <c r="J1252" s="124" t="s">
        <v>1338</v>
      </c>
      <c r="K1252" s="124" t="s">
        <v>399</v>
      </c>
      <c r="L1252" s="124">
        <v>3.86E-4</v>
      </c>
      <c r="M1252" s="182">
        <v>6.1700000000000004E-4</v>
      </c>
      <c r="N1252" s="182">
        <v>6.1700000000000004E-4</v>
      </c>
      <c r="O1252" s="182">
        <v>6.1700000000000004E-4</v>
      </c>
      <c r="P1252" s="182">
        <v>6.1700000000000004E-4</v>
      </c>
      <c r="R1252" s="154" t="str">
        <f t="shared" si="55"/>
        <v>A0793:TGオクトパスエナジー(株)メニューC</v>
      </c>
      <c r="S1252" s="182">
        <f t="shared" si="56"/>
        <v>3.86E-4</v>
      </c>
    </row>
    <row r="1253" spans="9:19">
      <c r="I1253" s="124" t="s">
        <v>1337</v>
      </c>
      <c r="J1253" s="124" t="s">
        <v>1338</v>
      </c>
      <c r="K1253" s="124" t="s">
        <v>2010</v>
      </c>
      <c r="L1253" s="124">
        <v>7.1000000000000005E-5</v>
      </c>
      <c r="M1253" s="182">
        <v>6.1700000000000004E-4</v>
      </c>
      <c r="N1253" s="182">
        <v>6.1700000000000004E-4</v>
      </c>
      <c r="O1253" s="182">
        <v>6.1700000000000004E-4</v>
      </c>
      <c r="P1253" s="182">
        <v>6.1700000000000004E-4</v>
      </c>
      <c r="R1253" s="154" t="str">
        <f t="shared" si="55"/>
        <v>A0793:TGオクトパスエナジー(株)(参考値)事業者全体</v>
      </c>
      <c r="S1253" s="182">
        <f t="shared" si="56"/>
        <v>7.1000000000000005E-5</v>
      </c>
    </row>
    <row r="1254" spans="9:19">
      <c r="I1254" s="124" t="s">
        <v>1339</v>
      </c>
      <c r="J1254" s="124" t="s">
        <v>1340</v>
      </c>
      <c r="K1254" s="124" t="s">
        <v>390</v>
      </c>
      <c r="L1254" s="124">
        <v>0</v>
      </c>
      <c r="M1254" s="182">
        <v>6.1700000000000004E-4</v>
      </c>
      <c r="N1254" s="182">
        <v>6.1700000000000004E-4</v>
      </c>
      <c r="O1254" s="182">
        <v>6.1700000000000004E-4</v>
      </c>
      <c r="P1254" s="182">
        <v>6.1700000000000004E-4</v>
      </c>
      <c r="R1254" s="154" t="str">
        <f t="shared" si="55"/>
        <v>A0796:東北電力フロンティア(株)メニューA</v>
      </c>
      <c r="S1254" s="182">
        <f t="shared" si="56"/>
        <v>0</v>
      </c>
    </row>
    <row r="1255" spans="9:19">
      <c r="I1255" s="124" t="s">
        <v>1339</v>
      </c>
      <c r="J1255" s="124" t="s">
        <v>1340</v>
      </c>
      <c r="K1255" s="124" t="s">
        <v>398</v>
      </c>
      <c r="L1255" s="124">
        <v>5.2899999999999996E-4</v>
      </c>
      <c r="M1255" s="182">
        <v>6.1700000000000004E-4</v>
      </c>
      <c r="N1255" s="182">
        <v>6.1700000000000004E-4</v>
      </c>
      <c r="O1255" s="182">
        <v>6.1700000000000004E-4</v>
      </c>
      <c r="P1255" s="182">
        <v>6.1700000000000004E-4</v>
      </c>
      <c r="R1255" s="154" t="str">
        <f t="shared" si="55"/>
        <v>A0796:東北電力フロンティア(株)メニューB</v>
      </c>
      <c r="S1255" s="182">
        <f t="shared" si="56"/>
        <v>5.2899999999999996E-4</v>
      </c>
    </row>
    <row r="1256" spans="9:19">
      <c r="I1256" s="124" t="s">
        <v>1339</v>
      </c>
      <c r="J1256" s="124" t="s">
        <v>1340</v>
      </c>
      <c r="K1256" s="124" t="s">
        <v>2010</v>
      </c>
      <c r="L1256" s="124">
        <v>5.2800000000000004E-4</v>
      </c>
      <c r="M1256" s="182">
        <v>6.1700000000000004E-4</v>
      </c>
      <c r="N1256" s="182">
        <v>6.1700000000000004E-4</v>
      </c>
      <c r="O1256" s="182">
        <v>6.1700000000000004E-4</v>
      </c>
      <c r="P1256" s="182">
        <v>6.1700000000000004E-4</v>
      </c>
      <c r="R1256" s="154" t="str">
        <f t="shared" si="55"/>
        <v>A0796:東北電力フロンティア(株)(参考値)事業者全体</v>
      </c>
      <c r="S1256" s="182">
        <f t="shared" si="56"/>
        <v>5.2800000000000004E-4</v>
      </c>
    </row>
    <row r="1257" spans="9:19">
      <c r="I1257" s="124" t="s">
        <v>1341</v>
      </c>
      <c r="J1257" s="124" t="s">
        <v>1342</v>
      </c>
      <c r="K1257" s="124"/>
      <c r="L1257" s="124">
        <v>4.5399999999999998E-4</v>
      </c>
      <c r="M1257" s="182">
        <v>6.1700000000000004E-4</v>
      </c>
      <c r="N1257" s="182">
        <v>6.1700000000000004E-4</v>
      </c>
      <c r="O1257" s="182">
        <v>6.1700000000000004E-4</v>
      </c>
      <c r="P1257" s="182">
        <v>6.1700000000000004E-4</v>
      </c>
      <c r="R1257" s="154" t="str">
        <f t="shared" si="55"/>
        <v>A0798:(株)ファラデー</v>
      </c>
      <c r="S1257" s="182">
        <f t="shared" si="56"/>
        <v>4.5399999999999998E-4</v>
      </c>
    </row>
    <row r="1258" spans="9:19">
      <c r="I1258" s="124" t="s">
        <v>1343</v>
      </c>
      <c r="J1258" s="124" t="s">
        <v>1344</v>
      </c>
      <c r="K1258" s="124"/>
      <c r="L1258" s="124">
        <v>3.8500000000000003E-4</v>
      </c>
      <c r="M1258" s="182">
        <v>6.1700000000000004E-4</v>
      </c>
      <c r="N1258" s="182">
        <v>6.1700000000000004E-4</v>
      </c>
      <c r="O1258" s="182">
        <v>6.1700000000000004E-4</v>
      </c>
      <c r="P1258" s="182">
        <v>6.1700000000000004E-4</v>
      </c>
      <c r="R1258" s="154" t="str">
        <f t="shared" si="55"/>
        <v>A0799:三菱HCキャピタルエナジー(株)</v>
      </c>
      <c r="S1258" s="182">
        <f t="shared" si="56"/>
        <v>3.8500000000000003E-4</v>
      </c>
    </row>
    <row r="1259" spans="9:19">
      <c r="I1259" s="124" t="s">
        <v>1345</v>
      </c>
      <c r="J1259" s="124" t="s">
        <v>1346</v>
      </c>
      <c r="K1259" s="124"/>
      <c r="L1259" s="124">
        <v>5.5699999999999999E-4</v>
      </c>
      <c r="M1259" s="182">
        <v>6.1700000000000004E-4</v>
      </c>
      <c r="N1259" s="182">
        <v>6.1700000000000004E-4</v>
      </c>
      <c r="O1259" s="182">
        <v>6.1700000000000004E-4</v>
      </c>
      <c r="P1259" s="182">
        <v>6.1700000000000004E-4</v>
      </c>
      <c r="R1259" s="154" t="str">
        <f t="shared" si="55"/>
        <v>A0800:(株)Meisin</v>
      </c>
      <c r="S1259" s="182">
        <f t="shared" si="56"/>
        <v>5.5699999999999999E-4</v>
      </c>
    </row>
    <row r="1260" spans="9:19">
      <c r="I1260" s="124" t="s">
        <v>1347</v>
      </c>
      <c r="J1260" s="124" t="s">
        <v>1348</v>
      </c>
      <c r="K1260" s="124"/>
      <c r="L1260" s="124">
        <v>0</v>
      </c>
      <c r="M1260" s="182">
        <v>6.1700000000000004E-4</v>
      </c>
      <c r="N1260" s="182">
        <v>6.1700000000000004E-4</v>
      </c>
      <c r="O1260" s="182">
        <v>6.1700000000000004E-4</v>
      </c>
      <c r="P1260" s="182">
        <v>6.1700000000000004E-4</v>
      </c>
      <c r="R1260" s="154" t="str">
        <f t="shared" si="55"/>
        <v>A0802:大塚ビジネスサポート(株)</v>
      </c>
      <c r="S1260" s="182">
        <f t="shared" si="56"/>
        <v>0</v>
      </c>
    </row>
    <row r="1261" spans="9:19">
      <c r="I1261" s="124" t="s">
        <v>1349</v>
      </c>
      <c r="J1261" s="124" t="s">
        <v>1350</v>
      </c>
      <c r="K1261" s="124"/>
      <c r="L1261" s="124">
        <v>5.9299999999999999E-4</v>
      </c>
      <c r="M1261" s="182">
        <v>6.1700000000000004E-4</v>
      </c>
      <c r="N1261" s="182">
        <v>6.1700000000000004E-4</v>
      </c>
      <c r="O1261" s="182">
        <v>6.1700000000000004E-4</v>
      </c>
      <c r="P1261" s="182">
        <v>6.1700000000000004E-4</v>
      </c>
      <c r="R1261" s="154" t="str">
        <f t="shared" si="55"/>
        <v>A0803:出雲ケーブルビジョン(株)</v>
      </c>
      <c r="S1261" s="182">
        <f t="shared" si="56"/>
        <v>5.9299999999999999E-4</v>
      </c>
    </row>
    <row r="1262" spans="9:19">
      <c r="I1262" s="124" t="s">
        <v>1351</v>
      </c>
      <c r="J1262" s="124" t="s">
        <v>1352</v>
      </c>
      <c r="K1262" s="124"/>
      <c r="L1262" s="124">
        <v>1.02E-4</v>
      </c>
      <c r="M1262" s="182">
        <v>6.1700000000000004E-4</v>
      </c>
      <c r="N1262" s="182">
        <v>6.1700000000000004E-4</v>
      </c>
      <c r="O1262" s="182">
        <v>6.1700000000000004E-4</v>
      </c>
      <c r="P1262" s="182">
        <v>6.1700000000000004E-4</v>
      </c>
      <c r="R1262" s="154" t="str">
        <f t="shared" si="55"/>
        <v>A0806:いずも縁結び電力(株)</v>
      </c>
      <c r="S1262" s="182">
        <f t="shared" si="56"/>
        <v>1.02E-4</v>
      </c>
    </row>
    <row r="1263" spans="9:19">
      <c r="I1263" s="124" t="s">
        <v>1353</v>
      </c>
      <c r="J1263" s="124" t="s">
        <v>1354</v>
      </c>
      <c r="K1263" s="124" t="s">
        <v>390</v>
      </c>
      <c r="L1263" s="124">
        <v>2.6600000000000001E-4</v>
      </c>
      <c r="M1263" s="182">
        <v>6.1700000000000004E-4</v>
      </c>
      <c r="N1263" s="182">
        <v>6.1700000000000004E-4</v>
      </c>
      <c r="O1263" s="182">
        <v>6.1700000000000004E-4</v>
      </c>
      <c r="P1263" s="182">
        <v>6.1700000000000004E-4</v>
      </c>
      <c r="R1263" s="154" t="str">
        <f t="shared" si="55"/>
        <v>A0807:恵那電力(株)メニューA</v>
      </c>
      <c r="S1263" s="182">
        <f t="shared" si="56"/>
        <v>2.6600000000000001E-4</v>
      </c>
    </row>
    <row r="1264" spans="9:19">
      <c r="I1264" s="124" t="s">
        <v>1353</v>
      </c>
      <c r="J1264" s="124" t="s">
        <v>1354</v>
      </c>
      <c r="K1264" s="124" t="s">
        <v>398</v>
      </c>
      <c r="L1264" s="124">
        <v>4.06E-4</v>
      </c>
      <c r="M1264" s="182">
        <v>6.1700000000000004E-4</v>
      </c>
      <c r="N1264" s="182">
        <v>6.1700000000000004E-4</v>
      </c>
      <c r="O1264" s="182">
        <v>6.1700000000000004E-4</v>
      </c>
      <c r="P1264" s="182">
        <v>6.1700000000000004E-4</v>
      </c>
      <c r="R1264" s="154" t="str">
        <f t="shared" si="55"/>
        <v>A0807:恵那電力(株)メニューB</v>
      </c>
      <c r="S1264" s="182">
        <f t="shared" si="56"/>
        <v>4.06E-4</v>
      </c>
    </row>
    <row r="1265" spans="9:19">
      <c r="I1265" s="124" t="s">
        <v>1353</v>
      </c>
      <c r="J1265" s="124" t="s">
        <v>1354</v>
      </c>
      <c r="K1265" s="124" t="s">
        <v>2010</v>
      </c>
      <c r="L1265" s="124">
        <v>3.8299999999999999E-4</v>
      </c>
      <c r="M1265" s="182">
        <v>6.1700000000000004E-4</v>
      </c>
      <c r="N1265" s="182">
        <v>6.1700000000000004E-4</v>
      </c>
      <c r="O1265" s="182">
        <v>6.1700000000000004E-4</v>
      </c>
      <c r="P1265" s="182">
        <v>6.1700000000000004E-4</v>
      </c>
      <c r="R1265" s="154" t="str">
        <f t="shared" si="55"/>
        <v>A0807:恵那電力(株)(参考値)事業者全体</v>
      </c>
      <c r="S1265" s="182">
        <f t="shared" si="56"/>
        <v>3.8299999999999999E-4</v>
      </c>
    </row>
    <row r="1266" spans="9:19">
      <c r="I1266" s="124" t="s">
        <v>1355</v>
      </c>
      <c r="J1266" s="124" t="s">
        <v>1356</v>
      </c>
      <c r="K1266" s="124" t="s">
        <v>390</v>
      </c>
      <c r="L1266" s="124">
        <v>0</v>
      </c>
      <c r="M1266" s="182">
        <v>6.1700000000000004E-4</v>
      </c>
      <c r="N1266" s="182">
        <v>6.1700000000000004E-4</v>
      </c>
      <c r="O1266" s="182">
        <v>6.1700000000000004E-4</v>
      </c>
      <c r="P1266" s="182">
        <v>6.1700000000000004E-4</v>
      </c>
      <c r="R1266" s="154" t="str">
        <f t="shared" si="55"/>
        <v>A0808:宇都宮ライトパワー(株)メニューA</v>
      </c>
      <c r="S1266" s="182">
        <f t="shared" si="56"/>
        <v>0</v>
      </c>
    </row>
    <row r="1267" spans="9:19">
      <c r="I1267" s="124" t="s">
        <v>1355</v>
      </c>
      <c r="J1267" s="124" t="s">
        <v>1356</v>
      </c>
      <c r="K1267" s="124" t="s">
        <v>398</v>
      </c>
      <c r="L1267" s="124">
        <v>5.7000000000000003E-5</v>
      </c>
      <c r="M1267" s="182">
        <v>6.1700000000000004E-4</v>
      </c>
      <c r="N1267" s="182">
        <v>6.1700000000000004E-4</v>
      </c>
      <c r="O1267" s="182">
        <v>6.1700000000000004E-4</v>
      </c>
      <c r="P1267" s="182">
        <v>6.1700000000000004E-4</v>
      </c>
      <c r="R1267" s="154" t="str">
        <f t="shared" si="55"/>
        <v>A0808:宇都宮ライトパワー(株)メニューB</v>
      </c>
      <c r="S1267" s="182">
        <f t="shared" si="56"/>
        <v>5.7000000000000003E-5</v>
      </c>
    </row>
    <row r="1268" spans="9:19">
      <c r="I1268" s="124" t="s">
        <v>1355</v>
      </c>
      <c r="J1268" s="124" t="s">
        <v>1356</v>
      </c>
      <c r="K1268" s="124" t="s">
        <v>2010</v>
      </c>
      <c r="L1268" s="124">
        <v>1.0000000000000001E-5</v>
      </c>
      <c r="M1268" s="182">
        <v>6.1700000000000004E-4</v>
      </c>
      <c r="N1268" s="182">
        <v>6.1700000000000004E-4</v>
      </c>
      <c r="O1268" s="182">
        <v>6.1700000000000004E-4</v>
      </c>
      <c r="P1268" s="182">
        <v>6.1700000000000004E-4</v>
      </c>
      <c r="R1268" s="154" t="str">
        <f t="shared" si="55"/>
        <v>A0808:宇都宮ライトパワー(株)(参考値)事業者全体</v>
      </c>
      <c r="S1268" s="182">
        <f t="shared" si="56"/>
        <v>1.0000000000000001E-5</v>
      </c>
    </row>
    <row r="1269" spans="9:19">
      <c r="I1269" s="124" t="s">
        <v>1357</v>
      </c>
      <c r="J1269" s="124" t="s">
        <v>1358</v>
      </c>
      <c r="K1269" s="124"/>
      <c r="L1269" s="124">
        <v>4.9700000000000005E-4</v>
      </c>
      <c r="M1269" s="182">
        <v>6.1700000000000004E-4</v>
      </c>
      <c r="N1269" s="182">
        <v>6.1700000000000004E-4</v>
      </c>
      <c r="O1269" s="182">
        <v>6.1700000000000004E-4</v>
      </c>
      <c r="P1269" s="182">
        <v>6.1700000000000004E-4</v>
      </c>
      <c r="R1269" s="154" t="str">
        <f t="shared" si="55"/>
        <v>A0809:帯広電力(株)</v>
      </c>
      <c r="S1269" s="182">
        <f t="shared" si="56"/>
        <v>4.9700000000000005E-4</v>
      </c>
    </row>
    <row r="1270" spans="9:19">
      <c r="I1270" s="124" t="s">
        <v>1359</v>
      </c>
      <c r="J1270" s="124" t="s">
        <v>1360</v>
      </c>
      <c r="K1270" s="124"/>
      <c r="L1270" s="124">
        <v>6.0099999999999997E-4</v>
      </c>
      <c r="M1270" s="182">
        <v>6.1700000000000004E-4</v>
      </c>
      <c r="N1270" s="182">
        <v>6.1700000000000004E-4</v>
      </c>
      <c r="O1270" s="182">
        <v>6.1700000000000004E-4</v>
      </c>
      <c r="P1270" s="182">
        <v>6.1700000000000004E-4</v>
      </c>
      <c r="R1270" s="154" t="str">
        <f t="shared" si="55"/>
        <v>A0810:フジ物産(株)</v>
      </c>
      <c r="S1270" s="182">
        <f t="shared" si="56"/>
        <v>6.0099999999999997E-4</v>
      </c>
    </row>
    <row r="1271" spans="9:19">
      <c r="I1271" s="124" t="s">
        <v>1361</v>
      </c>
      <c r="J1271" s="124" t="s">
        <v>1362</v>
      </c>
      <c r="K1271" s="124" t="s">
        <v>390</v>
      </c>
      <c r="L1271" s="124">
        <v>0</v>
      </c>
      <c r="M1271" s="182">
        <v>6.1700000000000004E-4</v>
      </c>
      <c r="N1271" s="182">
        <v>6.1700000000000004E-4</v>
      </c>
      <c r="O1271" s="182">
        <v>6.1700000000000004E-4</v>
      </c>
      <c r="P1271" s="182">
        <v>6.1700000000000004E-4</v>
      </c>
      <c r="R1271" s="154" t="str">
        <f t="shared" si="55"/>
        <v>A0812:金沢エナジー(株)メニューA</v>
      </c>
      <c r="S1271" s="182">
        <f t="shared" si="56"/>
        <v>0</v>
      </c>
    </row>
    <row r="1272" spans="9:19">
      <c r="I1272" s="124" t="s">
        <v>1361</v>
      </c>
      <c r="J1272" s="124" t="s">
        <v>1362</v>
      </c>
      <c r="K1272" s="124" t="s">
        <v>398</v>
      </c>
      <c r="L1272" s="124">
        <v>3.86E-4</v>
      </c>
      <c r="M1272" s="182">
        <v>6.1700000000000004E-4</v>
      </c>
      <c r="N1272" s="182">
        <v>6.1700000000000004E-4</v>
      </c>
      <c r="O1272" s="182">
        <v>6.1700000000000004E-4</v>
      </c>
      <c r="P1272" s="182">
        <v>6.1700000000000004E-4</v>
      </c>
      <c r="R1272" s="154" t="str">
        <f t="shared" si="55"/>
        <v>A0812:金沢エナジー(株)メニューB</v>
      </c>
      <c r="S1272" s="182">
        <f t="shared" si="56"/>
        <v>3.86E-4</v>
      </c>
    </row>
    <row r="1273" spans="9:19">
      <c r="I1273" s="124" t="s">
        <v>1361</v>
      </c>
      <c r="J1273" s="124" t="s">
        <v>1362</v>
      </c>
      <c r="K1273" s="124" t="s">
        <v>2010</v>
      </c>
      <c r="L1273" s="124">
        <v>3.86E-4</v>
      </c>
      <c r="M1273" s="182">
        <v>6.1700000000000004E-4</v>
      </c>
      <c r="N1273" s="182">
        <v>6.1700000000000004E-4</v>
      </c>
      <c r="O1273" s="182">
        <v>6.1700000000000004E-4</v>
      </c>
      <c r="P1273" s="182">
        <v>6.1700000000000004E-4</v>
      </c>
      <c r="R1273" s="154" t="str">
        <f t="shared" si="55"/>
        <v>A0812:金沢エナジー(株)(参考値)事業者全体</v>
      </c>
      <c r="S1273" s="182">
        <f t="shared" si="56"/>
        <v>3.86E-4</v>
      </c>
    </row>
    <row r="1274" spans="9:19">
      <c r="I1274" s="124" t="s">
        <v>1363</v>
      </c>
      <c r="J1274" s="124" t="s">
        <v>1364</v>
      </c>
      <c r="K1274" s="124"/>
      <c r="L1274" s="124">
        <v>4.46E-4</v>
      </c>
      <c r="M1274" s="182">
        <v>6.1700000000000004E-4</v>
      </c>
      <c r="N1274" s="182">
        <v>6.1700000000000004E-4</v>
      </c>
      <c r="O1274" s="182">
        <v>6.1700000000000004E-4</v>
      </c>
      <c r="P1274" s="182">
        <v>6.1700000000000004E-4</v>
      </c>
      <c r="R1274" s="154" t="str">
        <f t="shared" si="55"/>
        <v>A0817:(株)なんとエナジー</v>
      </c>
      <c r="S1274" s="182">
        <f t="shared" si="56"/>
        <v>4.46E-4</v>
      </c>
    </row>
    <row r="1275" spans="9:19">
      <c r="I1275" s="124" t="s">
        <v>1365</v>
      </c>
      <c r="J1275" s="124" t="s">
        <v>1366</v>
      </c>
      <c r="K1275" s="124"/>
      <c r="L1275" s="124">
        <v>4.8200000000000001E-4</v>
      </c>
      <c r="M1275" s="182">
        <v>6.1700000000000004E-4</v>
      </c>
      <c r="N1275" s="182">
        <v>6.1700000000000004E-4</v>
      </c>
      <c r="O1275" s="182">
        <v>6.1700000000000004E-4</v>
      </c>
      <c r="P1275" s="182">
        <v>6.1700000000000004E-4</v>
      </c>
      <c r="R1275" s="154" t="str">
        <f t="shared" si="55"/>
        <v>A0818:EDF Trading Japan(株)</v>
      </c>
      <c r="S1275" s="182">
        <f t="shared" si="56"/>
        <v>4.8200000000000001E-4</v>
      </c>
    </row>
    <row r="1276" spans="9:19">
      <c r="I1276" s="124" t="s">
        <v>1367</v>
      </c>
      <c r="J1276" s="124" t="s">
        <v>1368</v>
      </c>
      <c r="K1276" s="124" t="s">
        <v>390</v>
      </c>
      <c r="L1276" s="124">
        <v>0</v>
      </c>
      <c r="M1276" s="182">
        <v>6.1700000000000004E-4</v>
      </c>
      <c r="N1276" s="182">
        <v>6.1700000000000004E-4</v>
      </c>
      <c r="O1276" s="182">
        <v>6.1700000000000004E-4</v>
      </c>
      <c r="P1276" s="182">
        <v>6.1700000000000004E-4</v>
      </c>
      <c r="R1276" s="154" t="str">
        <f t="shared" si="55"/>
        <v>A0819:(株)ボーダレス・ジャパンメニューA</v>
      </c>
      <c r="S1276" s="182">
        <f t="shared" si="56"/>
        <v>0</v>
      </c>
    </row>
    <row r="1277" spans="9:19">
      <c r="I1277" s="124" t="s">
        <v>1367</v>
      </c>
      <c r="J1277" s="124" t="s">
        <v>1368</v>
      </c>
      <c r="K1277" s="124" t="s">
        <v>2010</v>
      </c>
      <c r="L1277" s="124">
        <v>0</v>
      </c>
      <c r="M1277" s="182">
        <v>6.1700000000000004E-4</v>
      </c>
      <c r="N1277" s="182">
        <v>6.1700000000000004E-4</v>
      </c>
      <c r="O1277" s="182">
        <v>6.1700000000000004E-4</v>
      </c>
      <c r="P1277" s="182">
        <v>6.1700000000000004E-4</v>
      </c>
      <c r="R1277" s="154" t="str">
        <f t="shared" si="55"/>
        <v>A0819:(株)ボーダレス・ジャパン(参考値)事業者全体</v>
      </c>
      <c r="S1277" s="182">
        <f t="shared" si="56"/>
        <v>0</v>
      </c>
    </row>
    <row r="1278" spans="9:19">
      <c r="I1278" s="124" t="s">
        <v>1369</v>
      </c>
      <c r="J1278" s="124" t="s">
        <v>1370</v>
      </c>
      <c r="K1278" s="124" t="s">
        <v>390</v>
      </c>
      <c r="L1278" s="124">
        <v>0</v>
      </c>
      <c r="M1278" s="182">
        <v>6.1700000000000004E-4</v>
      </c>
      <c r="N1278" s="182">
        <v>6.1700000000000004E-4</v>
      </c>
      <c r="O1278" s="182">
        <v>6.1700000000000004E-4</v>
      </c>
      <c r="P1278" s="182">
        <v>6.1700000000000004E-4</v>
      </c>
      <c r="R1278" s="154" t="str">
        <f t="shared" si="55"/>
        <v>A0820:(株)ワットメニューA</v>
      </c>
      <c r="S1278" s="182">
        <f t="shared" si="56"/>
        <v>0</v>
      </c>
    </row>
    <row r="1279" spans="9:19">
      <c r="I1279" s="124" t="s">
        <v>1369</v>
      </c>
      <c r="J1279" s="124" t="s">
        <v>1370</v>
      </c>
      <c r="K1279" s="124" t="s">
        <v>398</v>
      </c>
      <c r="L1279" s="124">
        <v>0</v>
      </c>
      <c r="M1279" s="182">
        <v>6.1700000000000004E-4</v>
      </c>
      <c r="N1279" s="182">
        <v>6.1700000000000004E-4</v>
      </c>
      <c r="O1279" s="182">
        <v>6.1700000000000004E-4</v>
      </c>
      <c r="P1279" s="182">
        <v>6.1700000000000004E-4</v>
      </c>
      <c r="R1279" s="154" t="str">
        <f t="shared" si="55"/>
        <v>A0820:(株)ワットメニューB</v>
      </c>
      <c r="S1279" s="182">
        <f t="shared" si="56"/>
        <v>0</v>
      </c>
    </row>
    <row r="1280" spans="9:19">
      <c r="I1280" s="124" t="s">
        <v>1369</v>
      </c>
      <c r="J1280" s="124" t="s">
        <v>1370</v>
      </c>
      <c r="K1280" s="124" t="s">
        <v>2010</v>
      </c>
      <c r="L1280" s="124">
        <v>0</v>
      </c>
      <c r="M1280" s="182">
        <v>6.1700000000000004E-4</v>
      </c>
      <c r="N1280" s="182">
        <v>6.1700000000000004E-4</v>
      </c>
      <c r="O1280" s="182">
        <v>6.1700000000000004E-4</v>
      </c>
      <c r="P1280" s="182">
        <v>6.1700000000000004E-4</v>
      </c>
      <c r="R1280" s="154" t="str">
        <f t="shared" si="55"/>
        <v>A0820:(株)ワット(参考値)事業者全体</v>
      </c>
      <c r="S1280" s="182">
        <f t="shared" si="56"/>
        <v>0</v>
      </c>
    </row>
    <row r="1281" spans="9:19">
      <c r="I1281" s="124" t="s">
        <v>1371</v>
      </c>
      <c r="J1281" s="124" t="s">
        <v>1372</v>
      </c>
      <c r="K1281" s="124"/>
      <c r="L1281" s="124">
        <v>5.5400000000000002E-4</v>
      </c>
      <c r="M1281" s="182">
        <v>6.1700000000000004E-4</v>
      </c>
      <c r="N1281" s="182">
        <v>6.1700000000000004E-4</v>
      </c>
      <c r="O1281" s="182">
        <v>6.1700000000000004E-4</v>
      </c>
      <c r="P1281" s="182">
        <v>6.1700000000000004E-4</v>
      </c>
      <c r="R1281" s="154" t="str">
        <f t="shared" si="55"/>
        <v>A0821:ジケイ・スペース(株)</v>
      </c>
      <c r="S1281" s="182">
        <f t="shared" si="56"/>
        <v>5.5400000000000002E-4</v>
      </c>
    </row>
    <row r="1282" spans="9:19">
      <c r="I1282" s="124" t="s">
        <v>1373</v>
      </c>
      <c r="J1282" s="124" t="s">
        <v>1374</v>
      </c>
      <c r="K1282" s="124" t="s">
        <v>390</v>
      </c>
      <c r="L1282" s="124">
        <v>0</v>
      </c>
      <c r="M1282" s="182">
        <v>6.1700000000000004E-4</v>
      </c>
      <c r="N1282" s="182">
        <v>6.1700000000000004E-4</v>
      </c>
      <c r="O1282" s="182">
        <v>6.1700000000000004E-4</v>
      </c>
      <c r="P1282" s="182">
        <v>6.1700000000000004E-4</v>
      </c>
      <c r="R1282" s="154" t="str">
        <f t="shared" si="55"/>
        <v>A0822:広島ガス(株)メニューA</v>
      </c>
      <c r="S1282" s="182">
        <f t="shared" si="56"/>
        <v>0</v>
      </c>
    </row>
    <row r="1283" spans="9:19">
      <c r="I1283" s="124" t="s">
        <v>1373</v>
      </c>
      <c r="J1283" s="124" t="s">
        <v>1374</v>
      </c>
      <c r="K1283" s="124" t="s">
        <v>2010</v>
      </c>
      <c r="L1283" s="124">
        <v>0</v>
      </c>
      <c r="M1283" s="182">
        <v>6.1700000000000004E-4</v>
      </c>
      <c r="N1283" s="182">
        <v>6.1700000000000004E-4</v>
      </c>
      <c r="O1283" s="182">
        <v>6.1700000000000004E-4</v>
      </c>
      <c r="P1283" s="182">
        <v>6.1700000000000004E-4</v>
      </c>
      <c r="R1283" s="154" t="str">
        <f t="shared" si="55"/>
        <v>A0822:広島ガス(株)(参考値)事業者全体</v>
      </c>
      <c r="S1283" s="182">
        <f t="shared" si="56"/>
        <v>0</v>
      </c>
    </row>
    <row r="1284" spans="9:19">
      <c r="I1284" s="124" t="s">
        <v>1375</v>
      </c>
      <c r="J1284" s="124" t="s">
        <v>1376</v>
      </c>
      <c r="K1284" s="124"/>
      <c r="L1284" s="124">
        <v>4.6299999999999998E-4</v>
      </c>
      <c r="M1284" s="182">
        <v>6.1700000000000004E-4</v>
      </c>
      <c r="N1284" s="182">
        <v>6.1700000000000004E-4</v>
      </c>
      <c r="O1284" s="182">
        <v>6.1700000000000004E-4</v>
      </c>
      <c r="P1284" s="182">
        <v>6.1700000000000004E-4</v>
      </c>
      <c r="R1284" s="154" t="str">
        <f t="shared" si="55"/>
        <v>A0824:(株)IQg</v>
      </c>
      <c r="S1284" s="182">
        <f t="shared" si="56"/>
        <v>4.6299999999999998E-4</v>
      </c>
    </row>
    <row r="1285" spans="9:19">
      <c r="I1285" s="124" t="s">
        <v>1377</v>
      </c>
      <c r="J1285" s="124" t="s">
        <v>1378</v>
      </c>
      <c r="K1285" s="124"/>
      <c r="L1285" s="124">
        <v>4.6000000000000001E-4</v>
      </c>
      <c r="M1285" s="182">
        <v>6.1700000000000004E-4</v>
      </c>
      <c r="N1285" s="182">
        <v>6.1700000000000004E-4</v>
      </c>
      <c r="O1285" s="182">
        <v>6.1700000000000004E-4</v>
      </c>
      <c r="P1285" s="182">
        <v>6.1700000000000004E-4</v>
      </c>
      <c r="R1285" s="154" t="str">
        <f t="shared" ref="R1285:R1348" si="57">I1285&amp;":"&amp;J1285&amp;K1285</f>
        <v>A0825:エナジーサプライ(株)</v>
      </c>
      <c r="S1285" s="182">
        <f t="shared" si="56"/>
        <v>4.6000000000000001E-4</v>
      </c>
    </row>
    <row r="1286" spans="9:19">
      <c r="I1286" s="124" t="s">
        <v>1379</v>
      </c>
      <c r="J1286" s="124" t="s">
        <v>1380</v>
      </c>
      <c r="K1286" s="124" t="s">
        <v>390</v>
      </c>
      <c r="L1286" s="124">
        <v>0</v>
      </c>
      <c r="M1286" s="182">
        <v>6.1700000000000004E-4</v>
      </c>
      <c r="N1286" s="182">
        <v>6.1700000000000004E-4</v>
      </c>
      <c r="O1286" s="182">
        <v>6.1700000000000004E-4</v>
      </c>
      <c r="P1286" s="182">
        <v>6.1700000000000004E-4</v>
      </c>
      <c r="R1286" s="154" t="str">
        <f t="shared" si="57"/>
        <v>A0826:(株)FPSメニューA</v>
      </c>
      <c r="S1286" s="182">
        <f t="shared" si="56"/>
        <v>0</v>
      </c>
    </row>
    <row r="1287" spans="9:19">
      <c r="I1287" s="124" t="s">
        <v>1379</v>
      </c>
      <c r="J1287" s="124" t="s">
        <v>1380</v>
      </c>
      <c r="K1287" s="124" t="s">
        <v>398</v>
      </c>
      <c r="L1287" s="124">
        <v>0</v>
      </c>
      <c r="M1287" s="182">
        <v>6.1700000000000004E-4</v>
      </c>
      <c r="N1287" s="182">
        <v>6.1700000000000004E-4</v>
      </c>
      <c r="O1287" s="182">
        <v>6.1700000000000004E-4</v>
      </c>
      <c r="P1287" s="182">
        <v>6.1700000000000004E-4</v>
      </c>
      <c r="R1287" s="154" t="str">
        <f t="shared" si="57"/>
        <v>A0826:(株)FPSメニューB</v>
      </c>
      <c r="S1287" s="182">
        <f t="shared" si="56"/>
        <v>0</v>
      </c>
    </row>
    <row r="1288" spans="9:19">
      <c r="I1288" s="124" t="s">
        <v>1379</v>
      </c>
      <c r="J1288" s="124" t="s">
        <v>1380</v>
      </c>
      <c r="K1288" s="124" t="s">
        <v>399</v>
      </c>
      <c r="L1288" s="124">
        <v>1.6700000000000002E-4</v>
      </c>
      <c r="M1288" s="182">
        <v>6.1700000000000004E-4</v>
      </c>
      <c r="N1288" s="182">
        <v>6.1700000000000004E-4</v>
      </c>
      <c r="O1288" s="182">
        <v>6.1700000000000004E-4</v>
      </c>
      <c r="P1288" s="182">
        <v>6.1700000000000004E-4</v>
      </c>
      <c r="R1288" s="154" t="str">
        <f t="shared" si="57"/>
        <v>A0826:(株)FPSメニューC</v>
      </c>
      <c r="S1288" s="182">
        <f t="shared" si="56"/>
        <v>1.6700000000000002E-4</v>
      </c>
    </row>
    <row r="1289" spans="9:19">
      <c r="I1289" s="124" t="s">
        <v>1379</v>
      </c>
      <c r="J1289" s="124" t="s">
        <v>1380</v>
      </c>
      <c r="K1289" s="124" t="s">
        <v>400</v>
      </c>
      <c r="L1289" s="124">
        <v>2.13E-4</v>
      </c>
      <c r="M1289" s="182">
        <v>6.1700000000000004E-4</v>
      </c>
      <c r="N1289" s="182">
        <v>6.1700000000000004E-4</v>
      </c>
      <c r="O1289" s="182">
        <v>6.1700000000000004E-4</v>
      </c>
      <c r="P1289" s="182">
        <v>6.1700000000000004E-4</v>
      </c>
      <c r="R1289" s="154" t="str">
        <f t="shared" si="57"/>
        <v>A0826:(株)FPSメニューD</v>
      </c>
      <c r="S1289" s="182">
        <f t="shared" si="56"/>
        <v>2.13E-4</v>
      </c>
    </row>
    <row r="1290" spans="9:19">
      <c r="I1290" s="124" t="s">
        <v>1379</v>
      </c>
      <c r="J1290" s="124" t="s">
        <v>1380</v>
      </c>
      <c r="K1290" s="124" t="s">
        <v>401</v>
      </c>
      <c r="L1290" s="124">
        <v>3.0499999999999999E-4</v>
      </c>
      <c r="M1290" s="182">
        <v>6.1700000000000004E-4</v>
      </c>
      <c r="N1290" s="182">
        <v>6.1700000000000004E-4</v>
      </c>
      <c r="O1290" s="182">
        <v>6.1700000000000004E-4</v>
      </c>
      <c r="P1290" s="182">
        <v>6.1700000000000004E-4</v>
      </c>
      <c r="R1290" s="154" t="str">
        <f t="shared" si="57"/>
        <v>A0826:(株)FPSメニューE</v>
      </c>
      <c r="S1290" s="182">
        <f t="shared" ref="S1290:S1353" si="58">HLOOKUP($S$8,$L$8:$P$1500,ROW()-7,FALSE)</f>
        <v>3.0499999999999999E-4</v>
      </c>
    </row>
    <row r="1291" spans="9:19">
      <c r="I1291" s="124" t="s">
        <v>1379</v>
      </c>
      <c r="J1291" s="124" t="s">
        <v>1380</v>
      </c>
      <c r="K1291" s="124" t="s">
        <v>414</v>
      </c>
      <c r="L1291" s="124">
        <v>3.9700000000000005E-4</v>
      </c>
      <c r="M1291" s="182">
        <v>6.1700000000000004E-4</v>
      </c>
      <c r="N1291" s="182">
        <v>6.1700000000000004E-4</v>
      </c>
      <c r="O1291" s="182">
        <v>6.1700000000000004E-4</v>
      </c>
      <c r="P1291" s="182">
        <v>6.1700000000000004E-4</v>
      </c>
      <c r="R1291" s="154" t="str">
        <f t="shared" si="57"/>
        <v>A0826:(株)FPSメニューF</v>
      </c>
      <c r="S1291" s="182">
        <f t="shared" si="58"/>
        <v>3.9700000000000005E-4</v>
      </c>
    </row>
    <row r="1292" spans="9:19">
      <c r="I1292" s="124" t="s">
        <v>1379</v>
      </c>
      <c r="J1292" s="124" t="s">
        <v>1380</v>
      </c>
      <c r="K1292" s="124" t="s">
        <v>415</v>
      </c>
      <c r="L1292" s="124">
        <v>5.9199999999999997E-4</v>
      </c>
      <c r="M1292" s="182">
        <v>6.1700000000000004E-4</v>
      </c>
      <c r="N1292" s="182">
        <v>6.1700000000000004E-4</v>
      </c>
      <c r="O1292" s="182">
        <v>6.1700000000000004E-4</v>
      </c>
      <c r="P1292" s="182">
        <v>6.1700000000000004E-4</v>
      </c>
      <c r="R1292" s="154" t="str">
        <f t="shared" si="57"/>
        <v>A0826:(株)FPSメニューG</v>
      </c>
      <c r="S1292" s="182">
        <f t="shared" si="58"/>
        <v>5.9199999999999997E-4</v>
      </c>
    </row>
    <row r="1293" spans="9:19">
      <c r="I1293" s="124" t="s">
        <v>1379</v>
      </c>
      <c r="J1293" s="124" t="s">
        <v>1380</v>
      </c>
      <c r="K1293" s="124" t="s">
        <v>2010</v>
      </c>
      <c r="L1293" s="124">
        <v>5.7600000000000001E-4</v>
      </c>
      <c r="M1293" s="182">
        <v>6.1700000000000004E-4</v>
      </c>
      <c r="N1293" s="182">
        <v>6.1700000000000004E-4</v>
      </c>
      <c r="O1293" s="182">
        <v>6.1700000000000004E-4</v>
      </c>
      <c r="P1293" s="182">
        <v>6.1700000000000004E-4</v>
      </c>
      <c r="R1293" s="154" t="str">
        <f t="shared" si="57"/>
        <v>A0826:(株)FPS(参考値)事業者全体</v>
      </c>
      <c r="S1293" s="182">
        <f t="shared" si="58"/>
        <v>5.7600000000000001E-4</v>
      </c>
    </row>
    <row r="1294" spans="9:19">
      <c r="I1294" s="124" t="s">
        <v>1381</v>
      </c>
      <c r="J1294" s="124" t="s">
        <v>1382</v>
      </c>
      <c r="K1294" s="124"/>
      <c r="L1294" s="124">
        <v>3.0800000000000001E-4</v>
      </c>
      <c r="M1294" s="182">
        <v>6.1700000000000004E-4</v>
      </c>
      <c r="N1294" s="182">
        <v>6.1700000000000004E-4</v>
      </c>
      <c r="O1294" s="182">
        <v>6.1700000000000004E-4</v>
      </c>
      <c r="P1294" s="182">
        <v>6.1700000000000004E-4</v>
      </c>
      <c r="R1294" s="154" t="str">
        <f t="shared" si="57"/>
        <v>A0827:大熊るるるん電力(株)</v>
      </c>
      <c r="S1294" s="182">
        <f t="shared" si="58"/>
        <v>3.0800000000000001E-4</v>
      </c>
    </row>
    <row r="1295" spans="9:19">
      <c r="I1295" s="124" t="s">
        <v>1383</v>
      </c>
      <c r="J1295" s="124" t="s">
        <v>1384</v>
      </c>
      <c r="K1295" s="124" t="s">
        <v>390</v>
      </c>
      <c r="L1295" s="124">
        <v>5.3900000000000009E-4</v>
      </c>
      <c r="M1295" s="182">
        <v>6.1700000000000004E-4</v>
      </c>
      <c r="N1295" s="182">
        <v>6.1700000000000004E-4</v>
      </c>
      <c r="O1295" s="182">
        <v>6.1700000000000004E-4</v>
      </c>
      <c r="P1295" s="182">
        <v>6.1700000000000004E-4</v>
      </c>
      <c r="R1295" s="154" t="str">
        <f t="shared" si="57"/>
        <v>A0829:(株)レックスメニューA</v>
      </c>
      <c r="S1295" s="182">
        <f t="shared" si="58"/>
        <v>5.3900000000000009E-4</v>
      </c>
    </row>
    <row r="1296" spans="9:19">
      <c r="I1296" s="124" t="s">
        <v>1383</v>
      </c>
      <c r="J1296" s="124" t="s">
        <v>1384</v>
      </c>
      <c r="K1296" s="124" t="s">
        <v>2010</v>
      </c>
      <c r="L1296" s="124">
        <v>2.4899999999999998E-4</v>
      </c>
      <c r="M1296" s="182">
        <v>6.1700000000000004E-4</v>
      </c>
      <c r="N1296" s="182">
        <v>6.1700000000000004E-4</v>
      </c>
      <c r="O1296" s="182">
        <v>6.1700000000000004E-4</v>
      </c>
      <c r="P1296" s="182">
        <v>6.1700000000000004E-4</v>
      </c>
      <c r="R1296" s="154" t="str">
        <f t="shared" si="57"/>
        <v>A0829:(株)レックス(参考値)事業者全体</v>
      </c>
      <c r="S1296" s="182">
        <f t="shared" si="58"/>
        <v>2.4899999999999998E-4</v>
      </c>
    </row>
    <row r="1297" spans="9:19">
      <c r="I1297" s="124" t="s">
        <v>1385</v>
      </c>
      <c r="J1297" s="124" t="s">
        <v>1386</v>
      </c>
      <c r="K1297" s="124" t="s">
        <v>390</v>
      </c>
      <c r="L1297" s="124">
        <v>0</v>
      </c>
      <c r="M1297" s="182">
        <v>6.1700000000000004E-4</v>
      </c>
      <c r="N1297" s="182">
        <v>6.1700000000000004E-4</v>
      </c>
      <c r="O1297" s="182">
        <v>6.1700000000000004E-4</v>
      </c>
      <c r="P1297" s="182">
        <v>6.1700000000000004E-4</v>
      </c>
      <c r="R1297" s="154" t="str">
        <f t="shared" si="57"/>
        <v>A0831:おきたま新電力(株)メニューA</v>
      </c>
      <c r="S1297" s="182">
        <f t="shared" si="58"/>
        <v>0</v>
      </c>
    </row>
    <row r="1298" spans="9:19">
      <c r="I1298" s="124" t="s">
        <v>1385</v>
      </c>
      <c r="J1298" s="124" t="s">
        <v>1386</v>
      </c>
      <c r="K1298" s="124" t="s">
        <v>398</v>
      </c>
      <c r="L1298" s="124">
        <v>5.5000000000000003E-4</v>
      </c>
      <c r="M1298" s="182">
        <v>6.1700000000000004E-4</v>
      </c>
      <c r="N1298" s="182">
        <v>6.1700000000000004E-4</v>
      </c>
      <c r="O1298" s="182">
        <v>6.1700000000000004E-4</v>
      </c>
      <c r="P1298" s="182">
        <v>6.1700000000000004E-4</v>
      </c>
      <c r="R1298" s="154" t="str">
        <f t="shared" si="57"/>
        <v>A0831:おきたま新電力(株)メニューB</v>
      </c>
      <c r="S1298" s="182">
        <f t="shared" si="58"/>
        <v>5.5000000000000003E-4</v>
      </c>
    </row>
    <row r="1299" spans="9:19">
      <c r="I1299" s="124" t="s">
        <v>1385</v>
      </c>
      <c r="J1299" s="124" t="s">
        <v>1386</v>
      </c>
      <c r="K1299" s="124" t="s">
        <v>2010</v>
      </c>
      <c r="L1299" s="124">
        <v>4.9100000000000001E-4</v>
      </c>
      <c r="M1299" s="182">
        <v>6.1700000000000004E-4</v>
      </c>
      <c r="N1299" s="182">
        <v>6.1700000000000004E-4</v>
      </c>
      <c r="O1299" s="182">
        <v>6.1700000000000004E-4</v>
      </c>
      <c r="P1299" s="182">
        <v>6.1700000000000004E-4</v>
      </c>
      <c r="R1299" s="154" t="str">
        <f t="shared" si="57"/>
        <v>A0831:おきたま新電力(株)(参考値)事業者全体</v>
      </c>
      <c r="S1299" s="182">
        <f t="shared" si="58"/>
        <v>4.9100000000000001E-4</v>
      </c>
    </row>
    <row r="1300" spans="9:19">
      <c r="I1300" s="124" t="s">
        <v>1387</v>
      </c>
      <c r="J1300" s="124" t="s">
        <v>1388</v>
      </c>
      <c r="K1300" s="124"/>
      <c r="L1300" s="124">
        <v>4.0499999999999998E-4</v>
      </c>
      <c r="M1300" s="182">
        <v>6.1700000000000004E-4</v>
      </c>
      <c r="N1300" s="182">
        <v>6.1700000000000004E-4</v>
      </c>
      <c r="O1300" s="182">
        <v>6.1700000000000004E-4</v>
      </c>
      <c r="P1300" s="182">
        <v>6.1700000000000004E-4</v>
      </c>
      <c r="R1300" s="154" t="str">
        <f t="shared" si="57"/>
        <v>A0835:河原実業(株)</v>
      </c>
      <c r="S1300" s="182">
        <f t="shared" si="58"/>
        <v>4.0499999999999998E-4</v>
      </c>
    </row>
    <row r="1301" spans="9:19">
      <c r="I1301" s="124" t="s">
        <v>1389</v>
      </c>
      <c r="J1301" s="124" t="s">
        <v>1390</v>
      </c>
      <c r="K1301" s="124"/>
      <c r="L1301" s="124">
        <v>7.3899999999999997E-4</v>
      </c>
      <c r="M1301" s="182">
        <v>6.1700000000000004E-4</v>
      </c>
      <c r="N1301" s="182">
        <v>6.1700000000000004E-4</v>
      </c>
      <c r="O1301" s="182">
        <v>6.1700000000000004E-4</v>
      </c>
      <c r="P1301" s="182">
        <v>6.1700000000000004E-4</v>
      </c>
      <c r="R1301" s="154" t="str">
        <f t="shared" si="57"/>
        <v>A0838:(株)stc</v>
      </c>
      <c r="S1301" s="182">
        <f t="shared" si="58"/>
        <v>7.3899999999999997E-4</v>
      </c>
    </row>
    <row r="1302" spans="9:19">
      <c r="I1302" s="124" t="s">
        <v>1391</v>
      </c>
      <c r="J1302" s="124" t="s">
        <v>1392</v>
      </c>
      <c r="K1302" s="124" t="s">
        <v>390</v>
      </c>
      <c r="L1302" s="124">
        <v>1.1400000000000001E-4</v>
      </c>
      <c r="M1302" s="182">
        <v>6.1700000000000004E-4</v>
      </c>
      <c r="N1302" s="182">
        <v>6.1700000000000004E-4</v>
      </c>
      <c r="O1302" s="182">
        <v>6.1700000000000004E-4</v>
      </c>
      <c r="P1302" s="182">
        <v>6.1700000000000004E-4</v>
      </c>
      <c r="R1302" s="154" t="str">
        <f t="shared" si="57"/>
        <v>A0839:(株)工営エナジーメニューA</v>
      </c>
      <c r="S1302" s="182">
        <f t="shared" si="58"/>
        <v>1.1400000000000001E-4</v>
      </c>
    </row>
    <row r="1303" spans="9:19">
      <c r="I1303" s="124" t="s">
        <v>1391</v>
      </c>
      <c r="J1303" s="124" t="s">
        <v>1392</v>
      </c>
      <c r="K1303" s="124" t="s">
        <v>2010</v>
      </c>
      <c r="L1303" s="124">
        <v>5.9400000000000002E-4</v>
      </c>
      <c r="M1303" s="182">
        <v>6.1700000000000004E-4</v>
      </c>
      <c r="N1303" s="182">
        <v>6.1700000000000004E-4</v>
      </c>
      <c r="O1303" s="182">
        <v>6.1700000000000004E-4</v>
      </c>
      <c r="P1303" s="182">
        <v>6.1700000000000004E-4</v>
      </c>
      <c r="R1303" s="154" t="str">
        <f t="shared" si="57"/>
        <v>A0839:(株)工営エナジー(参考値)事業者全体</v>
      </c>
      <c r="S1303" s="182">
        <f t="shared" si="58"/>
        <v>5.9400000000000002E-4</v>
      </c>
    </row>
    <row r="1304" spans="9:19">
      <c r="I1304" s="124" t="s">
        <v>1393</v>
      </c>
      <c r="J1304" s="124" t="s">
        <v>1394</v>
      </c>
      <c r="K1304" s="124" t="s">
        <v>390</v>
      </c>
      <c r="L1304" s="124">
        <v>8.8999999999999995E-5</v>
      </c>
      <c r="M1304" s="182">
        <v>6.1700000000000004E-4</v>
      </c>
      <c r="N1304" s="182">
        <v>6.1700000000000004E-4</v>
      </c>
      <c r="O1304" s="182">
        <v>6.1700000000000004E-4</v>
      </c>
      <c r="P1304" s="182">
        <v>6.1700000000000004E-4</v>
      </c>
      <c r="R1304" s="154" t="str">
        <f t="shared" si="57"/>
        <v>A0840:アースシグナルソリューションズ(株)メニューA</v>
      </c>
      <c r="S1304" s="182">
        <f t="shared" si="58"/>
        <v>8.8999999999999995E-5</v>
      </c>
    </row>
    <row r="1305" spans="9:19">
      <c r="I1305" s="124" t="s">
        <v>1393</v>
      </c>
      <c r="J1305" s="124" t="s">
        <v>1394</v>
      </c>
      <c r="K1305" s="124" t="s">
        <v>2010</v>
      </c>
      <c r="L1305" s="124">
        <v>0</v>
      </c>
      <c r="M1305" s="182">
        <v>6.1700000000000004E-4</v>
      </c>
      <c r="N1305" s="182">
        <v>6.1700000000000004E-4</v>
      </c>
      <c r="O1305" s="182">
        <v>6.1700000000000004E-4</v>
      </c>
      <c r="P1305" s="182">
        <v>6.1700000000000004E-4</v>
      </c>
      <c r="R1305" s="154" t="str">
        <f t="shared" si="57"/>
        <v>A0840:アースシグナルソリューションズ(株)(参考値)事業者全体</v>
      </c>
      <c r="S1305" s="182">
        <f t="shared" si="58"/>
        <v>0</v>
      </c>
    </row>
    <row r="1306" spans="9:19">
      <c r="I1306" s="124" t="s">
        <v>1395</v>
      </c>
      <c r="J1306" s="124" t="s">
        <v>1396</v>
      </c>
      <c r="K1306" s="124"/>
      <c r="L1306" s="124">
        <v>5.8699999999999996E-4</v>
      </c>
      <c r="M1306" s="182">
        <v>6.1700000000000004E-4</v>
      </c>
      <c r="N1306" s="182">
        <v>6.1700000000000004E-4</v>
      </c>
      <c r="O1306" s="182">
        <v>6.1700000000000004E-4</v>
      </c>
      <c r="P1306" s="182">
        <v>6.1700000000000004E-4</v>
      </c>
      <c r="R1306" s="154" t="str">
        <f t="shared" si="57"/>
        <v>A0843:シントウエナジー(株)</v>
      </c>
      <c r="S1306" s="182">
        <f t="shared" si="58"/>
        <v>5.8699999999999996E-4</v>
      </c>
    </row>
    <row r="1307" spans="9:19">
      <c r="I1307" s="124" t="s">
        <v>1397</v>
      </c>
      <c r="J1307" s="124" t="s">
        <v>1704</v>
      </c>
      <c r="K1307" s="124"/>
      <c r="L1307" s="124">
        <v>9.0900000000000009E-4</v>
      </c>
      <c r="M1307" s="182">
        <v>6.1700000000000004E-4</v>
      </c>
      <c r="N1307" s="182">
        <v>6.1700000000000004E-4</v>
      </c>
      <c r="O1307" s="182">
        <v>6.1700000000000004E-4</v>
      </c>
      <c r="P1307" s="182">
        <v>6.1700000000000004E-4</v>
      </c>
      <c r="R1307" s="154" t="str">
        <f t="shared" si="57"/>
        <v>A0844:那須野ヶ原みらい電力(株)</v>
      </c>
      <c r="S1307" s="182">
        <f t="shared" si="58"/>
        <v>9.0900000000000009E-4</v>
      </c>
    </row>
    <row r="1308" spans="9:19">
      <c r="I1308" s="124" t="s">
        <v>1398</v>
      </c>
      <c r="J1308" s="124" t="s">
        <v>1399</v>
      </c>
      <c r="K1308" s="124"/>
      <c r="L1308" s="124">
        <v>5.1199999999999998E-4</v>
      </c>
      <c r="M1308" s="182">
        <v>6.1700000000000004E-4</v>
      </c>
      <c r="N1308" s="182">
        <v>6.1700000000000004E-4</v>
      </c>
      <c r="O1308" s="182">
        <v>6.1700000000000004E-4</v>
      </c>
      <c r="P1308" s="182">
        <v>6.1700000000000004E-4</v>
      </c>
      <c r="R1308" s="154" t="str">
        <f t="shared" si="57"/>
        <v>A0847:柏崎あい・あーるエナジー(株)</v>
      </c>
      <c r="S1308" s="182">
        <f t="shared" si="58"/>
        <v>5.1199999999999998E-4</v>
      </c>
    </row>
    <row r="1309" spans="9:19">
      <c r="I1309" s="124" t="s">
        <v>1400</v>
      </c>
      <c r="J1309" s="124" t="s">
        <v>1401</v>
      </c>
      <c r="K1309" s="124" t="s">
        <v>390</v>
      </c>
      <c r="L1309" s="124">
        <v>0</v>
      </c>
      <c r="M1309" s="182">
        <v>6.1700000000000004E-4</v>
      </c>
      <c r="N1309" s="182">
        <v>6.1700000000000004E-4</v>
      </c>
      <c r="O1309" s="182">
        <v>6.1700000000000004E-4</v>
      </c>
      <c r="P1309" s="182">
        <v>6.1700000000000004E-4</v>
      </c>
      <c r="R1309" s="154" t="str">
        <f t="shared" si="57"/>
        <v>A0849:京セラ(株)メニューA</v>
      </c>
      <c r="S1309" s="182">
        <f t="shared" si="58"/>
        <v>0</v>
      </c>
    </row>
    <row r="1310" spans="9:19">
      <c r="I1310" s="124" t="s">
        <v>1400</v>
      </c>
      <c r="J1310" s="124" t="s">
        <v>1401</v>
      </c>
      <c r="K1310" s="124" t="s">
        <v>2010</v>
      </c>
      <c r="L1310" s="124">
        <v>3.9300000000000001E-4</v>
      </c>
      <c r="M1310" s="182">
        <v>6.1700000000000004E-4</v>
      </c>
      <c r="N1310" s="182">
        <v>6.1700000000000004E-4</v>
      </c>
      <c r="O1310" s="182">
        <v>6.1700000000000004E-4</v>
      </c>
      <c r="P1310" s="182">
        <v>6.1700000000000004E-4</v>
      </c>
      <c r="R1310" s="154" t="str">
        <f t="shared" si="57"/>
        <v>A0849:京セラ(株)(参考値)事業者全体</v>
      </c>
      <c r="S1310" s="182">
        <f t="shared" si="58"/>
        <v>3.9300000000000001E-4</v>
      </c>
    </row>
    <row r="1311" spans="9:19">
      <c r="I1311" s="124" t="s">
        <v>1402</v>
      </c>
      <c r="J1311" s="124" t="s">
        <v>1403</v>
      </c>
      <c r="K1311" s="124"/>
      <c r="L1311" s="124">
        <v>2.9399999999999999E-4</v>
      </c>
      <c r="M1311" s="182">
        <v>6.1700000000000004E-4</v>
      </c>
      <c r="N1311" s="182">
        <v>6.1700000000000004E-4</v>
      </c>
      <c r="O1311" s="182">
        <v>6.1700000000000004E-4</v>
      </c>
      <c r="P1311" s="182">
        <v>6.1700000000000004E-4</v>
      </c>
      <c r="R1311" s="154" t="str">
        <f t="shared" si="57"/>
        <v>A0851:(株)鳥取みらい電力</v>
      </c>
      <c r="S1311" s="182">
        <f t="shared" si="58"/>
        <v>2.9399999999999999E-4</v>
      </c>
    </row>
    <row r="1312" spans="9:19">
      <c r="I1312" s="124" t="s">
        <v>1404</v>
      </c>
      <c r="J1312" s="124" t="s">
        <v>1405</v>
      </c>
      <c r="K1312" s="124"/>
      <c r="L1312" s="124">
        <v>3.7300000000000001E-4</v>
      </c>
      <c r="M1312" s="182">
        <v>6.1700000000000004E-4</v>
      </c>
      <c r="N1312" s="182">
        <v>6.1700000000000004E-4</v>
      </c>
      <c r="O1312" s="182">
        <v>6.1700000000000004E-4</v>
      </c>
      <c r="P1312" s="182">
        <v>6.1700000000000004E-4</v>
      </c>
      <c r="R1312" s="154" t="str">
        <f t="shared" si="57"/>
        <v>A0852:鈴鹿グリーンエナジー(株)</v>
      </c>
      <c r="S1312" s="182">
        <f t="shared" si="58"/>
        <v>3.7300000000000001E-4</v>
      </c>
    </row>
    <row r="1313" spans="9:19">
      <c r="I1313" s="124" t="s">
        <v>1406</v>
      </c>
      <c r="J1313" s="124" t="s">
        <v>1407</v>
      </c>
      <c r="K1313" s="124"/>
      <c r="L1313" s="124">
        <v>0</v>
      </c>
      <c r="M1313" s="182">
        <v>6.1700000000000004E-4</v>
      </c>
      <c r="N1313" s="182">
        <v>6.1700000000000004E-4</v>
      </c>
      <c r="O1313" s="182">
        <v>6.1700000000000004E-4</v>
      </c>
      <c r="P1313" s="182">
        <v>6.1700000000000004E-4</v>
      </c>
      <c r="R1313" s="154" t="str">
        <f t="shared" si="57"/>
        <v>A0853:一般社団法人東北自動車産業グリーンエネルギー普及協会</v>
      </c>
      <c r="S1313" s="182">
        <f t="shared" si="58"/>
        <v>0</v>
      </c>
    </row>
    <row r="1314" spans="9:19">
      <c r="I1314" s="124" t="s">
        <v>1408</v>
      </c>
      <c r="J1314" s="124" t="s">
        <v>1409</v>
      </c>
      <c r="K1314" s="124" t="s">
        <v>390</v>
      </c>
      <c r="L1314" s="124">
        <v>3.0400000000000002E-4</v>
      </c>
      <c r="M1314" s="182">
        <v>6.1700000000000004E-4</v>
      </c>
      <c r="N1314" s="182">
        <v>6.1700000000000004E-4</v>
      </c>
      <c r="O1314" s="182">
        <v>6.1700000000000004E-4</v>
      </c>
      <c r="P1314" s="182">
        <v>6.1700000000000004E-4</v>
      </c>
      <c r="R1314" s="154" t="str">
        <f t="shared" si="57"/>
        <v>A0854:刈谷知立みらい電力(株)メニューA</v>
      </c>
      <c r="S1314" s="182">
        <f t="shared" si="58"/>
        <v>3.0400000000000002E-4</v>
      </c>
    </row>
    <row r="1315" spans="9:19">
      <c r="I1315" s="124" t="s">
        <v>1408</v>
      </c>
      <c r="J1315" s="124" t="s">
        <v>1409</v>
      </c>
      <c r="K1315" s="124" t="s">
        <v>2010</v>
      </c>
      <c r="L1315" s="124">
        <v>4.4499999999999997E-4</v>
      </c>
      <c r="M1315" s="182">
        <v>6.1700000000000004E-4</v>
      </c>
      <c r="N1315" s="182">
        <v>6.1700000000000004E-4</v>
      </c>
      <c r="O1315" s="182">
        <v>6.1700000000000004E-4</v>
      </c>
      <c r="P1315" s="182">
        <v>6.1700000000000004E-4</v>
      </c>
      <c r="R1315" s="154" t="str">
        <f t="shared" si="57"/>
        <v>A0854:刈谷知立みらい電力(株)(参考値)事業者全体</v>
      </c>
      <c r="S1315" s="182">
        <f t="shared" si="58"/>
        <v>4.4499999999999997E-4</v>
      </c>
    </row>
    <row r="1316" spans="9:19">
      <c r="I1316" s="124" t="s">
        <v>1410</v>
      </c>
      <c r="J1316" s="124" t="s">
        <v>1411</v>
      </c>
      <c r="K1316" s="124" t="s">
        <v>390</v>
      </c>
      <c r="L1316" s="124">
        <v>2.9500000000000001E-4</v>
      </c>
      <c r="M1316" s="182">
        <v>6.1700000000000004E-4</v>
      </c>
      <c r="N1316" s="182">
        <v>6.1700000000000004E-4</v>
      </c>
      <c r="O1316" s="182">
        <v>6.1700000000000004E-4</v>
      </c>
      <c r="P1316" s="182">
        <v>6.1700000000000004E-4</v>
      </c>
      <c r="R1316" s="154" t="str">
        <f t="shared" si="57"/>
        <v>A0857:(株)パワーエックスメニューA</v>
      </c>
      <c r="S1316" s="182">
        <f t="shared" si="58"/>
        <v>2.9500000000000001E-4</v>
      </c>
    </row>
    <row r="1317" spans="9:19">
      <c r="I1317" s="124" t="s">
        <v>1410</v>
      </c>
      <c r="J1317" s="124" t="s">
        <v>1411</v>
      </c>
      <c r="K1317" s="124" t="s">
        <v>398</v>
      </c>
      <c r="L1317" s="124">
        <v>4.2999999999999999E-4</v>
      </c>
      <c r="M1317" s="182">
        <v>6.1700000000000004E-4</v>
      </c>
      <c r="N1317" s="182">
        <v>6.1700000000000004E-4</v>
      </c>
      <c r="O1317" s="182">
        <v>6.1700000000000004E-4</v>
      </c>
      <c r="P1317" s="182">
        <v>6.1700000000000004E-4</v>
      </c>
      <c r="R1317" s="154" t="str">
        <f t="shared" si="57"/>
        <v>A0857:(株)パワーエックスメニューB</v>
      </c>
      <c r="S1317" s="182">
        <f t="shared" si="58"/>
        <v>4.2999999999999999E-4</v>
      </c>
    </row>
    <row r="1318" spans="9:19">
      <c r="I1318" s="124" t="s">
        <v>1410</v>
      </c>
      <c r="J1318" s="124" t="s">
        <v>1411</v>
      </c>
      <c r="K1318" s="124" t="s">
        <v>2010</v>
      </c>
      <c r="L1318" s="124">
        <v>3.68E-4</v>
      </c>
      <c r="M1318" s="182">
        <v>6.1700000000000004E-4</v>
      </c>
      <c r="N1318" s="182">
        <v>6.1700000000000004E-4</v>
      </c>
      <c r="O1318" s="182">
        <v>6.1700000000000004E-4</v>
      </c>
      <c r="P1318" s="182">
        <v>6.1700000000000004E-4</v>
      </c>
      <c r="R1318" s="154" t="str">
        <f t="shared" si="57"/>
        <v>A0857:(株)パワーエックス(参考値)事業者全体</v>
      </c>
      <c r="S1318" s="182">
        <f t="shared" si="58"/>
        <v>3.68E-4</v>
      </c>
    </row>
    <row r="1319" spans="9:19">
      <c r="I1319" s="124" t="s">
        <v>1412</v>
      </c>
      <c r="J1319" s="124" t="s">
        <v>1413</v>
      </c>
      <c r="K1319" s="124" t="s">
        <v>390</v>
      </c>
      <c r="L1319" s="124">
        <v>0</v>
      </c>
      <c r="M1319" s="182">
        <v>6.1700000000000004E-4</v>
      </c>
      <c r="N1319" s="182">
        <v>6.1700000000000004E-4</v>
      </c>
      <c r="O1319" s="182">
        <v>6.1700000000000004E-4</v>
      </c>
      <c r="P1319" s="182">
        <v>6.1700000000000004E-4</v>
      </c>
      <c r="R1319" s="154" t="str">
        <f t="shared" si="57"/>
        <v>A0859:いちのみや未来エネルギー(株)メニューA</v>
      </c>
      <c r="S1319" s="182">
        <f t="shared" si="58"/>
        <v>0</v>
      </c>
    </row>
    <row r="1320" spans="9:19">
      <c r="I1320" s="124" t="s">
        <v>1412</v>
      </c>
      <c r="J1320" s="124" t="s">
        <v>1413</v>
      </c>
      <c r="K1320" s="124" t="s">
        <v>2010</v>
      </c>
      <c r="L1320" s="124">
        <v>4.5000000000000004E-4</v>
      </c>
      <c r="M1320" s="182">
        <v>6.1700000000000004E-4</v>
      </c>
      <c r="N1320" s="182">
        <v>6.1700000000000004E-4</v>
      </c>
      <c r="O1320" s="182">
        <v>6.1700000000000004E-4</v>
      </c>
      <c r="P1320" s="182">
        <v>6.1700000000000004E-4</v>
      </c>
      <c r="R1320" s="154" t="str">
        <f t="shared" si="57"/>
        <v>A0859:いちのみや未来エネルギー(株)(参考値)事業者全体</v>
      </c>
      <c r="S1320" s="182">
        <f t="shared" si="58"/>
        <v>4.5000000000000004E-4</v>
      </c>
    </row>
    <row r="1321" spans="9:19">
      <c r="I1321" s="124" t="s">
        <v>1414</v>
      </c>
      <c r="J1321" s="124" t="s">
        <v>1415</v>
      </c>
      <c r="K1321" s="124"/>
      <c r="L1321" s="124">
        <v>6.2500000000000001E-4</v>
      </c>
      <c r="M1321" s="182">
        <v>6.1700000000000004E-4</v>
      </c>
      <c r="N1321" s="182">
        <v>6.1700000000000004E-4</v>
      </c>
      <c r="O1321" s="182">
        <v>6.1700000000000004E-4</v>
      </c>
      <c r="P1321" s="182">
        <v>6.1700000000000004E-4</v>
      </c>
      <c r="R1321" s="154" t="str">
        <f t="shared" si="57"/>
        <v>A0860:岡谷酸素(株)</v>
      </c>
      <c r="S1321" s="182">
        <f t="shared" si="58"/>
        <v>6.2500000000000001E-4</v>
      </c>
    </row>
    <row r="1322" spans="9:19">
      <c r="I1322" s="124" t="s">
        <v>1416</v>
      </c>
      <c r="J1322" s="124" t="s">
        <v>1417</v>
      </c>
      <c r="K1322" s="124"/>
      <c r="L1322" s="124">
        <v>5.8200000000000005E-4</v>
      </c>
      <c r="M1322" s="182">
        <v>6.1700000000000004E-4</v>
      </c>
      <c r="N1322" s="182">
        <v>6.1700000000000004E-4</v>
      </c>
      <c r="O1322" s="182">
        <v>6.1700000000000004E-4</v>
      </c>
      <c r="P1322" s="182">
        <v>6.1700000000000004E-4</v>
      </c>
      <c r="R1322" s="154" t="str">
        <f t="shared" si="57"/>
        <v>A0863:(株)絆</v>
      </c>
      <c r="S1322" s="182">
        <f t="shared" si="58"/>
        <v>5.8200000000000005E-4</v>
      </c>
    </row>
    <row r="1323" spans="9:19">
      <c r="I1323" s="124" t="s">
        <v>1418</v>
      </c>
      <c r="J1323" s="124" t="s">
        <v>1419</v>
      </c>
      <c r="K1323" s="124" t="s">
        <v>390</v>
      </c>
      <c r="L1323" s="124">
        <v>7.7000000000000001E-5</v>
      </c>
      <c r="M1323" s="182">
        <v>6.1700000000000004E-4</v>
      </c>
      <c r="N1323" s="182">
        <v>6.1700000000000004E-4</v>
      </c>
      <c r="O1323" s="182">
        <v>6.1700000000000004E-4</v>
      </c>
      <c r="P1323" s="182">
        <v>6.1700000000000004E-4</v>
      </c>
      <c r="R1323" s="154" t="str">
        <f t="shared" si="57"/>
        <v>A0865:東北エネルギーサービス(株)メニューA</v>
      </c>
      <c r="S1323" s="182">
        <f t="shared" si="58"/>
        <v>7.7000000000000001E-5</v>
      </c>
    </row>
    <row r="1324" spans="9:19">
      <c r="I1324" s="124" t="s">
        <v>1418</v>
      </c>
      <c r="J1324" s="124" t="s">
        <v>1419</v>
      </c>
      <c r="K1324" s="124" t="s">
        <v>398</v>
      </c>
      <c r="L1324" s="124">
        <v>0</v>
      </c>
      <c r="M1324" s="182">
        <v>6.1700000000000004E-4</v>
      </c>
      <c r="N1324" s="182">
        <v>6.1700000000000004E-4</v>
      </c>
      <c r="O1324" s="182">
        <v>6.1700000000000004E-4</v>
      </c>
      <c r="P1324" s="182">
        <v>6.1700000000000004E-4</v>
      </c>
      <c r="R1324" s="154" t="str">
        <f t="shared" si="57"/>
        <v>A0865:東北エネルギーサービス(株)メニューB</v>
      </c>
      <c r="S1324" s="182">
        <f t="shared" si="58"/>
        <v>0</v>
      </c>
    </row>
    <row r="1325" spans="9:19">
      <c r="I1325" s="124" t="s">
        <v>1418</v>
      </c>
      <c r="J1325" s="124" t="s">
        <v>1419</v>
      </c>
      <c r="K1325" s="124" t="s">
        <v>399</v>
      </c>
      <c r="L1325" s="124">
        <v>0</v>
      </c>
      <c r="M1325" s="182">
        <v>6.1700000000000004E-4</v>
      </c>
      <c r="N1325" s="182">
        <v>6.1700000000000004E-4</v>
      </c>
      <c r="O1325" s="182">
        <v>6.1700000000000004E-4</v>
      </c>
      <c r="P1325" s="182">
        <v>6.1700000000000004E-4</v>
      </c>
      <c r="R1325" s="154" t="str">
        <f t="shared" si="57"/>
        <v>A0865:東北エネルギーサービス(株)メニューC</v>
      </c>
      <c r="S1325" s="182">
        <f t="shared" si="58"/>
        <v>0</v>
      </c>
    </row>
    <row r="1326" spans="9:19">
      <c r="I1326" s="124" t="s">
        <v>1418</v>
      </c>
      <c r="J1326" s="124" t="s">
        <v>1419</v>
      </c>
      <c r="K1326" s="124" t="s">
        <v>2010</v>
      </c>
      <c r="L1326" s="124">
        <v>5.2099999999999998E-4</v>
      </c>
      <c r="M1326" s="182">
        <v>6.1700000000000004E-4</v>
      </c>
      <c r="N1326" s="182">
        <v>6.1700000000000004E-4</v>
      </c>
      <c r="O1326" s="182">
        <v>6.1700000000000004E-4</v>
      </c>
      <c r="P1326" s="182">
        <v>6.1700000000000004E-4</v>
      </c>
      <c r="R1326" s="154" t="str">
        <f t="shared" si="57"/>
        <v>A0865:東北エネルギーサービス(株)(参考値)事業者全体</v>
      </c>
      <c r="S1326" s="182">
        <f t="shared" si="58"/>
        <v>5.2099999999999998E-4</v>
      </c>
    </row>
    <row r="1327" spans="9:19">
      <c r="I1327" s="124" t="s">
        <v>1420</v>
      </c>
      <c r="J1327" s="124" t="s">
        <v>1421</v>
      </c>
      <c r="K1327" s="124"/>
      <c r="L1327" s="124">
        <v>2.99E-4</v>
      </c>
      <c r="M1327" s="182">
        <v>6.1700000000000004E-4</v>
      </c>
      <c r="N1327" s="182">
        <v>6.1700000000000004E-4</v>
      </c>
      <c r="O1327" s="182">
        <v>6.1700000000000004E-4</v>
      </c>
      <c r="P1327" s="182">
        <v>6.1700000000000004E-4</v>
      </c>
      <c r="R1327" s="154" t="str">
        <f t="shared" si="57"/>
        <v>A0866:(株)いなしきエナジー</v>
      </c>
      <c r="S1327" s="182">
        <f t="shared" si="58"/>
        <v>2.99E-4</v>
      </c>
    </row>
    <row r="1328" spans="9:19">
      <c r="I1328" s="124" t="s">
        <v>1422</v>
      </c>
      <c r="J1328" s="124" t="s">
        <v>1423</v>
      </c>
      <c r="K1328" s="124"/>
      <c r="L1328" s="124">
        <v>1.37E-4</v>
      </c>
      <c r="M1328" s="182">
        <v>6.1700000000000004E-4</v>
      </c>
      <c r="N1328" s="182">
        <v>6.1700000000000004E-4</v>
      </c>
      <c r="O1328" s="182">
        <v>6.1700000000000004E-4</v>
      </c>
      <c r="P1328" s="182">
        <v>6.1700000000000004E-4</v>
      </c>
      <c r="R1328" s="154" t="str">
        <f t="shared" si="57"/>
        <v>A0867:ながのスマートパワー(株)</v>
      </c>
      <c r="S1328" s="182">
        <f t="shared" si="58"/>
        <v>1.37E-4</v>
      </c>
    </row>
    <row r="1329" spans="9:19">
      <c r="I1329" s="124" t="s">
        <v>1424</v>
      </c>
      <c r="J1329" s="124" t="s">
        <v>1425</v>
      </c>
      <c r="K1329" s="124"/>
      <c r="L1329" s="124">
        <v>5.2700000000000002E-4</v>
      </c>
      <c r="M1329" s="182">
        <v>6.1700000000000004E-4</v>
      </c>
      <c r="N1329" s="182">
        <v>6.1700000000000004E-4</v>
      </c>
      <c r="O1329" s="182">
        <v>6.1700000000000004E-4</v>
      </c>
      <c r="P1329" s="182">
        <v>6.1700000000000004E-4</v>
      </c>
      <c r="R1329" s="154" t="str">
        <f t="shared" si="57"/>
        <v>A0868:(株)ホクレン油機サービス</v>
      </c>
      <c r="S1329" s="182">
        <f t="shared" si="58"/>
        <v>5.2700000000000002E-4</v>
      </c>
    </row>
    <row r="1330" spans="9:19">
      <c r="I1330" s="124" t="s">
        <v>1426</v>
      </c>
      <c r="J1330" s="124" t="s">
        <v>1427</v>
      </c>
      <c r="K1330" s="124" t="s">
        <v>390</v>
      </c>
      <c r="L1330" s="124">
        <v>0</v>
      </c>
      <c r="M1330" s="182">
        <v>6.1700000000000004E-4</v>
      </c>
      <c r="N1330" s="182">
        <v>6.1700000000000004E-4</v>
      </c>
      <c r="O1330" s="182">
        <v>6.1700000000000004E-4</v>
      </c>
      <c r="P1330" s="182">
        <v>6.1700000000000004E-4</v>
      </c>
      <c r="R1330" s="154" t="str">
        <f t="shared" si="57"/>
        <v>A0869:(株)JR東日本商事メニューA</v>
      </c>
      <c r="S1330" s="182">
        <f t="shared" si="58"/>
        <v>0</v>
      </c>
    </row>
    <row r="1331" spans="9:19">
      <c r="I1331" s="124" t="s">
        <v>1426</v>
      </c>
      <c r="J1331" s="124" t="s">
        <v>1427</v>
      </c>
      <c r="K1331" s="124" t="s">
        <v>2010</v>
      </c>
      <c r="L1331" s="124">
        <v>3.0800000000000001E-4</v>
      </c>
      <c r="M1331" s="182">
        <v>6.1700000000000004E-4</v>
      </c>
      <c r="N1331" s="182">
        <v>6.1700000000000004E-4</v>
      </c>
      <c r="O1331" s="182">
        <v>6.1700000000000004E-4</v>
      </c>
      <c r="P1331" s="182">
        <v>6.1700000000000004E-4</v>
      </c>
      <c r="R1331" s="154" t="str">
        <f t="shared" si="57"/>
        <v>A0869:(株)JR東日本商事(参考値)事業者全体</v>
      </c>
      <c r="S1331" s="182">
        <f t="shared" si="58"/>
        <v>3.0800000000000001E-4</v>
      </c>
    </row>
    <row r="1332" spans="9:19">
      <c r="I1332" s="124" t="s">
        <v>1428</v>
      </c>
      <c r="J1332" s="124" t="s">
        <v>1705</v>
      </c>
      <c r="K1332" s="124"/>
      <c r="L1332" s="124">
        <v>3.0600000000000001E-4</v>
      </c>
      <c r="M1332" s="182">
        <v>6.1700000000000004E-4</v>
      </c>
      <c r="N1332" s="182">
        <v>6.1700000000000004E-4</v>
      </c>
      <c r="O1332" s="182">
        <v>6.1700000000000004E-4</v>
      </c>
      <c r="P1332" s="182">
        <v>6.1700000000000004E-4</v>
      </c>
      <c r="R1332" s="154" t="str">
        <f t="shared" si="57"/>
        <v>A0870:岡山ガス(株)</v>
      </c>
      <c r="S1332" s="182">
        <f t="shared" si="58"/>
        <v>3.0600000000000001E-4</v>
      </c>
    </row>
    <row r="1333" spans="9:19">
      <c r="I1333" s="124" t="s">
        <v>1429</v>
      </c>
      <c r="J1333" s="124" t="s">
        <v>1706</v>
      </c>
      <c r="K1333" s="124"/>
      <c r="L1333" s="124">
        <v>4.66E-4</v>
      </c>
      <c r="M1333" s="182">
        <v>6.1700000000000004E-4</v>
      </c>
      <c r="N1333" s="182">
        <v>6.1700000000000004E-4</v>
      </c>
      <c r="O1333" s="182">
        <v>6.1700000000000004E-4</v>
      </c>
      <c r="P1333" s="182">
        <v>6.1700000000000004E-4</v>
      </c>
      <c r="R1333" s="154" t="str">
        <f t="shared" si="57"/>
        <v>A0871:合同会社グリーンパワーリテイリング</v>
      </c>
      <c r="S1333" s="182">
        <f t="shared" si="58"/>
        <v>4.66E-4</v>
      </c>
    </row>
    <row r="1334" spans="9:19">
      <c r="I1334" s="124" t="s">
        <v>1430</v>
      </c>
      <c r="J1334" s="124" t="s">
        <v>1431</v>
      </c>
      <c r="K1334" s="124" t="s">
        <v>390</v>
      </c>
      <c r="L1334" s="124">
        <v>0</v>
      </c>
      <c r="M1334" s="182">
        <v>6.1700000000000004E-4</v>
      </c>
      <c r="N1334" s="182">
        <v>6.1700000000000004E-4</v>
      </c>
      <c r="O1334" s="182">
        <v>6.1700000000000004E-4</v>
      </c>
      <c r="P1334" s="182">
        <v>6.1700000000000004E-4</v>
      </c>
      <c r="R1334" s="154" t="str">
        <f t="shared" si="57"/>
        <v>A0873:川崎未来エナジー(株)メニューA</v>
      </c>
      <c r="S1334" s="182">
        <f t="shared" si="58"/>
        <v>0</v>
      </c>
    </row>
    <row r="1335" spans="9:19">
      <c r="I1335" s="124" t="s">
        <v>1430</v>
      </c>
      <c r="J1335" s="124" t="s">
        <v>1431</v>
      </c>
      <c r="K1335" s="124" t="s">
        <v>2010</v>
      </c>
      <c r="L1335" s="124">
        <v>0</v>
      </c>
      <c r="M1335" s="182">
        <v>6.1700000000000004E-4</v>
      </c>
      <c r="N1335" s="182">
        <v>6.1700000000000004E-4</v>
      </c>
      <c r="O1335" s="182">
        <v>6.1700000000000004E-4</v>
      </c>
      <c r="P1335" s="182">
        <v>6.1700000000000004E-4</v>
      </c>
      <c r="R1335" s="154" t="str">
        <f t="shared" si="57"/>
        <v>A0873:川崎未来エナジー(株)(参考値)事業者全体</v>
      </c>
      <c r="S1335" s="182">
        <f t="shared" si="58"/>
        <v>0</v>
      </c>
    </row>
    <row r="1336" spans="9:19">
      <c r="I1336" s="124" t="s">
        <v>1432</v>
      </c>
      <c r="J1336" s="124" t="s">
        <v>1707</v>
      </c>
      <c r="K1336" s="124"/>
      <c r="L1336" s="124">
        <v>4.7100000000000006E-4</v>
      </c>
      <c r="M1336" s="182">
        <v>6.1700000000000004E-4</v>
      </c>
      <c r="N1336" s="182">
        <v>6.1700000000000004E-4</v>
      </c>
      <c r="O1336" s="182">
        <v>6.1700000000000004E-4</v>
      </c>
      <c r="P1336" s="182">
        <v>6.1700000000000004E-4</v>
      </c>
      <c r="R1336" s="154" t="str">
        <f t="shared" si="57"/>
        <v>A0874:(株)いずみみらい</v>
      </c>
      <c r="S1336" s="182">
        <f t="shared" si="58"/>
        <v>4.7100000000000006E-4</v>
      </c>
    </row>
    <row r="1337" spans="9:19">
      <c r="I1337" s="124" t="s">
        <v>1433</v>
      </c>
      <c r="J1337" s="124" t="s">
        <v>1434</v>
      </c>
      <c r="K1337" s="124" t="s">
        <v>390</v>
      </c>
      <c r="L1337" s="124">
        <v>4.2700000000000002E-4</v>
      </c>
      <c r="M1337" s="182">
        <v>6.1700000000000004E-4</v>
      </c>
      <c r="N1337" s="182">
        <v>6.1700000000000004E-4</v>
      </c>
      <c r="O1337" s="182">
        <v>6.1700000000000004E-4</v>
      </c>
      <c r="P1337" s="182">
        <v>6.1700000000000004E-4</v>
      </c>
      <c r="R1337" s="154" t="str">
        <f t="shared" si="57"/>
        <v>A0877:(株)アット東京メニューA</v>
      </c>
      <c r="S1337" s="182">
        <f t="shared" si="58"/>
        <v>4.2700000000000002E-4</v>
      </c>
    </row>
    <row r="1338" spans="9:19">
      <c r="I1338" s="124" t="s">
        <v>1433</v>
      </c>
      <c r="J1338" s="124" t="s">
        <v>1434</v>
      </c>
      <c r="K1338" s="124" t="s">
        <v>2010</v>
      </c>
      <c r="L1338" s="124">
        <v>4.3100000000000001E-4</v>
      </c>
      <c r="M1338" s="182">
        <v>6.1700000000000004E-4</v>
      </c>
      <c r="N1338" s="182">
        <v>6.1700000000000004E-4</v>
      </c>
      <c r="O1338" s="182">
        <v>6.1700000000000004E-4</v>
      </c>
      <c r="P1338" s="182">
        <v>6.1700000000000004E-4</v>
      </c>
      <c r="R1338" s="154" t="str">
        <f t="shared" si="57"/>
        <v>A0877:(株)アット東京(参考値)事業者全体</v>
      </c>
      <c r="S1338" s="182">
        <f t="shared" si="58"/>
        <v>4.3100000000000001E-4</v>
      </c>
    </row>
    <row r="1339" spans="9:19">
      <c r="I1339" s="124" t="s">
        <v>1435</v>
      </c>
      <c r="J1339" s="124" t="s">
        <v>1436</v>
      </c>
      <c r="K1339" s="124"/>
      <c r="L1339" s="124">
        <v>4.1899999999999999E-4</v>
      </c>
      <c r="M1339" s="182">
        <v>6.1700000000000004E-4</v>
      </c>
      <c r="N1339" s="182">
        <v>6.1700000000000004E-4</v>
      </c>
      <c r="O1339" s="182">
        <v>6.1700000000000004E-4</v>
      </c>
      <c r="P1339" s="182">
        <v>6.1700000000000004E-4</v>
      </c>
      <c r="R1339" s="154" t="str">
        <f t="shared" si="57"/>
        <v>A0880:(株)つるエネルギー</v>
      </c>
      <c r="S1339" s="182">
        <f t="shared" si="58"/>
        <v>4.1899999999999999E-4</v>
      </c>
    </row>
    <row r="1340" spans="9:19">
      <c r="I1340" s="124" t="s">
        <v>1437</v>
      </c>
      <c r="J1340" s="124" t="s">
        <v>1438</v>
      </c>
      <c r="K1340" s="124"/>
      <c r="L1340" s="124">
        <v>4.4700000000000002E-4</v>
      </c>
      <c r="M1340" s="182">
        <v>6.1700000000000004E-4</v>
      </c>
      <c r="N1340" s="182">
        <v>6.1700000000000004E-4</v>
      </c>
      <c r="O1340" s="182">
        <v>6.1700000000000004E-4</v>
      </c>
      <c r="P1340" s="182">
        <v>6.1700000000000004E-4</v>
      </c>
      <c r="R1340" s="154" t="str">
        <f t="shared" si="57"/>
        <v>A0881:川重商事(株)</v>
      </c>
      <c r="S1340" s="182">
        <f t="shared" si="58"/>
        <v>4.4700000000000002E-4</v>
      </c>
    </row>
    <row r="1341" spans="9:19">
      <c r="I1341" s="124" t="s">
        <v>1439</v>
      </c>
      <c r="J1341" s="124" t="s">
        <v>1440</v>
      </c>
      <c r="K1341" s="124" t="s">
        <v>390</v>
      </c>
      <c r="L1341" s="124">
        <v>0</v>
      </c>
      <c r="M1341" s="182">
        <v>6.1700000000000004E-4</v>
      </c>
      <c r="N1341" s="182">
        <v>6.1700000000000004E-4</v>
      </c>
      <c r="O1341" s="182">
        <v>6.1700000000000004E-4</v>
      </c>
      <c r="P1341" s="182">
        <v>6.1700000000000004E-4</v>
      </c>
      <c r="R1341" s="154" t="str">
        <f t="shared" si="57"/>
        <v>A0882:(株)JERA CrossメニューA</v>
      </c>
      <c r="S1341" s="182">
        <f t="shared" si="58"/>
        <v>0</v>
      </c>
    </row>
    <row r="1342" spans="9:19">
      <c r="I1342" s="124" t="s">
        <v>1439</v>
      </c>
      <c r="J1342" s="124" t="s">
        <v>1440</v>
      </c>
      <c r="K1342" s="124" t="s">
        <v>398</v>
      </c>
      <c r="L1342" s="124">
        <v>0</v>
      </c>
      <c r="M1342" s="182">
        <v>6.1700000000000004E-4</v>
      </c>
      <c r="N1342" s="182">
        <v>6.1700000000000004E-4</v>
      </c>
      <c r="O1342" s="182">
        <v>6.1700000000000004E-4</v>
      </c>
      <c r="P1342" s="182">
        <v>6.1700000000000004E-4</v>
      </c>
      <c r="R1342" s="154" t="str">
        <f t="shared" si="57"/>
        <v>A0882:(株)JERA CrossメニューB</v>
      </c>
      <c r="S1342" s="182">
        <f t="shared" si="58"/>
        <v>0</v>
      </c>
    </row>
    <row r="1343" spans="9:19">
      <c r="I1343" s="124" t="s">
        <v>1439</v>
      </c>
      <c r="J1343" s="124" t="s">
        <v>1440</v>
      </c>
      <c r="K1343" s="124" t="s">
        <v>399</v>
      </c>
      <c r="L1343" s="124">
        <v>3.77E-4</v>
      </c>
      <c r="M1343" s="182">
        <v>6.1700000000000004E-4</v>
      </c>
      <c r="N1343" s="182">
        <v>6.1700000000000004E-4</v>
      </c>
      <c r="O1343" s="182">
        <v>6.1700000000000004E-4</v>
      </c>
      <c r="P1343" s="182">
        <v>6.1700000000000004E-4</v>
      </c>
      <c r="R1343" s="154" t="str">
        <f t="shared" si="57"/>
        <v>A0882:(株)JERA CrossメニューC</v>
      </c>
      <c r="S1343" s="182">
        <f t="shared" si="58"/>
        <v>3.77E-4</v>
      </c>
    </row>
    <row r="1344" spans="9:19">
      <c r="I1344" s="124" t="s">
        <v>1439</v>
      </c>
      <c r="J1344" s="124" t="s">
        <v>1440</v>
      </c>
      <c r="K1344" s="124" t="s">
        <v>2010</v>
      </c>
      <c r="L1344" s="124">
        <v>3.1800000000000003E-4</v>
      </c>
      <c r="M1344" s="182">
        <v>6.1700000000000004E-4</v>
      </c>
      <c r="N1344" s="182">
        <v>6.1700000000000004E-4</v>
      </c>
      <c r="O1344" s="182">
        <v>6.1700000000000004E-4</v>
      </c>
      <c r="P1344" s="182">
        <v>6.1700000000000004E-4</v>
      </c>
      <c r="R1344" s="154" t="str">
        <f t="shared" si="57"/>
        <v>A0882:(株)JERA Cross(参考値)事業者全体</v>
      </c>
      <c r="S1344" s="182">
        <f t="shared" si="58"/>
        <v>3.1800000000000003E-4</v>
      </c>
    </row>
    <row r="1345" spans="9:19">
      <c r="I1345" s="124" t="s">
        <v>1441</v>
      </c>
      <c r="J1345" s="124" t="s">
        <v>1442</v>
      </c>
      <c r="K1345" s="124" t="s">
        <v>390</v>
      </c>
      <c r="L1345" s="124">
        <v>0</v>
      </c>
      <c r="M1345" s="182">
        <v>6.1700000000000004E-4</v>
      </c>
      <c r="N1345" s="182">
        <v>6.1700000000000004E-4</v>
      </c>
      <c r="O1345" s="182">
        <v>6.1700000000000004E-4</v>
      </c>
      <c r="P1345" s="182">
        <v>6.1700000000000004E-4</v>
      </c>
      <c r="R1345" s="154" t="str">
        <f t="shared" si="57"/>
        <v>A0883:飛騨高山電力(株)メニューA</v>
      </c>
      <c r="S1345" s="182">
        <f t="shared" si="58"/>
        <v>0</v>
      </c>
    </row>
    <row r="1346" spans="9:19">
      <c r="I1346" s="124" t="s">
        <v>1441</v>
      </c>
      <c r="J1346" s="124" t="s">
        <v>1442</v>
      </c>
      <c r="K1346" s="124" t="s">
        <v>2010</v>
      </c>
      <c r="L1346" s="124">
        <v>0</v>
      </c>
      <c r="M1346" s="182">
        <v>6.1700000000000004E-4</v>
      </c>
      <c r="N1346" s="182">
        <v>6.1700000000000004E-4</v>
      </c>
      <c r="O1346" s="182">
        <v>6.1700000000000004E-4</v>
      </c>
      <c r="P1346" s="182">
        <v>6.1700000000000004E-4</v>
      </c>
      <c r="R1346" s="154" t="str">
        <f t="shared" si="57"/>
        <v>A0883:飛騨高山電力(株)(参考値)事業者全体</v>
      </c>
      <c r="S1346" s="182">
        <f t="shared" si="58"/>
        <v>0</v>
      </c>
    </row>
    <row r="1347" spans="9:19">
      <c r="I1347" s="124" t="s">
        <v>1443</v>
      </c>
      <c r="J1347" s="124" t="s">
        <v>1444</v>
      </c>
      <c r="K1347" s="124"/>
      <c r="L1347" s="124">
        <v>9.3899999999999995E-4</v>
      </c>
      <c r="M1347" s="182">
        <v>6.1700000000000004E-4</v>
      </c>
      <c r="N1347" s="182">
        <v>6.1700000000000004E-4</v>
      </c>
      <c r="O1347" s="182">
        <v>6.1700000000000004E-4</v>
      </c>
      <c r="P1347" s="182">
        <v>6.1700000000000004E-4</v>
      </c>
      <c r="R1347" s="154" t="str">
        <f t="shared" si="57"/>
        <v>A0886:(株)リボンエナジー</v>
      </c>
      <c r="S1347" s="182">
        <f t="shared" si="58"/>
        <v>9.3899999999999995E-4</v>
      </c>
    </row>
    <row r="1348" spans="9:19">
      <c r="I1348" s="124" t="s">
        <v>1445</v>
      </c>
      <c r="J1348" s="124" t="s">
        <v>1446</v>
      </c>
      <c r="K1348" s="124"/>
      <c r="L1348" s="124">
        <v>5.5099999999999995E-4</v>
      </c>
      <c r="M1348" s="182">
        <v>6.1700000000000004E-4</v>
      </c>
      <c r="N1348" s="182">
        <v>6.1700000000000004E-4</v>
      </c>
      <c r="O1348" s="182">
        <v>6.1700000000000004E-4</v>
      </c>
      <c r="P1348" s="182">
        <v>6.1700000000000004E-4</v>
      </c>
      <c r="R1348" s="154" t="str">
        <f t="shared" si="57"/>
        <v>A0888:(株)大崎クリエーション</v>
      </c>
      <c r="S1348" s="182">
        <f t="shared" si="58"/>
        <v>5.5099999999999995E-4</v>
      </c>
    </row>
    <row r="1349" spans="9:19">
      <c r="I1349" s="124" t="s">
        <v>1447</v>
      </c>
      <c r="J1349" s="124" t="s">
        <v>1448</v>
      </c>
      <c r="K1349" s="124" t="s">
        <v>390</v>
      </c>
      <c r="L1349" s="124">
        <v>0</v>
      </c>
      <c r="M1349" s="182">
        <v>6.1700000000000004E-4</v>
      </c>
      <c r="N1349" s="182">
        <v>6.1700000000000004E-4</v>
      </c>
      <c r="O1349" s="182">
        <v>6.1700000000000004E-4</v>
      </c>
      <c r="P1349" s="182">
        <v>6.1700000000000004E-4</v>
      </c>
      <c r="R1349" s="154" t="str">
        <f t="shared" ref="R1349:R1356" si="59">I1349&amp;":"&amp;J1349&amp;K1349</f>
        <v>A0890:(株)UPXメニューA</v>
      </c>
      <c r="S1349" s="182">
        <f t="shared" si="58"/>
        <v>0</v>
      </c>
    </row>
    <row r="1350" spans="9:19">
      <c r="I1350" s="124" t="s">
        <v>1447</v>
      </c>
      <c r="J1350" s="124" t="s">
        <v>1448</v>
      </c>
      <c r="K1350" s="124" t="s">
        <v>398</v>
      </c>
      <c r="L1350" s="124">
        <v>3.9600000000000003E-4</v>
      </c>
      <c r="M1350" s="182">
        <v>6.1700000000000004E-4</v>
      </c>
      <c r="N1350" s="182">
        <v>6.1700000000000004E-4</v>
      </c>
      <c r="O1350" s="182">
        <v>6.1700000000000004E-4</v>
      </c>
      <c r="P1350" s="182">
        <v>6.1700000000000004E-4</v>
      </c>
      <c r="R1350" s="154" t="str">
        <f t="shared" si="59"/>
        <v>A0890:(株)UPXメニューB</v>
      </c>
      <c r="S1350" s="182">
        <f t="shared" si="58"/>
        <v>3.9600000000000003E-4</v>
      </c>
    </row>
    <row r="1351" spans="9:19">
      <c r="I1351" s="124" t="s">
        <v>1447</v>
      </c>
      <c r="J1351" s="124" t="s">
        <v>1448</v>
      </c>
      <c r="K1351" s="124" t="s">
        <v>2010</v>
      </c>
      <c r="L1351" s="124">
        <v>4.5000000000000004E-4</v>
      </c>
      <c r="M1351" s="182">
        <v>6.1700000000000004E-4</v>
      </c>
      <c r="N1351" s="182">
        <v>6.1700000000000004E-4</v>
      </c>
      <c r="O1351" s="182">
        <v>6.1700000000000004E-4</v>
      </c>
      <c r="P1351" s="182">
        <v>6.1700000000000004E-4</v>
      </c>
      <c r="R1351" s="154" t="str">
        <f t="shared" si="59"/>
        <v>A0890:(株)UPX(参考値)事業者全体</v>
      </c>
      <c r="S1351" s="182">
        <f t="shared" si="58"/>
        <v>4.5000000000000004E-4</v>
      </c>
    </row>
    <row r="1352" spans="9:19">
      <c r="I1352" s="124" t="s">
        <v>1449</v>
      </c>
      <c r="J1352" s="124" t="s">
        <v>1450</v>
      </c>
      <c r="K1352" s="124" t="s">
        <v>390</v>
      </c>
      <c r="L1352" s="124">
        <v>4.9200000000000003E-4</v>
      </c>
      <c r="M1352" s="182">
        <v>6.1700000000000004E-4</v>
      </c>
      <c r="N1352" s="182">
        <v>6.1700000000000004E-4</v>
      </c>
      <c r="O1352" s="182">
        <v>6.1700000000000004E-4</v>
      </c>
      <c r="P1352" s="182">
        <v>6.1700000000000004E-4</v>
      </c>
      <c r="R1352" s="154" t="str">
        <f t="shared" si="59"/>
        <v>A0893:Miraiつのエナジー(株)メニューA</v>
      </c>
      <c r="S1352" s="182">
        <f t="shared" si="58"/>
        <v>4.9200000000000003E-4</v>
      </c>
    </row>
    <row r="1353" spans="9:19">
      <c r="I1353" s="124" t="s">
        <v>1451</v>
      </c>
      <c r="J1353" s="124" t="s">
        <v>1452</v>
      </c>
      <c r="K1353" s="124"/>
      <c r="L1353" s="124">
        <v>4.8700000000000007E-4</v>
      </c>
      <c r="M1353" s="182">
        <v>6.1700000000000004E-4</v>
      </c>
      <c r="N1353" s="182">
        <v>6.1700000000000004E-4</v>
      </c>
      <c r="O1353" s="182">
        <v>6.1700000000000004E-4</v>
      </c>
      <c r="P1353" s="182">
        <v>6.1700000000000004E-4</v>
      </c>
      <c r="R1353" s="154" t="str">
        <f t="shared" si="59"/>
        <v>A0903:山口グリーンエネルギー(株)</v>
      </c>
      <c r="S1353" s="182">
        <f t="shared" si="58"/>
        <v>4.8700000000000007E-4</v>
      </c>
    </row>
    <row r="1354" spans="9:19">
      <c r="I1354" s="124" t="s">
        <v>1453</v>
      </c>
      <c r="J1354" s="124" t="s">
        <v>1454</v>
      </c>
      <c r="K1354" s="124" t="s">
        <v>390</v>
      </c>
      <c r="L1354" s="124">
        <v>0</v>
      </c>
      <c r="M1354" s="182">
        <v>6.1700000000000004E-4</v>
      </c>
      <c r="N1354" s="182">
        <v>6.1700000000000004E-4</v>
      </c>
      <c r="O1354" s="182">
        <v>6.1700000000000004E-4</v>
      </c>
      <c r="P1354" s="182">
        <v>6.1700000000000004E-4</v>
      </c>
      <c r="R1354" s="154" t="str">
        <f t="shared" si="59"/>
        <v>A0905:(株)はちまんたいジオパワーメニューA</v>
      </c>
      <c r="S1354" s="182">
        <f t="shared" ref="S1354:S1356" si="60">HLOOKUP($S$8,$L$8:$P$1500,ROW()-7,FALSE)</f>
        <v>0</v>
      </c>
    </row>
    <row r="1355" spans="9:19">
      <c r="I1355" s="124" t="s">
        <v>1453</v>
      </c>
      <c r="J1355" s="124" t="s">
        <v>1454</v>
      </c>
      <c r="K1355" s="124" t="s">
        <v>2010</v>
      </c>
      <c r="L1355" s="124">
        <v>5.5000000000000002E-5</v>
      </c>
      <c r="M1355" s="182">
        <v>6.1700000000000004E-4</v>
      </c>
      <c r="N1355" s="182">
        <v>6.1700000000000004E-4</v>
      </c>
      <c r="O1355" s="182">
        <v>6.1700000000000004E-4</v>
      </c>
      <c r="P1355" s="182">
        <v>6.1700000000000004E-4</v>
      </c>
      <c r="R1355" s="154" t="str">
        <f t="shared" si="59"/>
        <v>A0905:(株)はちまんたいジオパワー(参考値)事業者全体</v>
      </c>
      <c r="S1355" s="182">
        <f t="shared" si="60"/>
        <v>5.5000000000000002E-5</v>
      </c>
    </row>
    <row r="1356" spans="9:19">
      <c r="I1356" s="127" t="s">
        <v>1455</v>
      </c>
      <c r="J1356" s="127" t="s">
        <v>1456</v>
      </c>
      <c r="K1356" s="127"/>
      <c r="L1356" s="127">
        <v>6.1700000000000004E-4</v>
      </c>
      <c r="M1356" s="443">
        <v>6.1700000000000004E-4</v>
      </c>
      <c r="N1356" s="443">
        <v>6.1700000000000004E-4</v>
      </c>
      <c r="O1356" s="443">
        <v>6.1700000000000004E-4</v>
      </c>
      <c r="P1356" s="443">
        <v>6.1700000000000004E-4</v>
      </c>
      <c r="R1356" s="444" t="str">
        <f t="shared" si="59"/>
        <v>A0906:(株)アイモバイル</v>
      </c>
      <c r="S1356" s="182">
        <f t="shared" si="60"/>
        <v>6.1700000000000004E-4</v>
      </c>
    </row>
  </sheetData>
  <sheetProtection algorithmName="SHA-512" hashValue="VTfwndcCh/6ByYAEXs2Y6xm7pMd4vZrPW0HOu7EEpt5cMWu6hQzXondk6wGPS8Xx/CDlOEx+GcjBUP+CA4YUUQ==" saltValue="VlgZ3XOIyIMTXhRjKlTOKw==" spinCount="100000" sheet="1" objects="1" scenarios="1"/>
  <mergeCells count="10">
    <mergeCell ref="R2:R3"/>
    <mergeCell ref="R7:R8"/>
    <mergeCell ref="I2:J3"/>
    <mergeCell ref="B7:B8"/>
    <mergeCell ref="C7:C8"/>
    <mergeCell ref="F7:F8"/>
    <mergeCell ref="K2:K3"/>
    <mergeCell ref="D7:D8"/>
    <mergeCell ref="K7:K8"/>
    <mergeCell ref="I7:J7"/>
  </mergeCells>
  <phoneticPr fontId="5"/>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0" tint="-0.14999847407452621"/>
  </sheetPr>
  <dimension ref="B1:AB29"/>
  <sheetViews>
    <sheetView zoomScaleNormal="100" workbookViewId="0"/>
  </sheetViews>
  <sheetFormatPr defaultRowHeight="18"/>
  <cols>
    <col min="3" max="3" width="33.08203125" bestFit="1" customWidth="1"/>
    <col min="4" max="4" width="38.08203125" customWidth="1"/>
    <col min="6" max="6" width="20.58203125" customWidth="1"/>
    <col min="8" max="8" width="36.08203125" bestFit="1" customWidth="1"/>
    <col min="9" max="11" width="11.5" bestFit="1" customWidth="1"/>
    <col min="12" max="13" width="13.6640625" bestFit="1" customWidth="1"/>
    <col min="14" max="14" width="5.6640625" customWidth="1"/>
    <col min="15" max="15" width="36.08203125" bestFit="1" customWidth="1"/>
    <col min="16" max="16" width="13.6640625" customWidth="1"/>
    <col min="17" max="17" width="5.5" customWidth="1"/>
    <col min="18" max="18" width="9.1640625" bestFit="1" customWidth="1"/>
    <col min="19" max="19" width="31.4140625" bestFit="1" customWidth="1"/>
    <col min="20" max="20" width="34.9140625" customWidth="1"/>
    <col min="21" max="23" width="11.5" bestFit="1" customWidth="1"/>
    <col min="24" max="25" width="13.6640625" bestFit="1" customWidth="1"/>
    <col min="27" max="27" width="31.4140625" bestFit="1" customWidth="1"/>
    <col min="28" max="28" width="16.5" customWidth="1"/>
  </cols>
  <sheetData>
    <row r="1" spans="2:28">
      <c r="P1" t="s">
        <v>1833</v>
      </c>
      <c r="AB1" t="s">
        <v>1833</v>
      </c>
    </row>
    <row r="2" spans="2:28" ht="18.75" customHeight="1">
      <c r="H2" s="2037" t="s">
        <v>1661</v>
      </c>
      <c r="I2" s="180" t="s">
        <v>1658</v>
      </c>
      <c r="J2" s="180" t="s">
        <v>1658</v>
      </c>
      <c r="K2" s="180" t="s">
        <v>1658</v>
      </c>
      <c r="L2" s="180" t="s">
        <v>1658</v>
      </c>
      <c r="M2" s="180" t="s">
        <v>1658</v>
      </c>
      <c r="N2" s="198"/>
      <c r="O2" s="2030" t="s">
        <v>1661</v>
      </c>
      <c r="P2" s="197" t="s">
        <v>1658</v>
      </c>
      <c r="Q2" s="198"/>
      <c r="T2" s="2037" t="s">
        <v>1660</v>
      </c>
      <c r="U2" s="180" t="s">
        <v>1658</v>
      </c>
      <c r="V2" s="180" t="s">
        <v>1658</v>
      </c>
      <c r="W2" s="180" t="s">
        <v>1658</v>
      </c>
      <c r="X2" s="180" t="s">
        <v>1658</v>
      </c>
      <c r="Y2" s="180" t="s">
        <v>1658</v>
      </c>
      <c r="AA2" s="2030" t="s">
        <v>1660</v>
      </c>
      <c r="AB2" s="197" t="s">
        <v>1658</v>
      </c>
    </row>
    <row r="3" spans="2:28">
      <c r="H3" s="2036"/>
      <c r="I3" s="180" t="s">
        <v>1825</v>
      </c>
      <c r="J3" s="180" t="s">
        <v>1826</v>
      </c>
      <c r="K3" s="180" t="s">
        <v>1827</v>
      </c>
      <c r="L3" s="180" t="s">
        <v>1828</v>
      </c>
      <c r="M3" s="180" t="s">
        <v>1829</v>
      </c>
      <c r="N3" s="198"/>
      <c r="O3" s="2031"/>
      <c r="P3" s="197" t="str">
        <f>CONCATENATE('0.事業所概要'!$B$3,'0.事業所概要'!$C$3,"年度")</f>
        <v>令和７年度</v>
      </c>
      <c r="Q3" s="198"/>
      <c r="T3" s="2036"/>
      <c r="U3" s="180" t="s">
        <v>1825</v>
      </c>
      <c r="V3" s="180" t="s">
        <v>1826</v>
      </c>
      <c r="W3" s="180" t="s">
        <v>1827</v>
      </c>
      <c r="X3" s="180" t="s">
        <v>1828</v>
      </c>
      <c r="Y3" s="180" t="s">
        <v>1829</v>
      </c>
      <c r="AA3" s="2031"/>
      <c r="AB3" s="197" t="str">
        <f>CONCATENATE('0.事業所概要'!$B$3,'0.事業所概要'!$C$3,"年度")</f>
        <v>令和７年度</v>
      </c>
    </row>
    <row r="4" spans="2:28">
      <c r="H4" s="120" t="s">
        <v>1662</v>
      </c>
      <c r="I4" s="120">
        <v>40</v>
      </c>
      <c r="J4" s="120">
        <v>40</v>
      </c>
      <c r="K4" s="120">
        <v>40</v>
      </c>
      <c r="L4" s="120">
        <v>40</v>
      </c>
      <c r="M4" s="120">
        <v>40</v>
      </c>
      <c r="O4" s="120" t="s">
        <v>1662</v>
      </c>
      <c r="P4" s="120">
        <f>HLOOKUP($P$3,$I$3:$M$4,2,FALSE)</f>
        <v>40</v>
      </c>
      <c r="T4" s="120" t="s">
        <v>1527</v>
      </c>
      <c r="U4" s="120">
        <v>2.0499999999999998</v>
      </c>
      <c r="V4" s="120">
        <v>2.0499999999999998</v>
      </c>
      <c r="W4" s="120">
        <v>2.0499999999999998</v>
      </c>
      <c r="X4" s="120">
        <v>2.0499999999999998</v>
      </c>
      <c r="Y4" s="120">
        <v>2.0499999999999998</v>
      </c>
      <c r="AA4" s="120" t="s">
        <v>1527</v>
      </c>
      <c r="AB4" s="120">
        <f>HLOOKUP($AB$3,$U$3:$Y$4,2,FALSE)</f>
        <v>2.0499999999999998</v>
      </c>
    </row>
    <row r="6" spans="2:28" ht="20">
      <c r="B6" s="2034" t="s">
        <v>1457</v>
      </c>
      <c r="C6" s="2034" t="s">
        <v>1746</v>
      </c>
      <c r="D6" s="2036" t="s">
        <v>1747</v>
      </c>
      <c r="F6" s="2036" t="s">
        <v>1712</v>
      </c>
      <c r="H6" s="180" t="s">
        <v>1659</v>
      </c>
      <c r="I6" s="180" t="s">
        <v>1658</v>
      </c>
      <c r="J6" s="180" t="s">
        <v>1658</v>
      </c>
      <c r="K6" s="180" t="s">
        <v>1658</v>
      </c>
      <c r="L6" s="180" t="s">
        <v>1658</v>
      </c>
      <c r="M6" s="180" t="s">
        <v>1658</v>
      </c>
      <c r="N6" s="198"/>
      <c r="O6" s="2040" t="s">
        <v>1835</v>
      </c>
      <c r="P6" s="197" t="s">
        <v>1658</v>
      </c>
      <c r="Q6" s="198"/>
      <c r="R6" s="2036" t="s">
        <v>1737</v>
      </c>
      <c r="S6" s="2043" t="s">
        <v>1667</v>
      </c>
      <c r="T6" s="2041" t="s">
        <v>1742</v>
      </c>
      <c r="U6" s="180" t="s">
        <v>1658</v>
      </c>
      <c r="V6" s="180" t="s">
        <v>1658</v>
      </c>
      <c r="W6" s="180" t="s">
        <v>1658</v>
      </c>
      <c r="X6" s="180" t="s">
        <v>1658</v>
      </c>
      <c r="Y6" s="180" t="s">
        <v>1658</v>
      </c>
      <c r="AA6" s="2040" t="s">
        <v>1835</v>
      </c>
      <c r="AB6" s="197" t="s">
        <v>1658</v>
      </c>
    </row>
    <row r="7" spans="2:28">
      <c r="B7" s="2035"/>
      <c r="C7" s="2035"/>
      <c r="D7" s="2036"/>
      <c r="F7" s="2036"/>
      <c r="H7" s="180" t="s">
        <v>1657</v>
      </c>
      <c r="I7" s="180" t="s">
        <v>1825</v>
      </c>
      <c r="J7" s="180" t="s">
        <v>1826</v>
      </c>
      <c r="K7" s="180" t="s">
        <v>1827</v>
      </c>
      <c r="L7" s="180" t="s">
        <v>1828</v>
      </c>
      <c r="M7" s="180" t="s">
        <v>1829</v>
      </c>
      <c r="N7" s="198"/>
      <c r="O7" s="2040"/>
      <c r="P7" s="197" t="str">
        <f>CONCATENATE('0.事業所概要'!$B$3,'0.事業所概要'!$C$3,"年度")</f>
        <v>令和７年度</v>
      </c>
      <c r="Q7" s="198"/>
      <c r="R7" s="2036"/>
      <c r="S7" s="2044"/>
      <c r="T7" s="2042"/>
      <c r="U7" s="180" t="s">
        <v>1825</v>
      </c>
      <c r="V7" s="180" t="s">
        <v>1826</v>
      </c>
      <c r="W7" s="180" t="s">
        <v>1827</v>
      </c>
      <c r="X7" s="180" t="s">
        <v>1828</v>
      </c>
      <c r="Y7" s="180" t="s">
        <v>1829</v>
      </c>
      <c r="AA7" s="2040"/>
      <c r="AB7" s="197" t="str">
        <f>CONCATENATE('0.事業所概要'!$B$3,'0.事業所概要'!$C$3,"年度")</f>
        <v>令和７年度</v>
      </c>
    </row>
    <row r="8" spans="2:28">
      <c r="B8" s="123" t="s">
        <v>1738</v>
      </c>
      <c r="C8" s="184" t="s">
        <v>1734</v>
      </c>
      <c r="D8" s="123" t="str">
        <f>IF(B8="",C8,B8&amp;":"&amp;C8)</f>
        <v>A0020:東京ガス(株)_13A</v>
      </c>
      <c r="F8" s="123"/>
      <c r="H8" s="123" t="s">
        <v>1734</v>
      </c>
      <c r="I8" s="123">
        <v>45</v>
      </c>
      <c r="J8" s="123">
        <v>45</v>
      </c>
      <c r="K8" s="123">
        <v>45</v>
      </c>
      <c r="L8" s="123">
        <v>45</v>
      </c>
      <c r="M8" s="123">
        <v>45</v>
      </c>
      <c r="O8" s="123" t="str">
        <f>IF(B8="",C8,B8&amp;":"&amp;C8)</f>
        <v>A0020:東京ガス(株)_13A</v>
      </c>
      <c r="P8" s="123">
        <f>HLOOKUP($P$7,$I$7:$M$28,ROW()-6,FALSE)</f>
        <v>45</v>
      </c>
      <c r="R8" s="123" t="s">
        <v>1738</v>
      </c>
      <c r="S8" s="184" t="s">
        <v>1734</v>
      </c>
      <c r="T8" s="123" t="s">
        <v>1743</v>
      </c>
      <c r="U8" s="123">
        <v>0</v>
      </c>
      <c r="V8" s="123">
        <v>0</v>
      </c>
      <c r="W8" s="123">
        <v>0</v>
      </c>
      <c r="X8" s="123">
        <v>0</v>
      </c>
      <c r="Y8" s="123">
        <v>0</v>
      </c>
      <c r="AA8" s="123" t="str">
        <f>IF(R8="",S8,R8&amp;":"&amp;S8)&amp;T8</f>
        <v>A0020:東京ガス(株)_13AメニューA</v>
      </c>
      <c r="AB8" s="123">
        <f>IF(HLOOKUP($AB$7,$U$7:$Y$29,ROW()-6,FALSE)="","",HLOOKUP($AB$7,$U$7:$Y$29,ROW()-6,FALSE))</f>
        <v>0</v>
      </c>
    </row>
    <row r="9" spans="2:28">
      <c r="B9" s="124"/>
      <c r="C9" s="175" t="s">
        <v>1717</v>
      </c>
      <c r="D9" s="124" t="str">
        <f t="shared" ref="D9:D28" si="0">IF(B9="",C9,B9&amp;":"&amp;C9)</f>
        <v>伊奈都市ガス(株)_13A</v>
      </c>
      <c r="F9" s="124" t="s">
        <v>1743</v>
      </c>
      <c r="H9" s="124" t="s">
        <v>1717</v>
      </c>
      <c r="I9" s="124">
        <v>45</v>
      </c>
      <c r="J9" s="124">
        <v>45</v>
      </c>
      <c r="K9" s="124">
        <v>45</v>
      </c>
      <c r="L9" s="124">
        <v>45</v>
      </c>
      <c r="M9" s="124">
        <v>45</v>
      </c>
      <c r="O9" s="124" t="str">
        <f t="shared" ref="O9:O27" si="1">IF(B9="",C9,B9&amp;":"&amp;C9)</f>
        <v>伊奈都市ガス(株)_13A</v>
      </c>
      <c r="P9" s="124">
        <f t="shared" ref="P9:P28" si="2">HLOOKUP($P$7,$I$7:$M$28,ROW()-6,FALSE)</f>
        <v>45</v>
      </c>
      <c r="R9" s="124" t="s">
        <v>1738</v>
      </c>
      <c r="S9" s="175" t="s">
        <v>1734</v>
      </c>
      <c r="T9" s="124" t="s">
        <v>1745</v>
      </c>
      <c r="U9" s="124">
        <v>2.0499999999999998</v>
      </c>
      <c r="V9" s="124">
        <v>2.0499999999999998</v>
      </c>
      <c r="W9" s="124">
        <v>2.0499999999999998</v>
      </c>
      <c r="X9" s="124">
        <v>2.0499999999999998</v>
      </c>
      <c r="Y9" s="124">
        <v>2.0499999999999998</v>
      </c>
      <c r="AA9" s="124" t="str">
        <f t="shared" ref="AA9:AA29" si="3">IF(R9="",S9,R9&amp;":"&amp;S9)&amp;T9</f>
        <v>A0020:東京ガス(株)_13A残差</v>
      </c>
      <c r="AB9" s="124">
        <f>IF(HLOOKUP($AB$7,$U$7:$Y$29,ROW()-6,FALSE)="","",HLOOKUP($AB$7,$U$7:$Y$29,ROW()-6,FALSE))</f>
        <v>2.0499999999999998</v>
      </c>
    </row>
    <row r="10" spans="2:28">
      <c r="B10" s="124"/>
      <c r="C10" s="175" t="s">
        <v>1718</v>
      </c>
      <c r="D10" s="124" t="str">
        <f t="shared" si="0"/>
        <v>入間ガス(株)_13A</v>
      </c>
      <c r="F10" s="124" t="s">
        <v>1820</v>
      </c>
      <c r="H10" s="124" t="s">
        <v>1718</v>
      </c>
      <c r="I10" s="124">
        <v>45</v>
      </c>
      <c r="J10" s="124">
        <v>45</v>
      </c>
      <c r="K10" s="124">
        <v>45</v>
      </c>
      <c r="L10" s="124">
        <v>45</v>
      </c>
      <c r="M10" s="124">
        <v>45</v>
      </c>
      <c r="O10" s="124" t="str">
        <f t="shared" si="1"/>
        <v>入間ガス(株)_13A</v>
      </c>
      <c r="P10" s="124">
        <f t="shared" si="2"/>
        <v>45</v>
      </c>
      <c r="R10" s="124"/>
      <c r="S10" s="175" t="s">
        <v>1717</v>
      </c>
      <c r="T10" s="124"/>
      <c r="U10" s="124" t="s">
        <v>1883</v>
      </c>
      <c r="V10" s="124" t="s">
        <v>1883</v>
      </c>
      <c r="W10" s="124" t="s">
        <v>1883</v>
      </c>
      <c r="X10" s="124" t="s">
        <v>1883</v>
      </c>
      <c r="Y10" s="124" t="s">
        <v>1883</v>
      </c>
      <c r="AA10" s="124" t="str">
        <f t="shared" si="3"/>
        <v>伊奈都市ガス(株)_13A</v>
      </c>
      <c r="AB10" s="124" t="str">
        <f t="shared" ref="AB10:AB29" si="4">IF(HLOOKUP($AB$7,$U$7:$Y$29,ROW()-6,FALSE)="","",HLOOKUP($AB$7,$U$7:$Y$29,ROW()-6,FALSE))</f>
        <v>要記入</v>
      </c>
    </row>
    <row r="11" spans="2:28">
      <c r="B11" s="124"/>
      <c r="C11" s="175" t="s">
        <v>1719</v>
      </c>
      <c r="D11" s="124" t="str">
        <f t="shared" si="0"/>
        <v>太田都市ガス(株)_13A</v>
      </c>
      <c r="F11" s="124" t="s">
        <v>1821</v>
      </c>
      <c r="H11" s="124" t="s">
        <v>1719</v>
      </c>
      <c r="I11" s="124">
        <v>45</v>
      </c>
      <c r="J11" s="124">
        <v>45</v>
      </c>
      <c r="K11" s="124">
        <v>45</v>
      </c>
      <c r="L11" s="124">
        <v>45</v>
      </c>
      <c r="M11" s="124">
        <v>45</v>
      </c>
      <c r="O11" s="124" t="str">
        <f t="shared" si="1"/>
        <v>太田都市ガス(株)_13A</v>
      </c>
      <c r="P11" s="124">
        <f t="shared" si="2"/>
        <v>45</v>
      </c>
      <c r="R11" s="124"/>
      <c r="S11" s="175" t="s">
        <v>1718</v>
      </c>
      <c r="T11" s="124"/>
      <c r="U11" s="124" t="s">
        <v>1883</v>
      </c>
      <c r="V11" s="124" t="s">
        <v>1883</v>
      </c>
      <c r="W11" s="124" t="s">
        <v>1883</v>
      </c>
      <c r="X11" s="124" t="s">
        <v>1883</v>
      </c>
      <c r="Y11" s="124" t="s">
        <v>1883</v>
      </c>
      <c r="AA11" s="124" t="str">
        <f t="shared" si="3"/>
        <v>入間ガス(株)_13A</v>
      </c>
      <c r="AB11" s="124" t="str">
        <f t="shared" si="4"/>
        <v>要記入</v>
      </c>
    </row>
    <row r="12" spans="2:28">
      <c r="B12" s="124"/>
      <c r="C12" s="175" t="s">
        <v>1720</v>
      </c>
      <c r="D12" s="124" t="str">
        <f t="shared" si="0"/>
        <v>角栄ガス(株)_13A</v>
      </c>
      <c r="F12" s="124" t="s">
        <v>2005</v>
      </c>
      <c r="H12" s="124" t="s">
        <v>1720</v>
      </c>
      <c r="I12" s="124">
        <v>45</v>
      </c>
      <c r="J12" s="124">
        <v>45</v>
      </c>
      <c r="K12" s="124">
        <v>45</v>
      </c>
      <c r="L12" s="124">
        <v>45</v>
      </c>
      <c r="M12" s="124">
        <v>45</v>
      </c>
      <c r="O12" s="124" t="str">
        <f t="shared" si="1"/>
        <v>角栄ガス(株)_13A</v>
      </c>
      <c r="P12" s="124">
        <f t="shared" si="2"/>
        <v>45</v>
      </c>
      <c r="R12" s="124"/>
      <c r="S12" s="175" t="s">
        <v>1719</v>
      </c>
      <c r="T12" s="124"/>
      <c r="U12" s="124" t="s">
        <v>1883</v>
      </c>
      <c r="V12" s="124" t="s">
        <v>1883</v>
      </c>
      <c r="W12" s="124" t="s">
        <v>1883</v>
      </c>
      <c r="X12" s="124" t="s">
        <v>1883</v>
      </c>
      <c r="Y12" s="124" t="s">
        <v>1883</v>
      </c>
      <c r="AA12" s="124" t="str">
        <f t="shared" si="3"/>
        <v>太田都市ガス(株)_13A</v>
      </c>
      <c r="AB12" s="124" t="str">
        <f t="shared" si="4"/>
        <v>要記入</v>
      </c>
    </row>
    <row r="13" spans="2:28">
      <c r="B13" s="124"/>
      <c r="C13" s="175" t="s">
        <v>1721</v>
      </c>
      <c r="D13" s="124" t="str">
        <f t="shared" si="0"/>
        <v>埼玉ガス(株)_13A</v>
      </c>
      <c r="F13" s="124" t="s">
        <v>2006</v>
      </c>
      <c r="H13" s="124" t="s">
        <v>1721</v>
      </c>
      <c r="I13" s="124">
        <v>45</v>
      </c>
      <c r="J13" s="124">
        <v>45</v>
      </c>
      <c r="K13" s="124">
        <v>45</v>
      </c>
      <c r="L13" s="124">
        <v>45</v>
      </c>
      <c r="M13" s="124">
        <v>45</v>
      </c>
      <c r="O13" s="124" t="str">
        <f t="shared" si="1"/>
        <v>埼玉ガス(株)_13A</v>
      </c>
      <c r="P13" s="124">
        <f t="shared" si="2"/>
        <v>45</v>
      </c>
      <c r="R13" s="124"/>
      <c r="S13" s="175" t="s">
        <v>1720</v>
      </c>
      <c r="T13" s="124"/>
      <c r="U13" s="124" t="s">
        <v>1883</v>
      </c>
      <c r="V13" s="124" t="s">
        <v>1883</v>
      </c>
      <c r="W13" s="124" t="s">
        <v>1883</v>
      </c>
      <c r="X13" s="124" t="s">
        <v>1883</v>
      </c>
      <c r="Y13" s="124" t="s">
        <v>1883</v>
      </c>
      <c r="AA13" s="124" t="str">
        <f t="shared" si="3"/>
        <v>角栄ガス(株)_13A</v>
      </c>
      <c r="AB13" s="124" t="str">
        <f t="shared" si="4"/>
        <v>要記入</v>
      </c>
    </row>
    <row r="14" spans="2:28">
      <c r="B14" s="124"/>
      <c r="C14" s="175" t="s">
        <v>1722</v>
      </c>
      <c r="D14" s="124" t="str">
        <f t="shared" si="0"/>
        <v>坂戸ガス(株)_13A</v>
      </c>
      <c r="F14" s="127" t="s">
        <v>1745</v>
      </c>
      <c r="H14" s="124" t="s">
        <v>1722</v>
      </c>
      <c r="I14" s="124">
        <v>45</v>
      </c>
      <c r="J14" s="124">
        <v>45</v>
      </c>
      <c r="K14" s="124">
        <v>45</v>
      </c>
      <c r="L14" s="124">
        <v>45</v>
      </c>
      <c r="M14" s="124">
        <v>45</v>
      </c>
      <c r="O14" s="124" t="str">
        <f t="shared" si="1"/>
        <v>坂戸ガス(株)_13A</v>
      </c>
      <c r="P14" s="124">
        <f t="shared" si="2"/>
        <v>45</v>
      </c>
      <c r="R14" s="124"/>
      <c r="S14" s="175" t="s">
        <v>1721</v>
      </c>
      <c r="T14" s="124"/>
      <c r="U14" s="124" t="s">
        <v>1883</v>
      </c>
      <c r="V14" s="124" t="s">
        <v>1883</v>
      </c>
      <c r="W14" s="124" t="s">
        <v>1883</v>
      </c>
      <c r="X14" s="124" t="s">
        <v>1883</v>
      </c>
      <c r="Y14" s="124" t="s">
        <v>1883</v>
      </c>
      <c r="AA14" s="124" t="str">
        <f t="shared" si="3"/>
        <v>埼玉ガス(株)_13A</v>
      </c>
      <c r="AB14" s="124" t="str">
        <f t="shared" si="4"/>
        <v>要記入</v>
      </c>
    </row>
    <row r="15" spans="2:28">
      <c r="B15" s="124"/>
      <c r="C15" s="175" t="s">
        <v>1723</v>
      </c>
      <c r="D15" s="124" t="str">
        <f t="shared" si="0"/>
        <v>幸手都市ガス(株)_13A</v>
      </c>
      <c r="H15" s="124" t="s">
        <v>1723</v>
      </c>
      <c r="I15" s="124">
        <v>45</v>
      </c>
      <c r="J15" s="124">
        <v>45</v>
      </c>
      <c r="K15" s="124">
        <v>45</v>
      </c>
      <c r="L15" s="124">
        <v>45</v>
      </c>
      <c r="M15" s="124">
        <v>45</v>
      </c>
      <c r="O15" s="124" t="str">
        <f t="shared" si="1"/>
        <v>幸手都市ガス(株)_13A</v>
      </c>
      <c r="P15" s="124">
        <f t="shared" si="2"/>
        <v>45</v>
      </c>
      <c r="R15" s="124"/>
      <c r="S15" s="175" t="s">
        <v>1722</v>
      </c>
      <c r="T15" s="124"/>
      <c r="U15" s="124" t="s">
        <v>1883</v>
      </c>
      <c r="V15" s="124" t="s">
        <v>1883</v>
      </c>
      <c r="W15" s="124" t="s">
        <v>1883</v>
      </c>
      <c r="X15" s="124" t="s">
        <v>1883</v>
      </c>
      <c r="Y15" s="124" t="s">
        <v>1883</v>
      </c>
      <c r="AA15" s="124" t="str">
        <f t="shared" si="3"/>
        <v>坂戸ガス(株)_13A</v>
      </c>
      <c r="AB15" s="124" t="str">
        <f t="shared" si="4"/>
        <v>要記入</v>
      </c>
    </row>
    <row r="16" spans="2:28">
      <c r="B16" s="124"/>
      <c r="C16" s="175" t="s">
        <v>1724</v>
      </c>
      <c r="D16" s="124" t="str">
        <f t="shared" si="0"/>
        <v>松栄ガス(株)_13A</v>
      </c>
      <c r="H16" s="124" t="s">
        <v>1724</v>
      </c>
      <c r="I16" s="124">
        <v>45</v>
      </c>
      <c r="J16" s="124">
        <v>45</v>
      </c>
      <c r="K16" s="124">
        <v>45</v>
      </c>
      <c r="L16" s="124">
        <v>45</v>
      </c>
      <c r="M16" s="124">
        <v>45</v>
      </c>
      <c r="O16" s="124" t="str">
        <f t="shared" si="1"/>
        <v>松栄ガス(株)_13A</v>
      </c>
      <c r="P16" s="124">
        <f t="shared" si="2"/>
        <v>45</v>
      </c>
      <c r="R16" s="124"/>
      <c r="S16" s="175" t="s">
        <v>1723</v>
      </c>
      <c r="T16" s="124"/>
      <c r="U16" s="124" t="s">
        <v>1883</v>
      </c>
      <c r="V16" s="124" t="s">
        <v>1883</v>
      </c>
      <c r="W16" s="124" t="s">
        <v>1883</v>
      </c>
      <c r="X16" s="124" t="s">
        <v>1883</v>
      </c>
      <c r="Y16" s="124" t="s">
        <v>1883</v>
      </c>
      <c r="AA16" s="124" t="str">
        <f t="shared" si="3"/>
        <v>幸手都市ガス(株)_13A</v>
      </c>
      <c r="AB16" s="124" t="str">
        <f t="shared" si="4"/>
        <v>要記入</v>
      </c>
    </row>
    <row r="17" spans="2:28">
      <c r="B17" s="124"/>
      <c r="C17" s="175" t="s">
        <v>1725</v>
      </c>
      <c r="D17" s="124" t="str">
        <f t="shared" si="0"/>
        <v>新日本瓦斯(株)_13A</v>
      </c>
      <c r="H17" s="124" t="s">
        <v>1725</v>
      </c>
      <c r="I17" s="124">
        <v>45</v>
      </c>
      <c r="J17" s="124">
        <v>45</v>
      </c>
      <c r="K17" s="124">
        <v>45</v>
      </c>
      <c r="L17" s="124">
        <v>45</v>
      </c>
      <c r="M17" s="124">
        <v>45</v>
      </c>
      <c r="O17" s="124" t="str">
        <f t="shared" si="1"/>
        <v>新日本瓦斯(株)_13A</v>
      </c>
      <c r="P17" s="124">
        <f t="shared" si="2"/>
        <v>45</v>
      </c>
      <c r="R17" s="124"/>
      <c r="S17" s="175" t="s">
        <v>1724</v>
      </c>
      <c r="T17" s="124"/>
      <c r="U17" s="124" t="s">
        <v>1883</v>
      </c>
      <c r="V17" s="124" t="s">
        <v>1883</v>
      </c>
      <c r="W17" s="124" t="s">
        <v>1883</v>
      </c>
      <c r="X17" s="124" t="s">
        <v>1883</v>
      </c>
      <c r="Y17" s="124" t="s">
        <v>1883</v>
      </c>
      <c r="AA17" s="124" t="str">
        <f t="shared" si="3"/>
        <v>松栄ガス(株)_13A</v>
      </c>
      <c r="AB17" s="124" t="str">
        <f t="shared" si="4"/>
        <v>要記入</v>
      </c>
    </row>
    <row r="18" spans="2:28">
      <c r="B18" s="124"/>
      <c r="C18" s="175" t="s">
        <v>1726</v>
      </c>
      <c r="D18" s="124" t="str">
        <f t="shared" si="0"/>
        <v>西武ガス(株)_13A</v>
      </c>
      <c r="H18" s="124" t="s">
        <v>1726</v>
      </c>
      <c r="I18" s="124">
        <v>45</v>
      </c>
      <c r="J18" s="124">
        <v>45</v>
      </c>
      <c r="K18" s="124">
        <v>45</v>
      </c>
      <c r="L18" s="124">
        <v>45</v>
      </c>
      <c r="M18" s="124">
        <v>45</v>
      </c>
      <c r="O18" s="124" t="str">
        <f t="shared" si="1"/>
        <v>西武ガス(株)_13A</v>
      </c>
      <c r="P18" s="124">
        <f t="shared" si="2"/>
        <v>45</v>
      </c>
      <c r="R18" s="124"/>
      <c r="S18" s="175" t="s">
        <v>1725</v>
      </c>
      <c r="T18" s="124"/>
      <c r="U18" s="124" t="s">
        <v>1883</v>
      </c>
      <c r="V18" s="124" t="s">
        <v>1883</v>
      </c>
      <c r="W18" s="124" t="s">
        <v>1883</v>
      </c>
      <c r="X18" s="124" t="s">
        <v>1883</v>
      </c>
      <c r="Y18" s="124" t="s">
        <v>1883</v>
      </c>
      <c r="AA18" s="124" t="str">
        <f t="shared" si="3"/>
        <v>新日本瓦斯(株)_13A</v>
      </c>
      <c r="AB18" s="124" t="str">
        <f t="shared" si="4"/>
        <v>要記入</v>
      </c>
    </row>
    <row r="19" spans="2:28">
      <c r="B19" s="124"/>
      <c r="C19" s="175" t="s">
        <v>1727</v>
      </c>
      <c r="D19" s="124" t="str">
        <f t="shared" si="0"/>
        <v>大東ガス(株)_13A</v>
      </c>
      <c r="H19" s="124" t="s">
        <v>1727</v>
      </c>
      <c r="I19" s="124">
        <v>45</v>
      </c>
      <c r="J19" s="124">
        <v>45</v>
      </c>
      <c r="K19" s="124">
        <v>45</v>
      </c>
      <c r="L19" s="124">
        <v>45</v>
      </c>
      <c r="M19" s="124">
        <v>45</v>
      </c>
      <c r="O19" s="124" t="str">
        <f t="shared" si="1"/>
        <v>大東ガス(株)_13A</v>
      </c>
      <c r="P19" s="124">
        <f t="shared" si="2"/>
        <v>45</v>
      </c>
      <c r="R19" s="124"/>
      <c r="S19" s="175" t="s">
        <v>1726</v>
      </c>
      <c r="T19" s="124"/>
      <c r="U19" s="124" t="s">
        <v>1883</v>
      </c>
      <c r="V19" s="124" t="s">
        <v>1883</v>
      </c>
      <c r="W19" s="124" t="s">
        <v>1883</v>
      </c>
      <c r="X19" s="124" t="s">
        <v>1883</v>
      </c>
      <c r="Y19" s="124" t="s">
        <v>1883</v>
      </c>
      <c r="AA19" s="124" t="str">
        <f t="shared" si="3"/>
        <v>西武ガス(株)_13A</v>
      </c>
      <c r="AB19" s="124" t="str">
        <f t="shared" si="4"/>
        <v>要記入</v>
      </c>
    </row>
    <row r="20" spans="2:28">
      <c r="B20" s="124"/>
      <c r="C20" s="175" t="s">
        <v>1728</v>
      </c>
      <c r="D20" s="124" t="str">
        <f t="shared" si="0"/>
        <v>秩父ガス(株)_13A</v>
      </c>
      <c r="H20" s="124" t="s">
        <v>1728</v>
      </c>
      <c r="I20" s="124">
        <v>46.04</v>
      </c>
      <c r="J20" s="124">
        <v>46.04</v>
      </c>
      <c r="K20" s="124">
        <v>46.04</v>
      </c>
      <c r="L20" s="124">
        <v>46.04</v>
      </c>
      <c r="M20" s="124">
        <v>46.04</v>
      </c>
      <c r="O20" s="124" t="str">
        <f t="shared" si="1"/>
        <v>秩父ガス(株)_13A</v>
      </c>
      <c r="P20" s="124">
        <f t="shared" si="2"/>
        <v>46.04</v>
      </c>
      <c r="R20" s="124"/>
      <c r="S20" s="175" t="s">
        <v>1727</v>
      </c>
      <c r="T20" s="124"/>
      <c r="U20" s="124" t="s">
        <v>1883</v>
      </c>
      <c r="V20" s="124" t="s">
        <v>1883</v>
      </c>
      <c r="W20" s="124" t="s">
        <v>1883</v>
      </c>
      <c r="X20" s="124" t="s">
        <v>1883</v>
      </c>
      <c r="Y20" s="124" t="s">
        <v>1883</v>
      </c>
      <c r="AA20" s="124" t="str">
        <f t="shared" si="3"/>
        <v>大東ガス(株)_13A</v>
      </c>
      <c r="AB20" s="124" t="str">
        <f t="shared" si="4"/>
        <v>要記入</v>
      </c>
    </row>
    <row r="21" spans="2:28">
      <c r="B21" s="124"/>
      <c r="C21" s="175" t="s">
        <v>1729</v>
      </c>
      <c r="D21" s="124" t="str">
        <f t="shared" si="0"/>
        <v>東彩ガス(株)_13A</v>
      </c>
      <c r="H21" s="124" t="s">
        <v>1729</v>
      </c>
      <c r="I21" s="124">
        <v>45</v>
      </c>
      <c r="J21" s="124">
        <v>45</v>
      </c>
      <c r="K21" s="124">
        <v>45</v>
      </c>
      <c r="L21" s="124">
        <v>45</v>
      </c>
      <c r="M21" s="124">
        <v>45</v>
      </c>
      <c r="O21" s="124" t="str">
        <f t="shared" si="1"/>
        <v>東彩ガス(株)_13A</v>
      </c>
      <c r="P21" s="124">
        <f t="shared" si="2"/>
        <v>45</v>
      </c>
      <c r="R21" s="124"/>
      <c r="S21" s="175" t="s">
        <v>1728</v>
      </c>
      <c r="T21" s="124"/>
      <c r="U21" s="124" t="s">
        <v>1883</v>
      </c>
      <c r="V21" s="124" t="s">
        <v>1883</v>
      </c>
      <c r="W21" s="124" t="s">
        <v>1883</v>
      </c>
      <c r="X21" s="124" t="s">
        <v>1883</v>
      </c>
      <c r="Y21" s="124" t="s">
        <v>1883</v>
      </c>
      <c r="AA21" s="124" t="str">
        <f t="shared" si="3"/>
        <v>秩父ガス(株)_13A</v>
      </c>
      <c r="AB21" s="124" t="str">
        <f t="shared" si="4"/>
        <v>要記入</v>
      </c>
    </row>
    <row r="22" spans="2:28">
      <c r="B22" s="124"/>
      <c r="C22" s="175" t="s">
        <v>1730</v>
      </c>
      <c r="D22" s="124" t="str">
        <f t="shared" si="0"/>
        <v>日高都市ガス(株)_13A</v>
      </c>
      <c r="H22" s="124" t="s">
        <v>1730</v>
      </c>
      <c r="I22" s="124">
        <v>45</v>
      </c>
      <c r="J22" s="124">
        <v>45</v>
      </c>
      <c r="K22" s="124">
        <v>45</v>
      </c>
      <c r="L22" s="124">
        <v>45</v>
      </c>
      <c r="M22" s="124">
        <v>45</v>
      </c>
      <c r="O22" s="124" t="str">
        <f t="shared" si="1"/>
        <v>日高都市ガス(株)_13A</v>
      </c>
      <c r="P22" s="124">
        <f t="shared" si="2"/>
        <v>45</v>
      </c>
      <c r="R22" s="124"/>
      <c r="S22" s="175" t="s">
        <v>1729</v>
      </c>
      <c r="T22" s="124"/>
      <c r="U22" s="124" t="s">
        <v>1883</v>
      </c>
      <c r="V22" s="124" t="s">
        <v>1883</v>
      </c>
      <c r="W22" s="124" t="s">
        <v>1883</v>
      </c>
      <c r="X22" s="124" t="s">
        <v>1883</v>
      </c>
      <c r="Y22" s="124" t="s">
        <v>1883</v>
      </c>
      <c r="AA22" s="124" t="str">
        <f t="shared" si="3"/>
        <v>東彩ガス(株)_13A</v>
      </c>
      <c r="AB22" s="124" t="str">
        <f t="shared" si="4"/>
        <v>要記入</v>
      </c>
    </row>
    <row r="23" spans="2:28">
      <c r="B23" s="124"/>
      <c r="C23" s="175" t="s">
        <v>1731</v>
      </c>
      <c r="D23" s="124" t="str">
        <f t="shared" si="0"/>
        <v>武州ガス(株)_13A</v>
      </c>
      <c r="H23" s="124" t="s">
        <v>1731</v>
      </c>
      <c r="I23" s="124">
        <v>45</v>
      </c>
      <c r="J23" s="124">
        <v>45</v>
      </c>
      <c r="K23" s="124">
        <v>45</v>
      </c>
      <c r="L23" s="124">
        <v>45</v>
      </c>
      <c r="M23" s="124">
        <v>45</v>
      </c>
      <c r="O23" s="124" t="str">
        <f t="shared" si="1"/>
        <v>武州ガス(株)_13A</v>
      </c>
      <c r="P23" s="124">
        <f t="shared" si="2"/>
        <v>45</v>
      </c>
      <c r="R23" s="124"/>
      <c r="S23" s="175" t="s">
        <v>1730</v>
      </c>
      <c r="T23" s="124"/>
      <c r="U23" s="124" t="s">
        <v>1883</v>
      </c>
      <c r="V23" s="124" t="s">
        <v>1883</v>
      </c>
      <c r="W23" s="124" t="s">
        <v>1883</v>
      </c>
      <c r="X23" s="124" t="s">
        <v>1883</v>
      </c>
      <c r="Y23" s="124" t="s">
        <v>1883</v>
      </c>
      <c r="AA23" s="124" t="str">
        <f t="shared" si="3"/>
        <v>日高都市ガス(株)_13A</v>
      </c>
      <c r="AB23" s="124" t="str">
        <f t="shared" si="4"/>
        <v>要記入</v>
      </c>
    </row>
    <row r="24" spans="2:28">
      <c r="B24" s="124"/>
      <c r="C24" s="175" t="s">
        <v>1732</v>
      </c>
      <c r="D24" s="124" t="str">
        <f t="shared" si="0"/>
        <v>本庄ガス(株)_13A</v>
      </c>
      <c r="H24" s="124" t="s">
        <v>1732</v>
      </c>
      <c r="I24" s="124">
        <v>45</v>
      </c>
      <c r="J24" s="124">
        <v>45</v>
      </c>
      <c r="K24" s="124">
        <v>45</v>
      </c>
      <c r="L24" s="124">
        <v>45</v>
      </c>
      <c r="M24" s="124">
        <v>45</v>
      </c>
      <c r="O24" s="124" t="str">
        <f t="shared" si="1"/>
        <v>本庄ガス(株)_13A</v>
      </c>
      <c r="P24" s="124">
        <f t="shared" si="2"/>
        <v>45</v>
      </c>
      <c r="R24" s="124"/>
      <c r="S24" s="175" t="s">
        <v>1731</v>
      </c>
      <c r="T24" s="124"/>
      <c r="U24" s="124" t="s">
        <v>1883</v>
      </c>
      <c r="V24" s="124" t="s">
        <v>1883</v>
      </c>
      <c r="W24" s="124" t="s">
        <v>1883</v>
      </c>
      <c r="X24" s="124" t="s">
        <v>1883</v>
      </c>
      <c r="Y24" s="124" t="s">
        <v>1883</v>
      </c>
      <c r="AA24" s="124" t="str">
        <f t="shared" si="3"/>
        <v>武州ガス(株)_13A</v>
      </c>
      <c r="AB24" s="124" t="str">
        <f t="shared" si="4"/>
        <v>要記入</v>
      </c>
    </row>
    <row r="25" spans="2:28">
      <c r="B25" s="124"/>
      <c r="C25" s="175" t="s">
        <v>1733</v>
      </c>
      <c r="D25" s="124" t="str">
        <f t="shared" si="0"/>
        <v>武蔵野ガス(株)_13A</v>
      </c>
      <c r="H25" s="124" t="s">
        <v>1733</v>
      </c>
      <c r="I25" s="124">
        <v>45</v>
      </c>
      <c r="J25" s="124">
        <v>45</v>
      </c>
      <c r="K25" s="124">
        <v>45</v>
      </c>
      <c r="L25" s="124">
        <v>45</v>
      </c>
      <c r="M25" s="124">
        <v>45</v>
      </c>
      <c r="O25" s="124" t="str">
        <f t="shared" si="1"/>
        <v>武蔵野ガス(株)_13A</v>
      </c>
      <c r="P25" s="124">
        <f t="shared" si="2"/>
        <v>45</v>
      </c>
      <c r="R25" s="124"/>
      <c r="S25" s="175" t="s">
        <v>1732</v>
      </c>
      <c r="T25" s="124"/>
      <c r="U25" s="124" t="s">
        <v>1883</v>
      </c>
      <c r="V25" s="124" t="s">
        <v>1883</v>
      </c>
      <c r="W25" s="124" t="s">
        <v>1883</v>
      </c>
      <c r="X25" s="124" t="s">
        <v>1883</v>
      </c>
      <c r="Y25" s="124" t="s">
        <v>1883</v>
      </c>
      <c r="AA25" s="124" t="str">
        <f t="shared" si="3"/>
        <v>本庄ガス(株)_13A</v>
      </c>
      <c r="AB25" s="124" t="str">
        <f t="shared" si="4"/>
        <v>要記入</v>
      </c>
    </row>
    <row r="26" spans="2:28">
      <c r="B26" s="124"/>
      <c r="C26" s="175" t="s">
        <v>1735</v>
      </c>
      <c r="D26" s="124" t="str">
        <f t="shared" si="0"/>
        <v>鷲宮ガス(株)_13A</v>
      </c>
      <c r="H26" s="124" t="s">
        <v>1735</v>
      </c>
      <c r="I26" s="124">
        <v>45</v>
      </c>
      <c r="J26" s="124">
        <v>45</v>
      </c>
      <c r="K26" s="124">
        <v>45</v>
      </c>
      <c r="L26" s="124">
        <v>45</v>
      </c>
      <c r="M26" s="124">
        <v>45</v>
      </c>
      <c r="O26" s="124" t="str">
        <f t="shared" si="1"/>
        <v>鷲宮ガス(株)_13A</v>
      </c>
      <c r="P26" s="124">
        <f t="shared" si="2"/>
        <v>45</v>
      </c>
      <c r="R26" s="124"/>
      <c r="S26" s="175" t="s">
        <v>1733</v>
      </c>
      <c r="T26" s="124"/>
      <c r="U26" s="124" t="s">
        <v>1883</v>
      </c>
      <c r="V26" s="124" t="s">
        <v>1883</v>
      </c>
      <c r="W26" s="124" t="s">
        <v>1883</v>
      </c>
      <c r="X26" s="124" t="s">
        <v>1883</v>
      </c>
      <c r="Y26" s="124" t="s">
        <v>1883</v>
      </c>
      <c r="AA26" s="124" t="str">
        <f t="shared" si="3"/>
        <v>武蔵野ガス(株)_13A</v>
      </c>
      <c r="AB26" s="124" t="str">
        <f t="shared" si="4"/>
        <v>要記入</v>
      </c>
    </row>
    <row r="27" spans="2:28">
      <c r="B27" s="124"/>
      <c r="C27" s="175" t="s">
        <v>1736</v>
      </c>
      <c r="D27" s="124" t="str">
        <f t="shared" si="0"/>
        <v>堀川産業(株)_13A</v>
      </c>
      <c r="H27" s="124" t="s">
        <v>1736</v>
      </c>
      <c r="I27" s="124">
        <v>45</v>
      </c>
      <c r="J27" s="124">
        <v>45</v>
      </c>
      <c r="K27" s="124">
        <v>45</v>
      </c>
      <c r="L27" s="124">
        <v>45</v>
      </c>
      <c r="M27" s="124">
        <v>45</v>
      </c>
      <c r="O27" s="124" t="str">
        <f t="shared" si="1"/>
        <v>堀川産業(株)_13A</v>
      </c>
      <c r="P27" s="124">
        <f t="shared" si="2"/>
        <v>45</v>
      </c>
      <c r="R27" s="124"/>
      <c r="S27" s="175" t="s">
        <v>1735</v>
      </c>
      <c r="T27" s="124"/>
      <c r="U27" s="124" t="s">
        <v>1883</v>
      </c>
      <c r="V27" s="124" t="s">
        <v>1883</v>
      </c>
      <c r="W27" s="124" t="s">
        <v>1883</v>
      </c>
      <c r="X27" s="124" t="s">
        <v>1883</v>
      </c>
      <c r="Y27" s="124" t="s">
        <v>1883</v>
      </c>
      <c r="AA27" s="124" t="str">
        <f t="shared" si="3"/>
        <v>鷲宮ガス(株)_13A</v>
      </c>
      <c r="AB27" s="124" t="str">
        <f t="shared" si="4"/>
        <v>要記入</v>
      </c>
    </row>
    <row r="28" spans="2:28">
      <c r="B28" s="127" t="s">
        <v>1739</v>
      </c>
      <c r="C28" s="127" t="s">
        <v>1740</v>
      </c>
      <c r="D28" s="127" t="str">
        <f t="shared" si="0"/>
        <v>A0002:東京電力エナジーパートナー(株)</v>
      </c>
      <c r="H28" s="127" t="s">
        <v>1741</v>
      </c>
      <c r="I28" s="127">
        <v>45</v>
      </c>
      <c r="J28" s="127">
        <v>45</v>
      </c>
      <c r="K28" s="127">
        <v>45</v>
      </c>
      <c r="L28" s="127">
        <v>45</v>
      </c>
      <c r="M28" s="127">
        <v>45</v>
      </c>
      <c r="O28" s="127" t="str">
        <f>IF(B28="",C28,B28&amp;":"&amp;C28)</f>
        <v>A0002:東京電力エナジーパートナー(株)</v>
      </c>
      <c r="P28" s="127">
        <f t="shared" si="2"/>
        <v>45</v>
      </c>
      <c r="R28" s="124"/>
      <c r="S28" s="175" t="s">
        <v>1736</v>
      </c>
      <c r="T28" s="124"/>
      <c r="U28" s="124" t="s">
        <v>1883</v>
      </c>
      <c r="V28" s="124" t="s">
        <v>1883</v>
      </c>
      <c r="W28" s="124" t="s">
        <v>1883</v>
      </c>
      <c r="X28" s="124" t="s">
        <v>1883</v>
      </c>
      <c r="Y28" s="124" t="s">
        <v>1883</v>
      </c>
      <c r="AA28" s="124" t="str">
        <f t="shared" si="3"/>
        <v>堀川産業(株)_13A</v>
      </c>
      <c r="AB28" s="124" t="str">
        <f t="shared" si="4"/>
        <v>要記入</v>
      </c>
    </row>
    <row r="29" spans="2:28">
      <c r="R29" s="127" t="s">
        <v>1739</v>
      </c>
      <c r="S29" s="127" t="s">
        <v>1740</v>
      </c>
      <c r="T29" s="127"/>
      <c r="U29" s="127">
        <v>2.0499999999999998</v>
      </c>
      <c r="V29" s="127">
        <v>2.0499999999999998</v>
      </c>
      <c r="W29" s="127">
        <v>2.0499999999999998</v>
      </c>
      <c r="X29" s="127">
        <v>2.0499999999999998</v>
      </c>
      <c r="Y29" s="127">
        <v>2.0499999999999998</v>
      </c>
      <c r="AA29" s="127" t="str">
        <f t="shared" si="3"/>
        <v>A0002:東京電力エナジーパートナー(株)</v>
      </c>
      <c r="AB29" s="127">
        <f t="shared" si="4"/>
        <v>2.0499999999999998</v>
      </c>
    </row>
  </sheetData>
  <sheetProtection algorithmName="SHA-512" hashValue="XFUpPRzc3O/B++j3u2HOVLHU68NCXi94gyNIbKQYJRLKD+si/bPJKBn5E35SonKOyJvWJMdA/BDy3Me8p8IR8A==" saltValue="qT1TCddpvEr3Ny1+3CydPA==" spinCount="100000" sheet="1" objects="1" scenarios="1"/>
  <mergeCells count="13">
    <mergeCell ref="B6:B7"/>
    <mergeCell ref="C6:C7"/>
    <mergeCell ref="D6:D7"/>
    <mergeCell ref="F6:F7"/>
    <mergeCell ref="S6:S7"/>
    <mergeCell ref="O6:O7"/>
    <mergeCell ref="AA2:AA3"/>
    <mergeCell ref="AA6:AA7"/>
    <mergeCell ref="H2:H3"/>
    <mergeCell ref="R6:R7"/>
    <mergeCell ref="T6:T7"/>
    <mergeCell ref="T2:T3"/>
    <mergeCell ref="O2:O3"/>
  </mergeCells>
  <phoneticPr fontId="5"/>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theme="0" tint="-0.14999847407452621"/>
  </sheetPr>
  <dimension ref="B1:T44"/>
  <sheetViews>
    <sheetView zoomScaleNormal="100" workbookViewId="0"/>
  </sheetViews>
  <sheetFormatPr defaultRowHeight="18"/>
  <cols>
    <col min="2" max="2" width="9.5" bestFit="1" customWidth="1"/>
    <col min="3" max="4" width="21.6640625" customWidth="1"/>
    <col min="5" max="5" width="39.5" bestFit="1" customWidth="1"/>
    <col min="6" max="6" width="7" customWidth="1"/>
    <col min="7" max="7" width="26.9140625" customWidth="1"/>
    <col min="9" max="9" width="9.5" bestFit="1" customWidth="1"/>
    <col min="10" max="11" width="34.5" customWidth="1"/>
    <col min="12" max="12" width="11.5" bestFit="1" customWidth="1"/>
    <col min="13" max="17" width="14" customWidth="1"/>
    <col min="19" max="19" width="70.9140625" bestFit="1" customWidth="1"/>
    <col min="20" max="20" width="29" customWidth="1"/>
  </cols>
  <sheetData>
    <row r="1" spans="2:20">
      <c r="T1" t="s">
        <v>1833</v>
      </c>
    </row>
    <row r="2" spans="2:20" ht="18.75" customHeight="1">
      <c r="L2" s="2037" t="s">
        <v>1822</v>
      </c>
      <c r="M2" s="180" t="s">
        <v>1658</v>
      </c>
      <c r="N2" s="180" t="s">
        <v>1658</v>
      </c>
      <c r="O2" s="180" t="s">
        <v>1658</v>
      </c>
      <c r="P2" s="180" t="s">
        <v>1658</v>
      </c>
      <c r="Q2" s="180" t="s">
        <v>1658</v>
      </c>
      <c r="S2" s="2030" t="s">
        <v>1822</v>
      </c>
      <c r="T2" s="197" t="s">
        <v>1658</v>
      </c>
    </row>
    <row r="3" spans="2:20">
      <c r="L3" s="2036"/>
      <c r="M3" s="180" t="s">
        <v>1825</v>
      </c>
      <c r="N3" s="180" t="s">
        <v>1826</v>
      </c>
      <c r="O3" s="180" t="s">
        <v>1827</v>
      </c>
      <c r="P3" s="180" t="s">
        <v>1828</v>
      </c>
      <c r="Q3" s="180" t="s">
        <v>1829</v>
      </c>
      <c r="S3" s="2031"/>
      <c r="T3" s="197" t="str">
        <f>CONCATENATE('0.事業所概要'!$B$3,'0.事業所概要'!$C$3,"年度")</f>
        <v>令和７年度</v>
      </c>
    </row>
    <row r="4" spans="2:20">
      <c r="L4" s="120" t="s">
        <v>1527</v>
      </c>
      <c r="M4" s="120">
        <v>5.3199999999999997E-2</v>
      </c>
      <c r="N4" s="120">
        <v>5.3199999999999997E-2</v>
      </c>
      <c r="O4" s="120">
        <v>5.3199999999999997E-2</v>
      </c>
      <c r="P4" s="120">
        <v>5.3199999999999997E-2</v>
      </c>
      <c r="Q4" s="120">
        <v>5.3199999999999997E-2</v>
      </c>
      <c r="S4" s="120" t="s">
        <v>1527</v>
      </c>
      <c r="T4" s="120">
        <f>HLOOKUP($T$3,$M$3:$Q$4,2,FALSE)</f>
        <v>5.3199999999999997E-2</v>
      </c>
    </row>
    <row r="6" spans="2:20">
      <c r="B6" s="2036" t="s">
        <v>1457</v>
      </c>
      <c r="C6" s="2036" t="s">
        <v>1818</v>
      </c>
      <c r="D6" s="2034" t="s">
        <v>1865</v>
      </c>
      <c r="E6" s="2036" t="s">
        <v>1819</v>
      </c>
      <c r="G6" s="2036" t="s">
        <v>1712</v>
      </c>
      <c r="I6" s="2036" t="s">
        <v>1457</v>
      </c>
      <c r="J6" s="2036" t="s">
        <v>1818</v>
      </c>
      <c r="K6" s="2036"/>
      <c r="L6" s="2036" t="s">
        <v>1458</v>
      </c>
      <c r="M6" s="180" t="s">
        <v>1658</v>
      </c>
      <c r="N6" s="180" t="s">
        <v>1658</v>
      </c>
      <c r="O6" s="180" t="s">
        <v>1658</v>
      </c>
      <c r="P6" s="180" t="s">
        <v>1658</v>
      </c>
      <c r="Q6" s="180" t="s">
        <v>1658</v>
      </c>
      <c r="S6" s="2040" t="s">
        <v>1835</v>
      </c>
      <c r="T6" s="197" t="s">
        <v>1658</v>
      </c>
    </row>
    <row r="7" spans="2:20">
      <c r="B7" s="2036"/>
      <c r="C7" s="2036"/>
      <c r="D7" s="2035"/>
      <c r="E7" s="2036"/>
      <c r="G7" s="2036"/>
      <c r="I7" s="2036"/>
      <c r="J7" s="2036"/>
      <c r="K7" s="2036"/>
      <c r="L7" s="2036"/>
      <c r="M7" s="180" t="s">
        <v>1825</v>
      </c>
      <c r="N7" s="180" t="s">
        <v>1826</v>
      </c>
      <c r="O7" s="180" t="s">
        <v>1827</v>
      </c>
      <c r="P7" s="180" t="s">
        <v>1828</v>
      </c>
      <c r="Q7" s="180" t="s">
        <v>1829</v>
      </c>
      <c r="S7" s="2040"/>
      <c r="T7" s="197" t="str">
        <f>CONCATENATE('0.事業所概要'!$B$3,'0.事業所概要'!$C$3,"年度")</f>
        <v>令和７年度</v>
      </c>
    </row>
    <row r="8" spans="2:20">
      <c r="B8" s="123" t="s">
        <v>1841</v>
      </c>
      <c r="C8" s="123" t="s">
        <v>1842</v>
      </c>
      <c r="D8" s="123" t="s">
        <v>1843</v>
      </c>
      <c r="E8" s="155" t="str">
        <f>B8&amp;":"&amp;C8&amp;" "&amp;D8</f>
        <v>002:東京ガスエンジニアリングソリューションズ株式会社 田町駅東口北地域</v>
      </c>
      <c r="G8" s="123"/>
      <c r="I8" s="191" t="s">
        <v>1748</v>
      </c>
      <c r="J8" s="187" t="s">
        <v>1749</v>
      </c>
      <c r="K8" s="187" t="s">
        <v>1750</v>
      </c>
      <c r="L8" s="185"/>
      <c r="M8" s="199">
        <v>0.05</v>
      </c>
      <c r="N8" s="199">
        <v>0.05</v>
      </c>
      <c r="O8" s="199">
        <v>0.05</v>
      </c>
      <c r="P8" s="199">
        <v>0.05</v>
      </c>
      <c r="Q8" s="199">
        <v>0.05</v>
      </c>
      <c r="S8" s="205" t="str">
        <f>I8&amp;":"&amp;J8&amp;" "&amp;K8&amp;L8</f>
        <v>002:東京ガスエンジニアリングソリューションズ株式会社 田町駅東口北地域</v>
      </c>
      <c r="T8" s="208">
        <f>HLOOKUP($T$7,$M$7:$Q$44,ROW()-6,FALSE)</f>
        <v>0.05</v>
      </c>
    </row>
    <row r="9" spans="2:20">
      <c r="B9" s="124" t="s">
        <v>1810</v>
      </c>
      <c r="C9" s="124" t="s">
        <v>1752</v>
      </c>
      <c r="D9" s="124"/>
      <c r="E9" s="154" t="str">
        <f t="shared" ref="E9:E40" si="0">B9&amp;":"&amp;C9&amp;" "&amp;D9</f>
        <v xml:space="preserve">006:丸の内熱供給株式会社 </v>
      </c>
      <c r="G9" s="124" t="s">
        <v>1743</v>
      </c>
      <c r="I9" s="192" t="s">
        <v>1751</v>
      </c>
      <c r="J9" s="188" t="s">
        <v>1752</v>
      </c>
      <c r="K9" s="188"/>
      <c r="L9" s="189" t="s">
        <v>1807</v>
      </c>
      <c r="M9" s="200">
        <v>0</v>
      </c>
      <c r="N9" s="200">
        <v>0</v>
      </c>
      <c r="O9" s="200">
        <v>0</v>
      </c>
      <c r="P9" s="200">
        <v>0</v>
      </c>
      <c r="Q9" s="200">
        <v>0</v>
      </c>
      <c r="S9" s="206" t="str">
        <f t="shared" ref="S9:S44" si="1">I9&amp;":"&amp;J9&amp;" "&amp;K9&amp;L9</f>
        <v>006:丸の内熱供給株式会社 メニューA</v>
      </c>
      <c r="T9" s="209">
        <f>HLOOKUP($T$7,$M$7:$Q$44,ROW()-6,FALSE)</f>
        <v>0</v>
      </c>
    </row>
    <row r="10" spans="2:20">
      <c r="B10" s="124" t="s">
        <v>1811</v>
      </c>
      <c r="C10" s="124" t="s">
        <v>1812</v>
      </c>
      <c r="D10" s="124" t="s">
        <v>1844</v>
      </c>
      <c r="E10" s="154" t="str">
        <f t="shared" si="0"/>
        <v>009:池袋地域冷暖房株式会社 東池袋地域</v>
      </c>
      <c r="G10" s="124" t="s">
        <v>1820</v>
      </c>
      <c r="I10" s="193" t="s">
        <v>1810</v>
      </c>
      <c r="J10" s="188" t="s">
        <v>1752</v>
      </c>
      <c r="K10" s="188"/>
      <c r="L10" s="189" t="s">
        <v>1753</v>
      </c>
      <c r="M10" s="200">
        <v>4.36E-2</v>
      </c>
      <c r="N10" s="200">
        <v>4.36E-2</v>
      </c>
      <c r="O10" s="200">
        <v>4.36E-2</v>
      </c>
      <c r="P10" s="200">
        <v>4.36E-2</v>
      </c>
      <c r="Q10" s="200">
        <v>4.36E-2</v>
      </c>
      <c r="S10" s="206" t="str">
        <f t="shared" si="1"/>
        <v>006:丸の内熱供給株式会社 残差</v>
      </c>
      <c r="T10" s="209">
        <f t="shared" ref="T10:T44" si="2">HLOOKUP($T$7,$M$7:$Q$44,ROW()-6,FALSE)</f>
        <v>4.36E-2</v>
      </c>
    </row>
    <row r="11" spans="2:20">
      <c r="B11" s="124" t="s">
        <v>1811</v>
      </c>
      <c r="C11" s="124" t="s">
        <v>1812</v>
      </c>
      <c r="D11" s="124"/>
      <c r="E11" s="154" t="str">
        <f t="shared" si="0"/>
        <v xml:space="preserve">009:池袋地域冷暖房株式会社 </v>
      </c>
      <c r="G11" s="124" t="s">
        <v>1821</v>
      </c>
      <c r="I11" s="192" t="s">
        <v>1754</v>
      </c>
      <c r="J11" s="188" t="s">
        <v>1755</v>
      </c>
      <c r="K11" s="188" t="s">
        <v>1756</v>
      </c>
      <c r="L11" s="189" t="s">
        <v>1807</v>
      </c>
      <c r="M11" s="200">
        <v>0</v>
      </c>
      <c r="N11" s="200">
        <v>0</v>
      </c>
      <c r="O11" s="200">
        <v>0</v>
      </c>
      <c r="P11" s="200">
        <v>0</v>
      </c>
      <c r="Q11" s="200">
        <v>0</v>
      </c>
      <c r="S11" s="206" t="str">
        <f t="shared" si="1"/>
        <v>009:池袋地域冷暖房株式会社 東池袋地域メニューA</v>
      </c>
      <c r="T11" s="209">
        <f t="shared" si="2"/>
        <v>0</v>
      </c>
    </row>
    <row r="12" spans="2:20">
      <c r="B12" s="124" t="s">
        <v>1845</v>
      </c>
      <c r="C12" s="124" t="s">
        <v>1846</v>
      </c>
      <c r="D12" s="124"/>
      <c r="E12" s="154" t="str">
        <f t="shared" si="0"/>
        <v xml:space="preserve">014:新都市熱供給株式会社 </v>
      </c>
      <c r="G12" s="124" t="s">
        <v>2005</v>
      </c>
      <c r="I12" s="193" t="s">
        <v>1811</v>
      </c>
      <c r="J12" s="188" t="s">
        <v>1812</v>
      </c>
      <c r="K12" s="188"/>
      <c r="L12" s="189" t="s">
        <v>1744</v>
      </c>
      <c r="M12" s="200">
        <v>4.5400000000000003E-2</v>
      </c>
      <c r="N12" s="200">
        <v>4.5400000000000003E-2</v>
      </c>
      <c r="O12" s="200">
        <v>4.5400000000000003E-2</v>
      </c>
      <c r="P12" s="200">
        <v>4.5400000000000003E-2</v>
      </c>
      <c r="Q12" s="200">
        <v>4.5400000000000003E-2</v>
      </c>
      <c r="S12" s="206" t="str">
        <f t="shared" si="1"/>
        <v>009:池袋地域冷暖房株式会社 残差</v>
      </c>
      <c r="T12" s="209">
        <f t="shared" si="2"/>
        <v>4.5400000000000003E-2</v>
      </c>
    </row>
    <row r="13" spans="2:20">
      <c r="B13" s="124" t="s">
        <v>1847</v>
      </c>
      <c r="C13" s="124" t="s">
        <v>1848</v>
      </c>
      <c r="D13" s="124" t="s">
        <v>1849</v>
      </c>
      <c r="E13" s="154" t="str">
        <f t="shared" si="0"/>
        <v>016:西池袋熱供給株式会社 西池袋地域</v>
      </c>
      <c r="G13" s="124" t="s">
        <v>2006</v>
      </c>
      <c r="I13" s="192" t="s">
        <v>1757</v>
      </c>
      <c r="J13" s="188" t="s">
        <v>1758</v>
      </c>
      <c r="K13" s="188"/>
      <c r="L13" s="189"/>
      <c r="M13" s="200">
        <v>5.0700000000000002E-2</v>
      </c>
      <c r="N13" s="200">
        <v>5.0700000000000002E-2</v>
      </c>
      <c r="O13" s="200">
        <v>5.0700000000000002E-2</v>
      </c>
      <c r="P13" s="200">
        <v>5.0700000000000002E-2</v>
      </c>
      <c r="Q13" s="200">
        <v>5.0700000000000002E-2</v>
      </c>
      <c r="S13" s="206" t="str">
        <f t="shared" si="1"/>
        <v xml:space="preserve">014:新都市熱供給株式会社 </v>
      </c>
      <c r="T13" s="209">
        <f t="shared" si="2"/>
        <v>5.0700000000000002E-2</v>
      </c>
    </row>
    <row r="14" spans="2:20">
      <c r="B14" s="124" t="s">
        <v>1813</v>
      </c>
      <c r="C14" s="124" t="s">
        <v>1814</v>
      </c>
      <c r="D14" s="124" t="s">
        <v>1850</v>
      </c>
      <c r="E14" s="154" t="str">
        <f t="shared" si="0"/>
        <v>020:東京都市サービス株式会社 芝浦4丁目地域</v>
      </c>
      <c r="G14" s="127" t="s">
        <v>1745</v>
      </c>
      <c r="I14" s="193" t="s">
        <v>1759</v>
      </c>
      <c r="J14" s="188" t="s">
        <v>1760</v>
      </c>
      <c r="K14" s="188" t="s">
        <v>1761</v>
      </c>
      <c r="L14" s="189"/>
      <c r="M14" s="200">
        <v>4.5699999999999998E-2</v>
      </c>
      <c r="N14" s="200">
        <v>4.5699999999999998E-2</v>
      </c>
      <c r="O14" s="200">
        <v>4.5699999999999998E-2</v>
      </c>
      <c r="P14" s="200">
        <v>4.5699999999999998E-2</v>
      </c>
      <c r="Q14" s="200">
        <v>4.5699999999999998E-2</v>
      </c>
      <c r="S14" s="206" t="str">
        <f t="shared" si="1"/>
        <v>016:西池袋熱供給株式会社 西池袋地域</v>
      </c>
      <c r="T14" s="209">
        <f t="shared" si="2"/>
        <v>4.5699999999999998E-2</v>
      </c>
    </row>
    <row r="15" spans="2:20">
      <c r="B15" s="124" t="s">
        <v>1813</v>
      </c>
      <c r="C15" s="124" t="s">
        <v>1814</v>
      </c>
      <c r="D15" s="124" t="s">
        <v>1765</v>
      </c>
      <c r="E15" s="154" t="str">
        <f t="shared" si="0"/>
        <v>020:東京都市サービス株式会社 銀座5・6丁目地域</v>
      </c>
      <c r="I15" s="192" t="s">
        <v>1762</v>
      </c>
      <c r="J15" s="189" t="s">
        <v>1763</v>
      </c>
      <c r="K15" s="188" t="s">
        <v>1764</v>
      </c>
      <c r="L15" s="189"/>
      <c r="M15" s="200">
        <v>4.0800000000000003E-2</v>
      </c>
      <c r="N15" s="200">
        <v>4.0800000000000003E-2</v>
      </c>
      <c r="O15" s="200">
        <v>4.0800000000000003E-2</v>
      </c>
      <c r="P15" s="200">
        <v>4.0800000000000003E-2</v>
      </c>
      <c r="Q15" s="200">
        <v>4.0800000000000003E-2</v>
      </c>
      <c r="S15" s="206" t="str">
        <f t="shared" si="1"/>
        <v>020:東京都市サービス株式会社 芝浦4丁目地域</v>
      </c>
      <c r="T15" s="209">
        <f t="shared" si="2"/>
        <v>4.0800000000000003E-2</v>
      </c>
    </row>
    <row r="16" spans="2:20">
      <c r="B16" s="124" t="s">
        <v>1813</v>
      </c>
      <c r="C16" s="124" t="s">
        <v>1814</v>
      </c>
      <c r="D16" s="124" t="s">
        <v>1766</v>
      </c>
      <c r="E16" s="154" t="str">
        <f t="shared" si="0"/>
        <v>020:東京都市サービス株式会社 新川地域</v>
      </c>
      <c r="I16" s="192" t="s">
        <v>1762</v>
      </c>
      <c r="J16" s="189" t="s">
        <v>1763</v>
      </c>
      <c r="K16" s="188" t="s">
        <v>1765</v>
      </c>
      <c r="L16" s="189"/>
      <c r="M16" s="200">
        <v>2.9600000000000001E-2</v>
      </c>
      <c r="N16" s="200">
        <v>2.9600000000000001E-2</v>
      </c>
      <c r="O16" s="200">
        <v>2.9600000000000001E-2</v>
      </c>
      <c r="P16" s="200">
        <v>2.9600000000000001E-2</v>
      </c>
      <c r="Q16" s="200">
        <v>2.9600000000000001E-2</v>
      </c>
      <c r="S16" s="206" t="str">
        <f t="shared" si="1"/>
        <v>020:東京都市サービス株式会社 銀座5・6丁目地域</v>
      </c>
      <c r="T16" s="209">
        <f t="shared" si="2"/>
        <v>2.9600000000000001E-2</v>
      </c>
    </row>
    <row r="17" spans="2:20">
      <c r="B17" s="124" t="s">
        <v>1813</v>
      </c>
      <c r="C17" s="124" t="s">
        <v>1814</v>
      </c>
      <c r="D17" s="124" t="s">
        <v>1767</v>
      </c>
      <c r="E17" s="154" t="str">
        <f t="shared" si="0"/>
        <v>020:東京都市サービス株式会社 神田駿河台地域</v>
      </c>
      <c r="I17" s="192" t="s">
        <v>1762</v>
      </c>
      <c r="J17" s="189" t="s">
        <v>1763</v>
      </c>
      <c r="K17" s="188" t="s">
        <v>1766</v>
      </c>
      <c r="L17" s="189"/>
      <c r="M17" s="200">
        <v>3.2099999999999997E-2</v>
      </c>
      <c r="N17" s="200">
        <v>3.2099999999999997E-2</v>
      </c>
      <c r="O17" s="200">
        <v>3.2099999999999997E-2</v>
      </c>
      <c r="P17" s="200">
        <v>3.2099999999999997E-2</v>
      </c>
      <c r="Q17" s="200">
        <v>3.2099999999999997E-2</v>
      </c>
      <c r="S17" s="206" t="str">
        <f t="shared" si="1"/>
        <v>020:東京都市サービス株式会社 新川地域</v>
      </c>
      <c r="T17" s="209">
        <f t="shared" si="2"/>
        <v>3.2099999999999997E-2</v>
      </c>
    </row>
    <row r="18" spans="2:20">
      <c r="B18" s="124" t="s">
        <v>1813</v>
      </c>
      <c r="C18" s="124" t="s">
        <v>1814</v>
      </c>
      <c r="D18" s="124" t="s">
        <v>1768</v>
      </c>
      <c r="E18" s="154" t="str">
        <f t="shared" si="0"/>
        <v>020:東京都市サービス株式会社 箱崎地域</v>
      </c>
      <c r="I18" s="192" t="s">
        <v>1762</v>
      </c>
      <c r="J18" s="189" t="s">
        <v>1763</v>
      </c>
      <c r="K18" s="188" t="s">
        <v>1767</v>
      </c>
      <c r="L18" s="189"/>
      <c r="M18" s="200">
        <v>4.2500000000000003E-2</v>
      </c>
      <c r="N18" s="200">
        <v>4.2500000000000003E-2</v>
      </c>
      <c r="O18" s="200">
        <v>4.2500000000000003E-2</v>
      </c>
      <c r="P18" s="200">
        <v>4.2500000000000003E-2</v>
      </c>
      <c r="Q18" s="200">
        <v>4.2500000000000003E-2</v>
      </c>
      <c r="S18" s="206" t="str">
        <f t="shared" si="1"/>
        <v>020:東京都市サービス株式会社 神田駿河台地域</v>
      </c>
      <c r="T18" s="209">
        <f t="shared" si="2"/>
        <v>4.2500000000000003E-2</v>
      </c>
    </row>
    <row r="19" spans="2:20">
      <c r="B19" s="124" t="s">
        <v>1813</v>
      </c>
      <c r="C19" s="124" t="s">
        <v>1814</v>
      </c>
      <c r="D19" s="124" t="s">
        <v>1769</v>
      </c>
      <c r="E19" s="154" t="str">
        <f t="shared" si="0"/>
        <v>020:東京都市サービス株式会社 幕張新都心ハイテク・ビジネス地域</v>
      </c>
      <c r="I19" s="192" t="s">
        <v>1762</v>
      </c>
      <c r="J19" s="189" t="s">
        <v>1763</v>
      </c>
      <c r="K19" s="188" t="s">
        <v>1768</v>
      </c>
      <c r="L19" s="189"/>
      <c r="M19" s="200">
        <v>4.0899999999999999E-2</v>
      </c>
      <c r="N19" s="200">
        <v>4.0899999999999999E-2</v>
      </c>
      <c r="O19" s="200">
        <v>4.0899999999999999E-2</v>
      </c>
      <c r="P19" s="200">
        <v>4.0899999999999999E-2</v>
      </c>
      <c r="Q19" s="200">
        <v>4.0899999999999999E-2</v>
      </c>
      <c r="S19" s="206" t="str">
        <f t="shared" si="1"/>
        <v>020:東京都市サービス株式会社 箱崎地域</v>
      </c>
      <c r="T19" s="209">
        <f t="shared" si="2"/>
        <v>4.0899999999999999E-2</v>
      </c>
    </row>
    <row r="20" spans="2:20">
      <c r="B20" s="124" t="s">
        <v>1813</v>
      </c>
      <c r="C20" s="124" t="s">
        <v>1814</v>
      </c>
      <c r="D20" s="124" t="s">
        <v>1770</v>
      </c>
      <c r="E20" s="154" t="str">
        <f t="shared" si="0"/>
        <v>020:東京都市サービス株式会社 高崎市中央・城址地域</v>
      </c>
      <c r="I20" s="192" t="s">
        <v>1762</v>
      </c>
      <c r="J20" s="189" t="s">
        <v>1763</v>
      </c>
      <c r="K20" s="188" t="s">
        <v>1769</v>
      </c>
      <c r="L20" s="189"/>
      <c r="M20" s="200">
        <v>2.6499999999999999E-2</v>
      </c>
      <c r="N20" s="200">
        <v>2.6499999999999999E-2</v>
      </c>
      <c r="O20" s="200">
        <v>2.6499999999999999E-2</v>
      </c>
      <c r="P20" s="200">
        <v>2.6499999999999999E-2</v>
      </c>
      <c r="Q20" s="200">
        <v>2.6499999999999999E-2</v>
      </c>
      <c r="S20" s="206" t="str">
        <f t="shared" si="1"/>
        <v>020:東京都市サービス株式会社 幕張新都心ハイテク・ビジネス地域</v>
      </c>
      <c r="T20" s="209">
        <f t="shared" si="2"/>
        <v>2.6499999999999999E-2</v>
      </c>
    </row>
    <row r="21" spans="2:20">
      <c r="B21" s="124" t="s">
        <v>1813</v>
      </c>
      <c r="C21" s="124" t="s">
        <v>1814</v>
      </c>
      <c r="D21" s="124" t="s">
        <v>1771</v>
      </c>
      <c r="E21" s="154" t="str">
        <f t="shared" si="0"/>
        <v>020:東京都市サービス株式会社 本駒込2丁目地域</v>
      </c>
      <c r="I21" s="192" t="s">
        <v>1762</v>
      </c>
      <c r="J21" s="189" t="s">
        <v>1763</v>
      </c>
      <c r="K21" s="188" t="s">
        <v>1770</v>
      </c>
      <c r="L21" s="189"/>
      <c r="M21" s="200">
        <v>3.5799999999999998E-2</v>
      </c>
      <c r="N21" s="200">
        <v>3.5799999999999998E-2</v>
      </c>
      <c r="O21" s="200">
        <v>3.5799999999999998E-2</v>
      </c>
      <c r="P21" s="200">
        <v>3.5799999999999998E-2</v>
      </c>
      <c r="Q21" s="200">
        <v>3.5799999999999998E-2</v>
      </c>
      <c r="S21" s="206" t="str">
        <f t="shared" si="1"/>
        <v>020:東京都市サービス株式会社 高崎市中央・城址地域</v>
      </c>
      <c r="T21" s="209">
        <f t="shared" si="2"/>
        <v>3.5799999999999998E-2</v>
      </c>
    </row>
    <row r="22" spans="2:20">
      <c r="B22" s="124" t="s">
        <v>1813</v>
      </c>
      <c r="C22" s="124" t="s">
        <v>1814</v>
      </c>
      <c r="D22" s="124" t="s">
        <v>1772</v>
      </c>
      <c r="E22" s="154" t="str">
        <f t="shared" si="0"/>
        <v>020:東京都市サービス株式会社 大崎1丁目地域</v>
      </c>
      <c r="I22" s="192" t="s">
        <v>1762</v>
      </c>
      <c r="J22" s="189" t="s">
        <v>1763</v>
      </c>
      <c r="K22" s="188" t="s">
        <v>1771</v>
      </c>
      <c r="L22" s="189"/>
      <c r="M22" s="200">
        <v>4.5499999999999999E-2</v>
      </c>
      <c r="N22" s="200">
        <v>4.5499999999999999E-2</v>
      </c>
      <c r="O22" s="200">
        <v>4.5499999999999999E-2</v>
      </c>
      <c r="P22" s="200">
        <v>4.5499999999999999E-2</v>
      </c>
      <c r="Q22" s="200">
        <v>4.5499999999999999E-2</v>
      </c>
      <c r="S22" s="206" t="str">
        <f t="shared" si="1"/>
        <v>020:東京都市サービス株式会社 本駒込2丁目地域</v>
      </c>
      <c r="T22" s="209">
        <f t="shared" si="2"/>
        <v>4.5499999999999999E-2</v>
      </c>
    </row>
    <row r="23" spans="2:20">
      <c r="B23" s="124" t="s">
        <v>1813</v>
      </c>
      <c r="C23" s="124" t="s">
        <v>1814</v>
      </c>
      <c r="D23" s="124" t="s">
        <v>1773</v>
      </c>
      <c r="E23" s="154" t="str">
        <f t="shared" si="0"/>
        <v>020:東京都市サービス株式会社 晴海アイランド地域</v>
      </c>
      <c r="I23" s="192" t="s">
        <v>1762</v>
      </c>
      <c r="J23" s="189" t="s">
        <v>1763</v>
      </c>
      <c r="K23" s="188" t="s">
        <v>1772</v>
      </c>
      <c r="L23" s="189"/>
      <c r="M23" s="200">
        <v>4.2099999999999999E-2</v>
      </c>
      <c r="N23" s="200">
        <v>4.2099999999999999E-2</v>
      </c>
      <c r="O23" s="200">
        <v>4.2099999999999999E-2</v>
      </c>
      <c r="P23" s="200">
        <v>4.2099999999999999E-2</v>
      </c>
      <c r="Q23" s="200">
        <v>4.2099999999999999E-2</v>
      </c>
      <c r="S23" s="206" t="str">
        <f t="shared" si="1"/>
        <v>020:東京都市サービス株式会社 大崎1丁目地域</v>
      </c>
      <c r="T23" s="209">
        <f t="shared" si="2"/>
        <v>4.2099999999999999E-2</v>
      </c>
    </row>
    <row r="24" spans="2:20">
      <c r="B24" s="124" t="s">
        <v>1813</v>
      </c>
      <c r="C24" s="124" t="s">
        <v>1814</v>
      </c>
      <c r="D24" s="124" t="s">
        <v>1774</v>
      </c>
      <c r="E24" s="154" t="str">
        <f t="shared" si="0"/>
        <v>020:東京都市サービス株式会社 府中日鋼町地域</v>
      </c>
      <c r="I24" s="192" t="s">
        <v>1762</v>
      </c>
      <c r="J24" s="189" t="s">
        <v>1763</v>
      </c>
      <c r="K24" s="188" t="s">
        <v>1773</v>
      </c>
      <c r="L24" s="189"/>
      <c r="M24" s="200">
        <v>3.78E-2</v>
      </c>
      <c r="N24" s="200">
        <v>3.78E-2</v>
      </c>
      <c r="O24" s="200">
        <v>3.78E-2</v>
      </c>
      <c r="P24" s="200">
        <v>3.78E-2</v>
      </c>
      <c r="Q24" s="200">
        <v>3.78E-2</v>
      </c>
      <c r="S24" s="206" t="str">
        <f t="shared" si="1"/>
        <v>020:東京都市サービス株式会社 晴海アイランド地域</v>
      </c>
      <c r="T24" s="209">
        <f t="shared" si="2"/>
        <v>3.78E-2</v>
      </c>
    </row>
    <row r="25" spans="2:20">
      <c r="B25" s="124" t="s">
        <v>1813</v>
      </c>
      <c r="C25" s="124" t="s">
        <v>1814</v>
      </c>
      <c r="D25" s="124" t="s">
        <v>1775</v>
      </c>
      <c r="E25" s="154" t="str">
        <f t="shared" si="0"/>
        <v>020:東京都市サービス株式会社 横浜市北仲通南地域</v>
      </c>
      <c r="I25" s="192" t="s">
        <v>1762</v>
      </c>
      <c r="J25" s="189" t="s">
        <v>1763</v>
      </c>
      <c r="K25" s="188" t="s">
        <v>1774</v>
      </c>
      <c r="L25" s="189" t="s">
        <v>1807</v>
      </c>
      <c r="M25" s="200">
        <v>0</v>
      </c>
      <c r="N25" s="200">
        <v>0</v>
      </c>
      <c r="O25" s="200">
        <v>0</v>
      </c>
      <c r="P25" s="200">
        <v>0</v>
      </c>
      <c r="Q25" s="200">
        <v>0</v>
      </c>
      <c r="S25" s="206" t="str">
        <f t="shared" si="1"/>
        <v>020:東京都市サービス株式会社 府中日鋼町地域メニューA</v>
      </c>
      <c r="T25" s="209">
        <f t="shared" si="2"/>
        <v>0</v>
      </c>
    </row>
    <row r="26" spans="2:20">
      <c r="B26" s="124" t="s">
        <v>1815</v>
      </c>
      <c r="C26" s="124" t="s">
        <v>1777</v>
      </c>
      <c r="D26" s="124"/>
      <c r="E26" s="154" t="str">
        <f t="shared" si="0"/>
        <v xml:space="preserve">024:みなとみらい二十一熱供給株式会社 </v>
      </c>
      <c r="I26" s="193" t="s">
        <v>1813</v>
      </c>
      <c r="J26" s="189" t="s">
        <v>1814</v>
      </c>
      <c r="K26" s="188" t="s">
        <v>1774</v>
      </c>
      <c r="L26" s="189" t="s">
        <v>1744</v>
      </c>
      <c r="M26" s="200">
        <v>3.04E-2</v>
      </c>
      <c r="N26" s="200">
        <v>3.04E-2</v>
      </c>
      <c r="O26" s="200">
        <v>3.04E-2</v>
      </c>
      <c r="P26" s="200">
        <v>3.04E-2</v>
      </c>
      <c r="Q26" s="200">
        <v>3.04E-2</v>
      </c>
      <c r="S26" s="206" t="str">
        <f t="shared" si="1"/>
        <v>020:東京都市サービス株式会社 府中日鋼町地域残差</v>
      </c>
      <c r="T26" s="209">
        <f t="shared" si="2"/>
        <v>3.04E-2</v>
      </c>
    </row>
    <row r="27" spans="2:20">
      <c r="B27" s="124" t="s">
        <v>1851</v>
      </c>
      <c r="C27" s="124" t="s">
        <v>1852</v>
      </c>
      <c r="D27" s="124"/>
      <c r="E27" s="154" t="str">
        <f t="shared" si="0"/>
        <v xml:space="preserve">033:新宿熱供給株式会社 </v>
      </c>
      <c r="I27" s="193" t="s">
        <v>1813</v>
      </c>
      <c r="J27" s="189" t="s">
        <v>1814</v>
      </c>
      <c r="K27" s="188" t="s">
        <v>1775</v>
      </c>
      <c r="L27" s="189"/>
      <c r="M27" s="200">
        <v>3.4599999999999999E-2</v>
      </c>
      <c r="N27" s="200">
        <v>3.4599999999999999E-2</v>
      </c>
      <c r="O27" s="200">
        <v>3.4599999999999999E-2</v>
      </c>
      <c r="P27" s="200">
        <v>3.4599999999999999E-2</v>
      </c>
      <c r="Q27" s="200">
        <v>3.4599999999999999E-2</v>
      </c>
      <c r="S27" s="206" t="str">
        <f t="shared" si="1"/>
        <v>020:東京都市サービス株式会社 横浜市北仲通南地域</v>
      </c>
      <c r="T27" s="209">
        <f t="shared" si="2"/>
        <v>3.4599999999999999E-2</v>
      </c>
    </row>
    <row r="28" spans="2:20">
      <c r="B28" s="124" t="s">
        <v>1816</v>
      </c>
      <c r="C28" s="124" t="s">
        <v>1781</v>
      </c>
      <c r="D28" s="124" t="s">
        <v>1853</v>
      </c>
      <c r="E28" s="154" t="str">
        <f t="shared" si="0"/>
        <v>039:株式会社福岡エネルギーサービス シーサイドももち地域</v>
      </c>
      <c r="I28" s="192" t="s">
        <v>1776</v>
      </c>
      <c r="J28" s="189" t="s">
        <v>1777</v>
      </c>
      <c r="K28" s="189"/>
      <c r="L28" s="189" t="s">
        <v>390</v>
      </c>
      <c r="M28" s="201">
        <v>0</v>
      </c>
      <c r="N28" s="201">
        <v>0</v>
      </c>
      <c r="O28" s="201">
        <v>0</v>
      </c>
      <c r="P28" s="201">
        <v>0</v>
      </c>
      <c r="Q28" s="201">
        <v>0</v>
      </c>
      <c r="S28" s="206" t="str">
        <f t="shared" si="1"/>
        <v>024:みなとみらい二十一熱供給株式会社 メニューA</v>
      </c>
      <c r="T28" s="209">
        <f t="shared" si="2"/>
        <v>0</v>
      </c>
    </row>
    <row r="29" spans="2:20">
      <c r="B29" s="124" t="s">
        <v>1816</v>
      </c>
      <c r="C29" s="124" t="s">
        <v>1781</v>
      </c>
      <c r="D29" s="124" t="s">
        <v>1783</v>
      </c>
      <c r="E29" s="154" t="str">
        <f t="shared" si="0"/>
        <v>039:株式会社福岡エネルギーサービス 西鉄福岡駅再開発地域</v>
      </c>
      <c r="I29" s="193" t="s">
        <v>1815</v>
      </c>
      <c r="J29" s="189" t="s">
        <v>1777</v>
      </c>
      <c r="K29" s="189"/>
      <c r="L29" s="189" t="s">
        <v>1808</v>
      </c>
      <c r="M29" s="201">
        <v>0</v>
      </c>
      <c r="N29" s="201">
        <v>0</v>
      </c>
      <c r="O29" s="201">
        <v>0</v>
      </c>
      <c r="P29" s="201">
        <v>0</v>
      </c>
      <c r="Q29" s="201">
        <v>0</v>
      </c>
      <c r="S29" s="206" t="str">
        <f t="shared" si="1"/>
        <v>024:みなとみらい二十一熱供給株式会社 メニューB</v>
      </c>
      <c r="T29" s="209">
        <f t="shared" si="2"/>
        <v>0</v>
      </c>
    </row>
    <row r="30" spans="2:20">
      <c r="B30" s="124" t="s">
        <v>1816</v>
      </c>
      <c r="C30" s="124" t="s">
        <v>1781</v>
      </c>
      <c r="D30" s="124" t="s">
        <v>1784</v>
      </c>
      <c r="E30" s="154" t="str">
        <f t="shared" si="0"/>
        <v>039:株式会社福岡エネルギーサービス 下川端再開発地域</v>
      </c>
      <c r="I30" s="193" t="s">
        <v>1815</v>
      </c>
      <c r="J30" s="189" t="s">
        <v>1777</v>
      </c>
      <c r="K30" s="189"/>
      <c r="L30" s="189" t="s">
        <v>1744</v>
      </c>
      <c r="M30" s="201">
        <v>4.5699999999999998E-2</v>
      </c>
      <c r="N30" s="201">
        <v>4.5699999999999998E-2</v>
      </c>
      <c r="O30" s="201">
        <v>4.5699999999999998E-2</v>
      </c>
      <c r="P30" s="201">
        <v>4.5699999999999998E-2</v>
      </c>
      <c r="Q30" s="201">
        <v>4.5699999999999998E-2</v>
      </c>
      <c r="S30" s="206" t="str">
        <f t="shared" si="1"/>
        <v>024:みなとみらい二十一熱供給株式会社 残差</v>
      </c>
      <c r="T30" s="209">
        <f t="shared" si="2"/>
        <v>4.5699999999999998E-2</v>
      </c>
    </row>
    <row r="31" spans="2:20">
      <c r="B31" s="124" t="s">
        <v>1854</v>
      </c>
      <c r="C31" s="124" t="s">
        <v>1855</v>
      </c>
      <c r="D31" s="124" t="s">
        <v>1787</v>
      </c>
      <c r="E31" s="154" t="str">
        <f t="shared" si="0"/>
        <v>047:東京下水道エネルギー株式会社　後楽事業所 後楽一丁目地域</v>
      </c>
      <c r="I31" s="193" t="s">
        <v>1778</v>
      </c>
      <c r="J31" s="188" t="s">
        <v>1779</v>
      </c>
      <c r="K31" s="189"/>
      <c r="L31" s="194"/>
      <c r="M31" s="202">
        <v>4.8899999999999999E-2</v>
      </c>
      <c r="N31" s="202">
        <v>4.8899999999999999E-2</v>
      </c>
      <c r="O31" s="202">
        <v>4.8899999999999999E-2</v>
      </c>
      <c r="P31" s="202">
        <v>4.8899999999999999E-2</v>
      </c>
      <c r="Q31" s="202">
        <v>4.8899999999999999E-2</v>
      </c>
      <c r="S31" s="206" t="str">
        <f t="shared" si="1"/>
        <v xml:space="preserve">033:新宿熱供給株式会社 </v>
      </c>
      <c r="T31" s="209">
        <f t="shared" si="2"/>
        <v>4.8899999999999999E-2</v>
      </c>
    </row>
    <row r="32" spans="2:20">
      <c r="B32" s="124" t="s">
        <v>1856</v>
      </c>
      <c r="C32" s="124" t="s">
        <v>1857</v>
      </c>
      <c r="D32" s="124"/>
      <c r="E32" s="154" t="str">
        <f t="shared" si="0"/>
        <v xml:space="preserve">050:新宿南エネルギーサービス株式会社 </v>
      </c>
      <c r="I32" s="192" t="s">
        <v>1780</v>
      </c>
      <c r="J32" s="189" t="s">
        <v>1781</v>
      </c>
      <c r="K32" s="189" t="s">
        <v>1782</v>
      </c>
      <c r="L32" s="189"/>
      <c r="M32" s="201">
        <v>4.2299999999999997E-2</v>
      </c>
      <c r="N32" s="201">
        <v>4.2299999999999997E-2</v>
      </c>
      <c r="O32" s="201">
        <v>4.2299999999999997E-2</v>
      </c>
      <c r="P32" s="201">
        <v>4.2299999999999997E-2</v>
      </c>
      <c r="Q32" s="201">
        <v>4.2299999999999997E-2</v>
      </c>
      <c r="S32" s="206" t="str">
        <f t="shared" si="1"/>
        <v>039:株式会社福岡エネルギーサービス シーサイドももち地域</v>
      </c>
      <c r="T32" s="209">
        <f t="shared" si="2"/>
        <v>4.2299999999999997E-2</v>
      </c>
    </row>
    <row r="33" spans="2:20">
      <c r="B33" s="124" t="s">
        <v>1790</v>
      </c>
      <c r="C33" s="124" t="s">
        <v>1858</v>
      </c>
      <c r="D33" s="124"/>
      <c r="E33" s="154" t="str">
        <f t="shared" si="0"/>
        <v xml:space="preserve">057:錦糸町熱供給株式会社 </v>
      </c>
      <c r="I33" s="193" t="s">
        <v>1816</v>
      </c>
      <c r="J33" s="189" t="s">
        <v>1781</v>
      </c>
      <c r="K33" s="189" t="s">
        <v>1783</v>
      </c>
      <c r="L33" s="189"/>
      <c r="M33" s="201">
        <v>3.49E-2</v>
      </c>
      <c r="N33" s="201">
        <v>3.49E-2</v>
      </c>
      <c r="O33" s="201">
        <v>3.49E-2</v>
      </c>
      <c r="P33" s="201">
        <v>3.49E-2</v>
      </c>
      <c r="Q33" s="201">
        <v>3.49E-2</v>
      </c>
      <c r="S33" s="206" t="str">
        <f t="shared" si="1"/>
        <v>039:株式会社福岡エネルギーサービス 西鉄福岡駅再開発地域</v>
      </c>
      <c r="T33" s="209">
        <f t="shared" si="2"/>
        <v>3.49E-2</v>
      </c>
    </row>
    <row r="34" spans="2:20">
      <c r="B34" s="124" t="s">
        <v>1792</v>
      </c>
      <c r="C34" s="124" t="s">
        <v>1793</v>
      </c>
      <c r="D34" s="124" t="s">
        <v>1794</v>
      </c>
      <c r="E34" s="154" t="str">
        <f t="shared" si="0"/>
        <v>058:品川熱供給株式会社 品川東口南地域</v>
      </c>
      <c r="I34" s="193" t="s">
        <v>1816</v>
      </c>
      <c r="J34" s="189" t="s">
        <v>1781</v>
      </c>
      <c r="K34" s="189" t="s">
        <v>1784</v>
      </c>
      <c r="L34" s="189"/>
      <c r="M34" s="201">
        <v>5.5599999999999997E-2</v>
      </c>
      <c r="N34" s="201">
        <v>5.5599999999999997E-2</v>
      </c>
      <c r="O34" s="201">
        <v>5.5599999999999997E-2</v>
      </c>
      <c r="P34" s="201">
        <v>5.5599999999999997E-2</v>
      </c>
      <c r="Q34" s="201">
        <v>5.5599999999999997E-2</v>
      </c>
      <c r="S34" s="206" t="str">
        <f t="shared" si="1"/>
        <v>039:株式会社福岡エネルギーサービス 下川端再開発地域</v>
      </c>
      <c r="T34" s="209">
        <f t="shared" si="2"/>
        <v>5.5599999999999997E-2</v>
      </c>
    </row>
    <row r="35" spans="2:20">
      <c r="B35" s="124" t="s">
        <v>1859</v>
      </c>
      <c r="C35" s="124" t="s">
        <v>1796</v>
      </c>
      <c r="D35" s="124"/>
      <c r="E35" s="154" t="str">
        <f t="shared" si="0"/>
        <v xml:space="preserve">064:山王熱供給株式会社 </v>
      </c>
      <c r="I35" s="193" t="s">
        <v>1785</v>
      </c>
      <c r="J35" s="188" t="s">
        <v>1786</v>
      </c>
      <c r="K35" s="188" t="s">
        <v>1787</v>
      </c>
      <c r="L35" s="194"/>
      <c r="M35" s="202">
        <v>3.5900000000000001E-2</v>
      </c>
      <c r="N35" s="202">
        <v>3.5900000000000001E-2</v>
      </c>
      <c r="O35" s="202">
        <v>3.5900000000000001E-2</v>
      </c>
      <c r="P35" s="202">
        <v>3.5900000000000001E-2</v>
      </c>
      <c r="Q35" s="202">
        <v>3.5900000000000001E-2</v>
      </c>
      <c r="S35" s="206" t="str">
        <f t="shared" si="1"/>
        <v>047:東京下水道エネルギー株式会社　後楽事業所 後楽一丁目地域</v>
      </c>
      <c r="T35" s="209">
        <f t="shared" si="2"/>
        <v>3.5900000000000001E-2</v>
      </c>
    </row>
    <row r="36" spans="2:20">
      <c r="B36" s="124" t="s">
        <v>1797</v>
      </c>
      <c r="C36" s="124" t="s">
        <v>1860</v>
      </c>
      <c r="D36" s="124"/>
      <c r="E36" s="154" t="str">
        <f t="shared" si="0"/>
        <v xml:space="preserve">065:渋谷熱供給株式会社 </v>
      </c>
      <c r="I36" s="193" t="s">
        <v>1788</v>
      </c>
      <c r="J36" s="189" t="s">
        <v>1789</v>
      </c>
      <c r="K36" s="189"/>
      <c r="L36" s="194"/>
      <c r="M36" s="202">
        <v>4.6399999999999997E-2</v>
      </c>
      <c r="N36" s="202">
        <v>4.6399999999999997E-2</v>
      </c>
      <c r="O36" s="202">
        <v>4.6399999999999997E-2</v>
      </c>
      <c r="P36" s="202">
        <v>4.6399999999999997E-2</v>
      </c>
      <c r="Q36" s="202">
        <v>4.6399999999999997E-2</v>
      </c>
      <c r="S36" s="206" t="str">
        <f t="shared" si="1"/>
        <v xml:space="preserve">050:新宿南エネルギーサービス株式会社 </v>
      </c>
      <c r="T36" s="209">
        <f t="shared" si="2"/>
        <v>4.6399999999999997E-2</v>
      </c>
    </row>
    <row r="37" spans="2:20">
      <c r="B37" s="124" t="s">
        <v>1861</v>
      </c>
      <c r="C37" s="124" t="s">
        <v>1862</v>
      </c>
      <c r="D37" s="124"/>
      <c r="E37" s="154" t="str">
        <f t="shared" si="0"/>
        <v xml:space="preserve">069:品川エネルギーサービス株式会社 </v>
      </c>
      <c r="I37" s="193" t="s">
        <v>1790</v>
      </c>
      <c r="J37" s="189" t="s">
        <v>1791</v>
      </c>
      <c r="K37" s="189"/>
      <c r="L37" s="189"/>
      <c r="M37" s="203">
        <v>0.04</v>
      </c>
      <c r="N37" s="203">
        <v>0.04</v>
      </c>
      <c r="O37" s="203">
        <v>0.04</v>
      </c>
      <c r="P37" s="203">
        <v>0.04</v>
      </c>
      <c r="Q37" s="203">
        <v>0.04</v>
      </c>
      <c r="S37" s="206" t="str">
        <f t="shared" si="1"/>
        <v xml:space="preserve">057:錦糸町熱供給株式会社 </v>
      </c>
      <c r="T37" s="209">
        <f t="shared" si="2"/>
        <v>0.04</v>
      </c>
    </row>
    <row r="38" spans="2:20">
      <c r="B38" s="124" t="s">
        <v>1863</v>
      </c>
      <c r="C38" s="124" t="s">
        <v>1864</v>
      </c>
      <c r="D38" s="124" t="s">
        <v>1802</v>
      </c>
      <c r="E38" s="154" t="str">
        <f t="shared" si="0"/>
        <v>073:ＤＨＣ名古屋株式会社 名駅東地域</v>
      </c>
      <c r="I38" s="193" t="s">
        <v>1792</v>
      </c>
      <c r="J38" s="189" t="s">
        <v>1793</v>
      </c>
      <c r="K38" s="189" t="s">
        <v>1794</v>
      </c>
      <c r="L38" s="189"/>
      <c r="M38" s="203">
        <v>4.2299999999999997E-2</v>
      </c>
      <c r="N38" s="203">
        <v>4.2299999999999997E-2</v>
      </c>
      <c r="O38" s="203">
        <v>4.2299999999999997E-2</v>
      </c>
      <c r="P38" s="203">
        <v>4.2299999999999997E-2</v>
      </c>
      <c r="Q38" s="203">
        <v>4.2299999999999997E-2</v>
      </c>
      <c r="S38" s="206" t="str">
        <f t="shared" si="1"/>
        <v>058:品川熱供給株式会社 品川東口南地域</v>
      </c>
      <c r="T38" s="209">
        <f t="shared" si="2"/>
        <v>4.2299999999999997E-2</v>
      </c>
    </row>
    <row r="39" spans="2:20">
      <c r="B39" s="124" t="s">
        <v>1817</v>
      </c>
      <c r="C39" s="124" t="s">
        <v>1804</v>
      </c>
      <c r="D39" s="124" t="s">
        <v>1805</v>
      </c>
      <c r="E39" s="154" t="str">
        <f t="shared" si="0"/>
        <v>079:虎ノ門エネルギーネットワーク株式会社 虎ノ門一・二丁目地域</v>
      </c>
      <c r="I39" s="193" t="s">
        <v>1795</v>
      </c>
      <c r="J39" s="189" t="s">
        <v>1796</v>
      </c>
      <c r="K39" s="189"/>
      <c r="L39" s="189"/>
      <c r="M39" s="203">
        <v>4.36E-2</v>
      </c>
      <c r="N39" s="203">
        <v>4.36E-2</v>
      </c>
      <c r="O39" s="203">
        <v>4.36E-2</v>
      </c>
      <c r="P39" s="203">
        <v>4.36E-2</v>
      </c>
      <c r="Q39" s="203">
        <v>4.36E-2</v>
      </c>
      <c r="S39" s="206" t="str">
        <f t="shared" si="1"/>
        <v xml:space="preserve">064:山王熱供給株式会社 </v>
      </c>
      <c r="T39" s="209">
        <f t="shared" si="2"/>
        <v>4.36E-2</v>
      </c>
    </row>
    <row r="40" spans="2:20">
      <c r="B40" s="127" t="s">
        <v>1817</v>
      </c>
      <c r="C40" s="127" t="s">
        <v>1804</v>
      </c>
      <c r="D40" s="127" t="s">
        <v>1806</v>
      </c>
      <c r="E40" s="156" t="str">
        <f t="shared" si="0"/>
        <v>079:虎ノ門エネルギーネットワーク株式会社 虎ノ門・麻布台地域</v>
      </c>
      <c r="I40" s="193" t="s">
        <v>1797</v>
      </c>
      <c r="J40" s="189" t="s">
        <v>1798</v>
      </c>
      <c r="K40" s="189"/>
      <c r="L40" s="189"/>
      <c r="M40" s="203">
        <v>0.05</v>
      </c>
      <c r="N40" s="203">
        <v>0.05</v>
      </c>
      <c r="O40" s="203">
        <v>0.05</v>
      </c>
      <c r="P40" s="203">
        <v>0.05</v>
      </c>
      <c r="Q40" s="203">
        <v>0.05</v>
      </c>
      <c r="S40" s="206" t="str">
        <f t="shared" si="1"/>
        <v xml:space="preserve">065:渋谷熱供給株式会社 </v>
      </c>
      <c r="T40" s="209">
        <f t="shared" si="2"/>
        <v>0.05</v>
      </c>
    </row>
    <row r="41" spans="2:20">
      <c r="I41" s="192" t="s">
        <v>1799</v>
      </c>
      <c r="J41" s="189" t="s">
        <v>1809</v>
      </c>
      <c r="K41" s="189"/>
      <c r="L41" s="189"/>
      <c r="M41" s="203">
        <v>4.3799999999999999E-2</v>
      </c>
      <c r="N41" s="203">
        <v>4.3799999999999999E-2</v>
      </c>
      <c r="O41" s="203">
        <v>4.3799999999999999E-2</v>
      </c>
      <c r="P41" s="203">
        <v>4.3799999999999999E-2</v>
      </c>
      <c r="Q41" s="203">
        <v>4.3799999999999999E-2</v>
      </c>
      <c r="S41" s="206" t="str">
        <f t="shared" si="1"/>
        <v xml:space="preserve">069:品川エネルギーサービス株式会社 </v>
      </c>
      <c r="T41" s="209">
        <f t="shared" si="2"/>
        <v>4.3799999999999999E-2</v>
      </c>
    </row>
    <row r="42" spans="2:20">
      <c r="I42" s="192" t="s">
        <v>1800</v>
      </c>
      <c r="J42" s="188" t="s">
        <v>1801</v>
      </c>
      <c r="K42" s="188" t="s">
        <v>1802</v>
      </c>
      <c r="L42" s="189"/>
      <c r="M42" s="203">
        <v>3.4799999999999998E-2</v>
      </c>
      <c r="N42" s="203">
        <v>3.4799999999999998E-2</v>
      </c>
      <c r="O42" s="203">
        <v>3.4799999999999998E-2</v>
      </c>
      <c r="P42" s="203">
        <v>3.4799999999999998E-2</v>
      </c>
      <c r="Q42" s="203">
        <v>3.4799999999999998E-2</v>
      </c>
      <c r="S42" s="206" t="str">
        <f t="shared" si="1"/>
        <v>073:ＤＨＣ名古屋株式会社 名駅東地域</v>
      </c>
      <c r="T42" s="209">
        <f t="shared" si="2"/>
        <v>3.4799999999999998E-2</v>
      </c>
    </row>
    <row r="43" spans="2:20">
      <c r="I43" s="192" t="s">
        <v>1803</v>
      </c>
      <c r="J43" s="189" t="s">
        <v>1804</v>
      </c>
      <c r="K43" s="189" t="s">
        <v>1805</v>
      </c>
      <c r="L43" s="190"/>
      <c r="M43" s="200">
        <v>4.3799999999999999E-2</v>
      </c>
      <c r="N43" s="200">
        <v>4.3799999999999999E-2</v>
      </c>
      <c r="O43" s="200">
        <v>4.3799999999999999E-2</v>
      </c>
      <c r="P43" s="200">
        <v>4.3799999999999999E-2</v>
      </c>
      <c r="Q43" s="200">
        <v>4.3799999999999999E-2</v>
      </c>
      <c r="S43" s="206" t="str">
        <f t="shared" si="1"/>
        <v>079:虎ノ門エネルギーネットワーク株式会社 虎ノ門一・二丁目地域</v>
      </c>
      <c r="T43" s="209">
        <f t="shared" si="2"/>
        <v>4.3799999999999999E-2</v>
      </c>
    </row>
    <row r="44" spans="2:20">
      <c r="I44" s="195" t="s">
        <v>1817</v>
      </c>
      <c r="J44" s="196" t="s">
        <v>1804</v>
      </c>
      <c r="K44" s="196" t="s">
        <v>1806</v>
      </c>
      <c r="L44" s="186"/>
      <c r="M44" s="204">
        <v>4.2000000000000003E-2</v>
      </c>
      <c r="N44" s="204">
        <v>4.2000000000000003E-2</v>
      </c>
      <c r="O44" s="204">
        <v>4.2000000000000003E-2</v>
      </c>
      <c r="P44" s="204">
        <v>4.2000000000000003E-2</v>
      </c>
      <c r="Q44" s="204">
        <v>4.2000000000000003E-2</v>
      </c>
      <c r="S44" s="207" t="str">
        <f t="shared" si="1"/>
        <v>079:虎ノ門エネルギーネットワーク株式会社 虎ノ門・麻布台地域</v>
      </c>
      <c r="T44" s="210">
        <f t="shared" si="2"/>
        <v>4.2000000000000003E-2</v>
      </c>
    </row>
  </sheetData>
  <sheetProtection algorithmName="SHA-512" hashValue="6Tlq9aDsAae0v1j0LxTFf5jglILFktuDGvEsXtcZRCY4LLjGyelmRc1APRUo9G0IS9jGD7vD5xFEwZlj4Pktdg==" saltValue="b+Pp8pCCRgSsId5xxybN+A==" spinCount="100000" sheet="1" objects="1" scenarios="1"/>
  <mergeCells count="11">
    <mergeCell ref="B6:B7"/>
    <mergeCell ref="C6:C7"/>
    <mergeCell ref="E6:E7"/>
    <mergeCell ref="I6:I7"/>
    <mergeCell ref="G6:G7"/>
    <mergeCell ref="S2:S3"/>
    <mergeCell ref="S6:S7"/>
    <mergeCell ref="D6:D7"/>
    <mergeCell ref="L2:L3"/>
    <mergeCell ref="L6:L7"/>
    <mergeCell ref="J6:K7"/>
  </mergeCells>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D73D-D91F-4645-A165-52E9BB38F6C4}">
  <sheetPr codeName="Sheet21">
    <tabColor theme="0" tint="-0.34998626667073579"/>
    <pageSetUpPr fitToPage="1"/>
  </sheetPr>
  <dimension ref="C1:GD58"/>
  <sheetViews>
    <sheetView showGridLines="0" view="pageBreakPreview" zoomScale="130" zoomScaleNormal="100" zoomScaleSheetLayoutView="130" workbookViewId="0">
      <pane xSplit="6" ySplit="5" topLeftCell="T36" activePane="bottomRight" state="frozen"/>
      <selection activeCell="L62" sqref="L62"/>
      <selection pane="topRight" activeCell="L62" sqref="L62"/>
      <selection pane="bottomLeft" activeCell="L62" sqref="L62"/>
      <selection pane="bottomRight" activeCell="T47" sqref="T47:U47"/>
    </sheetView>
  </sheetViews>
  <sheetFormatPr defaultColWidth="8.08203125" defaultRowHeight="13"/>
  <cols>
    <col min="1" max="1" width="1.83203125" style="772" customWidth="1"/>
    <col min="2" max="2" width="1.1640625" style="772" customWidth="1"/>
    <col min="3" max="3" width="6.33203125" style="772" customWidth="1"/>
    <col min="4" max="4" width="8.9140625" style="772" customWidth="1"/>
    <col min="5" max="5" width="11.4140625" style="772" customWidth="1"/>
    <col min="6" max="6" width="12.5" style="772" customWidth="1"/>
    <col min="7" max="7" width="6.33203125" style="772" customWidth="1"/>
    <col min="8" max="8" width="7.9140625" style="772" hidden="1" customWidth="1"/>
    <col min="9" max="9" width="6.1640625" style="772" hidden="1" customWidth="1"/>
    <col min="10" max="10" width="6.4140625" style="772" hidden="1" customWidth="1"/>
    <col min="11" max="11" width="6.33203125" style="772" hidden="1" customWidth="1"/>
    <col min="12" max="19" width="7" style="772" hidden="1" customWidth="1"/>
    <col min="20" max="34" width="7" style="772" customWidth="1"/>
    <col min="35" max="35" width="7.9140625" style="772" hidden="1" customWidth="1"/>
    <col min="36" max="36" width="6.1640625" style="772" hidden="1" customWidth="1"/>
    <col min="37" max="37" width="6.4140625" style="772" hidden="1" customWidth="1"/>
    <col min="38" max="38" width="6.33203125" style="772" hidden="1" customWidth="1"/>
    <col min="39" max="163" width="7" style="772" hidden="1" customWidth="1"/>
    <col min="164" max="178" width="7" style="772" customWidth="1"/>
    <col min="179" max="179" width="9.08203125" style="772" customWidth="1"/>
    <col min="180" max="180" width="6.1640625" style="772" customWidth="1"/>
    <col min="181" max="181" width="7.08203125" style="772" customWidth="1"/>
    <col min="182" max="182" width="5.6640625" style="772" customWidth="1"/>
    <col min="183" max="186" width="8.08203125" style="772" hidden="1" customWidth="1"/>
    <col min="187" max="16384" width="8.08203125" style="772"/>
  </cols>
  <sheetData>
    <row r="1" spans="3:185" ht="16.5">
      <c r="C1" s="827" t="s">
        <v>2206</v>
      </c>
      <c r="FW1" s="828"/>
      <c r="FX1" s="1492"/>
      <c r="FY1" s="1492"/>
      <c r="FZ1" s="1492"/>
    </row>
    <row r="2" spans="3:185" ht="13.5" thickBot="1">
      <c r="D2" s="829"/>
      <c r="E2" s="829"/>
      <c r="F2" s="829"/>
      <c r="H2" s="829"/>
      <c r="P2" s="830"/>
      <c r="R2" s="831"/>
      <c r="AI2" s="829"/>
      <c r="FW2" s="832"/>
      <c r="FX2" s="832"/>
      <c r="FY2" s="833"/>
      <c r="FZ2" s="776"/>
    </row>
    <row r="3" spans="3:185" ht="27" customHeight="1" thickTop="1">
      <c r="C3" s="1493" t="s">
        <v>2207</v>
      </c>
      <c r="D3" s="1495" t="s">
        <v>2208</v>
      </c>
      <c r="E3" s="1495"/>
      <c r="F3" s="1495"/>
      <c r="G3" s="1497" t="s">
        <v>2209</v>
      </c>
      <c r="H3" s="1499" t="s">
        <v>2210</v>
      </c>
      <c r="I3" s="1500"/>
      <c r="J3" s="1500"/>
      <c r="K3" s="1500"/>
      <c r="L3" s="1500"/>
      <c r="M3" s="1500"/>
      <c r="N3" s="1500"/>
      <c r="O3" s="1500"/>
      <c r="P3" s="1500"/>
      <c r="Q3" s="1500"/>
      <c r="R3" s="1500"/>
      <c r="S3" s="1500"/>
      <c r="T3" s="1500"/>
      <c r="U3" s="1500"/>
      <c r="V3" s="1500"/>
      <c r="W3" s="1500"/>
      <c r="X3" s="1500"/>
      <c r="Y3" s="1500"/>
      <c r="Z3" s="1500"/>
      <c r="AA3" s="1500"/>
      <c r="AB3" s="1500"/>
      <c r="AC3" s="1500"/>
      <c r="AD3" s="1500"/>
      <c r="AE3" s="1500"/>
      <c r="AF3" s="1500"/>
      <c r="AG3" s="1500"/>
      <c r="AH3" s="1500"/>
      <c r="AI3" s="1500"/>
      <c r="AJ3" s="1500"/>
      <c r="AK3" s="1500"/>
      <c r="AL3" s="1500"/>
      <c r="AM3" s="1500"/>
      <c r="AN3" s="1500"/>
      <c r="AO3" s="1500"/>
      <c r="AP3" s="1500"/>
      <c r="AQ3" s="1500"/>
      <c r="AR3" s="1500"/>
      <c r="AS3" s="1500"/>
      <c r="AT3" s="1500"/>
      <c r="AU3" s="1500"/>
      <c r="AV3" s="1500"/>
      <c r="AW3" s="1500"/>
      <c r="AX3" s="1500"/>
      <c r="AY3" s="1500"/>
      <c r="AZ3" s="1500"/>
      <c r="BA3" s="1500"/>
      <c r="BB3" s="1500"/>
      <c r="BC3" s="1500"/>
      <c r="BD3" s="1500"/>
      <c r="BE3" s="1500"/>
      <c r="BF3" s="1500"/>
      <c r="BG3" s="1500"/>
      <c r="BH3" s="1500"/>
      <c r="BI3" s="1500"/>
      <c r="BJ3" s="1500"/>
      <c r="BK3" s="1500"/>
      <c r="BL3" s="1500"/>
      <c r="BM3" s="1500"/>
      <c r="BN3" s="1500"/>
      <c r="BO3" s="1500"/>
      <c r="BP3" s="1500"/>
      <c r="BQ3" s="1500"/>
      <c r="BR3" s="1500"/>
      <c r="BS3" s="1500"/>
      <c r="BT3" s="1500"/>
      <c r="BU3" s="1500"/>
      <c r="BV3" s="1500"/>
      <c r="BW3" s="1500"/>
      <c r="BX3" s="1500"/>
      <c r="BY3" s="1500"/>
      <c r="BZ3" s="1500"/>
      <c r="CA3" s="1500"/>
      <c r="CB3" s="1500"/>
      <c r="CC3" s="1500"/>
      <c r="CD3" s="1500"/>
      <c r="CE3" s="1500"/>
      <c r="CF3" s="1500"/>
      <c r="CG3" s="1500"/>
      <c r="CH3" s="1500"/>
      <c r="CI3" s="1500"/>
      <c r="CJ3" s="1500"/>
      <c r="CK3" s="1500"/>
      <c r="CL3" s="1500"/>
      <c r="CM3" s="1500"/>
      <c r="CN3" s="1500"/>
      <c r="CO3" s="1500"/>
      <c r="CP3" s="1500"/>
      <c r="CQ3" s="1500"/>
      <c r="CR3" s="1500"/>
      <c r="CS3" s="1500"/>
      <c r="CT3" s="1500"/>
      <c r="CU3" s="1500"/>
      <c r="CV3" s="834"/>
      <c r="CW3" s="834"/>
      <c r="CX3" s="834"/>
      <c r="CY3" s="834"/>
      <c r="CZ3" s="834"/>
      <c r="DA3" s="834"/>
      <c r="DB3" s="834"/>
      <c r="DC3" s="834"/>
      <c r="DD3" s="834"/>
      <c r="DE3" s="834"/>
      <c r="DF3" s="834"/>
      <c r="DG3" s="834"/>
      <c r="DH3" s="834"/>
      <c r="DI3" s="834"/>
      <c r="DJ3" s="834"/>
      <c r="DK3" s="834"/>
      <c r="DL3" s="834"/>
      <c r="DM3" s="834"/>
      <c r="DN3" s="834"/>
      <c r="DO3" s="834"/>
      <c r="DP3" s="834"/>
      <c r="DQ3" s="834"/>
      <c r="DR3" s="834"/>
      <c r="DS3" s="834"/>
      <c r="DT3" s="834"/>
      <c r="DU3" s="834"/>
      <c r="DV3" s="834"/>
      <c r="DW3" s="834"/>
      <c r="DX3" s="834"/>
      <c r="DY3" s="834"/>
      <c r="DZ3" s="834"/>
      <c r="EA3" s="834"/>
      <c r="EB3" s="834"/>
      <c r="EC3" s="834"/>
      <c r="ED3" s="834"/>
      <c r="EE3" s="834"/>
      <c r="EF3" s="834"/>
      <c r="EG3" s="834"/>
      <c r="EH3" s="834"/>
      <c r="EI3" s="834"/>
      <c r="EJ3" s="834"/>
      <c r="EK3" s="834"/>
      <c r="EL3" s="834"/>
      <c r="EM3" s="834"/>
      <c r="EN3" s="834"/>
      <c r="EO3" s="834"/>
      <c r="EP3" s="834"/>
      <c r="EQ3" s="834"/>
      <c r="ER3" s="834"/>
      <c r="ES3" s="834"/>
      <c r="ET3" s="834"/>
      <c r="EU3" s="834"/>
      <c r="EV3" s="834"/>
      <c r="EW3" s="834"/>
      <c r="EX3" s="834"/>
      <c r="EY3" s="834"/>
      <c r="EZ3" s="834"/>
      <c r="FA3" s="834"/>
      <c r="FB3" s="834"/>
      <c r="FC3" s="834"/>
      <c r="FD3" s="834"/>
      <c r="FE3" s="834"/>
      <c r="FF3" s="834"/>
      <c r="FG3" s="834"/>
      <c r="FH3" s="834"/>
      <c r="FI3" s="834"/>
      <c r="FJ3" s="834"/>
      <c r="FK3" s="834"/>
      <c r="FL3" s="834"/>
      <c r="FM3" s="834"/>
      <c r="FN3" s="834"/>
      <c r="FO3" s="834"/>
      <c r="FP3" s="834"/>
      <c r="FQ3" s="834"/>
      <c r="FR3" s="834"/>
      <c r="FS3" s="834"/>
      <c r="FT3" s="834"/>
      <c r="FU3" s="834"/>
      <c r="FV3" s="834"/>
      <c r="FW3" s="1501" t="s">
        <v>2211</v>
      </c>
      <c r="FX3" s="1501"/>
      <c r="FY3" s="1501" t="s">
        <v>2212</v>
      </c>
      <c r="FZ3" s="1503"/>
    </row>
    <row r="4" spans="3:185" ht="17.25" customHeight="1">
      <c r="C4" s="1494"/>
      <c r="D4" s="1496"/>
      <c r="E4" s="1496"/>
      <c r="F4" s="1496"/>
      <c r="G4" s="1498"/>
      <c r="H4" s="1440" t="s">
        <v>2213</v>
      </c>
      <c r="I4" s="1441"/>
      <c r="J4" s="1441"/>
      <c r="K4" s="1441"/>
      <c r="L4" s="1441"/>
      <c r="M4" s="1441"/>
      <c r="N4" s="1441"/>
      <c r="O4" s="1441"/>
      <c r="P4" s="1441"/>
      <c r="Q4" s="1441"/>
      <c r="R4" s="1441"/>
      <c r="S4" s="1441"/>
      <c r="T4" s="1441"/>
      <c r="U4" s="1441"/>
      <c r="V4" s="1441"/>
      <c r="W4" s="1441"/>
      <c r="X4" s="1441"/>
      <c r="Y4" s="1441"/>
      <c r="Z4" s="1441"/>
      <c r="AA4" s="1441"/>
      <c r="AB4" s="1441"/>
      <c r="AC4" s="1441"/>
      <c r="AD4" s="1441"/>
      <c r="AE4" s="1441"/>
      <c r="AF4" s="1441"/>
      <c r="AG4" s="1441"/>
      <c r="AH4" s="1442"/>
      <c r="AI4" s="1440" t="s">
        <v>2214</v>
      </c>
      <c r="AJ4" s="1441"/>
      <c r="AK4" s="1441"/>
      <c r="AL4" s="1441"/>
      <c r="AM4" s="1441"/>
      <c r="AN4" s="1441"/>
      <c r="AO4" s="1441"/>
      <c r="AP4" s="1441"/>
      <c r="AQ4" s="1441"/>
      <c r="AR4" s="1441"/>
      <c r="AS4" s="1441"/>
      <c r="AT4" s="1441"/>
      <c r="AU4" s="1441"/>
      <c r="AV4" s="1441"/>
      <c r="AW4" s="1441"/>
      <c r="AX4" s="1441"/>
      <c r="AY4" s="1441"/>
      <c r="AZ4" s="1441"/>
      <c r="BA4" s="1441"/>
      <c r="BB4" s="1441"/>
      <c r="BC4" s="1441"/>
      <c r="BD4" s="1441"/>
      <c r="BE4" s="1441"/>
      <c r="BF4" s="1441"/>
      <c r="BG4" s="1441"/>
      <c r="BH4" s="1441"/>
      <c r="BI4" s="1442"/>
      <c r="BJ4" s="1505" t="s">
        <v>2215</v>
      </c>
      <c r="BK4" s="1506"/>
      <c r="BL4" s="1506"/>
      <c r="BM4" s="1506"/>
      <c r="BN4" s="1506"/>
      <c r="BO4" s="1506"/>
      <c r="BP4" s="1506"/>
      <c r="BQ4" s="1506"/>
      <c r="BR4" s="1506"/>
      <c r="BS4" s="1506"/>
      <c r="BT4" s="1506"/>
      <c r="BU4" s="1506"/>
      <c r="BV4" s="1506"/>
      <c r="BW4" s="1506"/>
      <c r="BX4" s="1506"/>
      <c r="BY4" s="1506"/>
      <c r="BZ4" s="1506"/>
      <c r="CA4" s="1507"/>
      <c r="CB4" s="835"/>
      <c r="CC4" s="835"/>
      <c r="CD4" s="835"/>
      <c r="CE4" s="835"/>
      <c r="CF4" s="835"/>
      <c r="CG4" s="1498" t="s">
        <v>77</v>
      </c>
      <c r="CH4" s="1508" t="s">
        <v>2216</v>
      </c>
      <c r="CI4" s="1509"/>
      <c r="CJ4" s="1509"/>
      <c r="CK4" s="1509"/>
      <c r="CL4" s="1509"/>
      <c r="CM4" s="1509"/>
      <c r="CN4" s="1509"/>
      <c r="CO4" s="1509"/>
      <c r="CP4" s="1509"/>
      <c r="CQ4" s="1509"/>
      <c r="CR4" s="1509"/>
      <c r="CS4" s="1509"/>
      <c r="CT4" s="1509"/>
      <c r="CU4" s="1509"/>
      <c r="CV4" s="1509"/>
      <c r="CW4" s="1509"/>
      <c r="CX4" s="1509"/>
      <c r="CY4" s="1509"/>
      <c r="CZ4" s="1509"/>
      <c r="DA4" s="1509"/>
      <c r="DB4" s="1509"/>
      <c r="DC4" s="1509"/>
      <c r="DD4" s="1509"/>
      <c r="DE4" s="1510"/>
      <c r="DF4" s="1505" t="s">
        <v>2217</v>
      </c>
      <c r="DG4" s="1506"/>
      <c r="DH4" s="1506"/>
      <c r="DI4" s="1506"/>
      <c r="DJ4" s="1506"/>
      <c r="DK4" s="1506"/>
      <c r="DL4" s="1506"/>
      <c r="DM4" s="1506"/>
      <c r="DN4" s="1506"/>
      <c r="DO4" s="1506"/>
      <c r="DP4" s="1506"/>
      <c r="DQ4" s="1506"/>
      <c r="DR4" s="1506"/>
      <c r="DS4" s="1506"/>
      <c r="DT4" s="1506"/>
      <c r="DU4" s="1506"/>
      <c r="DV4" s="1506"/>
      <c r="DW4" s="1506"/>
      <c r="DX4" s="1506"/>
      <c r="DY4" s="1506"/>
      <c r="DZ4" s="1506"/>
      <c r="EA4" s="1506"/>
      <c r="EB4" s="1507"/>
      <c r="EC4" s="1505" t="s">
        <v>2218</v>
      </c>
      <c r="ED4" s="1506"/>
      <c r="EE4" s="1506"/>
      <c r="EF4" s="1506"/>
      <c r="EG4" s="1506"/>
      <c r="EH4" s="1506"/>
      <c r="EI4" s="1506"/>
      <c r="EJ4" s="1506"/>
      <c r="EK4" s="1506"/>
      <c r="EL4" s="1506"/>
      <c r="EM4" s="1506"/>
      <c r="EN4" s="1506"/>
      <c r="EO4" s="1506"/>
      <c r="EP4" s="1506"/>
      <c r="EQ4" s="1506"/>
      <c r="ER4" s="1506"/>
      <c r="ES4" s="1506"/>
      <c r="ET4" s="1506"/>
      <c r="EU4" s="1506"/>
      <c r="EV4" s="1506"/>
      <c r="EW4" s="1506"/>
      <c r="EX4" s="1506"/>
      <c r="EY4" s="1507"/>
      <c r="EZ4" s="1505" t="s">
        <v>2219</v>
      </c>
      <c r="FA4" s="1506"/>
      <c r="FB4" s="1506"/>
      <c r="FC4" s="1506"/>
      <c r="FD4" s="1506"/>
      <c r="FE4" s="1506"/>
      <c r="FF4" s="1506"/>
      <c r="FG4" s="1506"/>
      <c r="FH4" s="1506"/>
      <c r="FI4" s="1506"/>
      <c r="FJ4" s="1506"/>
      <c r="FK4" s="1506"/>
      <c r="FL4" s="1506"/>
      <c r="FM4" s="1506"/>
      <c r="FN4" s="1506"/>
      <c r="FO4" s="1506"/>
      <c r="FP4" s="1506"/>
      <c r="FQ4" s="1506"/>
      <c r="FR4" s="1506"/>
      <c r="FS4" s="1506"/>
      <c r="FT4" s="1506"/>
      <c r="FU4" s="1506"/>
      <c r="FV4" s="1507"/>
      <c r="FW4" s="1502"/>
      <c r="FX4" s="1502"/>
      <c r="FY4" s="1502"/>
      <c r="FZ4" s="1504"/>
    </row>
    <row r="5" spans="3:185" ht="24.75" customHeight="1">
      <c r="C5" s="1494"/>
      <c r="D5" s="1496"/>
      <c r="E5" s="1496"/>
      <c r="F5" s="1496"/>
      <c r="G5" s="1498"/>
      <c r="H5" s="818" t="s">
        <v>2220</v>
      </c>
      <c r="I5" s="818" t="s">
        <v>2221</v>
      </c>
      <c r="J5" s="818" t="s">
        <v>2222</v>
      </c>
      <c r="K5" s="836" t="s">
        <v>2223</v>
      </c>
      <c r="L5" s="818" t="s">
        <v>2128</v>
      </c>
      <c r="M5" s="818" t="s">
        <v>2129</v>
      </c>
      <c r="N5" s="818" t="s">
        <v>2130</v>
      </c>
      <c r="O5" s="818" t="s">
        <v>2131</v>
      </c>
      <c r="P5" s="818" t="s">
        <v>2132</v>
      </c>
      <c r="Q5" s="818" t="s">
        <v>2133</v>
      </c>
      <c r="R5" s="818" t="s">
        <v>2134</v>
      </c>
      <c r="S5" s="818" t="s">
        <v>2135</v>
      </c>
      <c r="T5" s="818" t="s">
        <v>2136</v>
      </c>
      <c r="U5" s="818" t="s">
        <v>2137</v>
      </c>
      <c r="V5" s="818" t="s">
        <v>2138</v>
      </c>
      <c r="W5" s="818" t="s">
        <v>2139</v>
      </c>
      <c r="X5" s="818" t="s">
        <v>2140</v>
      </c>
      <c r="Y5" s="818" t="s">
        <v>2141</v>
      </c>
      <c r="Z5" s="818" t="s">
        <v>2142</v>
      </c>
      <c r="AA5" s="818" t="s">
        <v>2143</v>
      </c>
      <c r="AB5" s="818" t="s">
        <v>2144</v>
      </c>
      <c r="AC5" s="818" t="s">
        <v>2224</v>
      </c>
      <c r="AD5" s="818" t="s">
        <v>2225</v>
      </c>
      <c r="AE5" s="818" t="s">
        <v>2226</v>
      </c>
      <c r="AF5" s="818" t="s">
        <v>2227</v>
      </c>
      <c r="AG5" s="818" t="s">
        <v>2228</v>
      </c>
      <c r="AH5" s="818" t="s">
        <v>2229</v>
      </c>
      <c r="AI5" s="818" t="s">
        <v>2220</v>
      </c>
      <c r="AJ5" s="818" t="s">
        <v>2221</v>
      </c>
      <c r="AK5" s="818" t="s">
        <v>2222</v>
      </c>
      <c r="AL5" s="836" t="s">
        <v>2223</v>
      </c>
      <c r="AM5" s="818" t="s">
        <v>2128</v>
      </c>
      <c r="AN5" s="818" t="s">
        <v>2129</v>
      </c>
      <c r="AO5" s="818" t="s">
        <v>2130</v>
      </c>
      <c r="AP5" s="818" t="s">
        <v>2131</v>
      </c>
      <c r="AQ5" s="818" t="s">
        <v>2132</v>
      </c>
      <c r="AR5" s="818" t="s">
        <v>2133</v>
      </c>
      <c r="AS5" s="818" t="s">
        <v>2134</v>
      </c>
      <c r="AT5" s="818" t="s">
        <v>2135</v>
      </c>
      <c r="AU5" s="818" t="s">
        <v>2136</v>
      </c>
      <c r="AV5" s="818" t="s">
        <v>2137</v>
      </c>
      <c r="AW5" s="818" t="s">
        <v>2138</v>
      </c>
      <c r="AX5" s="818" t="s">
        <v>2139</v>
      </c>
      <c r="AY5" s="818" t="s">
        <v>2140</v>
      </c>
      <c r="AZ5" s="818" t="s">
        <v>2141</v>
      </c>
      <c r="BA5" s="818" t="s">
        <v>2142</v>
      </c>
      <c r="BB5" s="818" t="s">
        <v>2143</v>
      </c>
      <c r="BC5" s="818" t="s">
        <v>2144</v>
      </c>
      <c r="BD5" s="818" t="s">
        <v>2224</v>
      </c>
      <c r="BE5" s="818" t="s">
        <v>2225</v>
      </c>
      <c r="BF5" s="818" t="s">
        <v>2226</v>
      </c>
      <c r="BG5" s="818" t="s">
        <v>2227</v>
      </c>
      <c r="BH5" s="818" t="s">
        <v>2228</v>
      </c>
      <c r="BI5" s="818" t="s">
        <v>2229</v>
      </c>
      <c r="BJ5" s="818" t="s">
        <v>2128</v>
      </c>
      <c r="BK5" s="818" t="s">
        <v>2129</v>
      </c>
      <c r="BL5" s="818" t="s">
        <v>2130</v>
      </c>
      <c r="BM5" s="818" t="s">
        <v>2131</v>
      </c>
      <c r="BN5" s="818" t="s">
        <v>2132</v>
      </c>
      <c r="BO5" s="818" t="s">
        <v>2133</v>
      </c>
      <c r="BP5" s="818" t="s">
        <v>2134</v>
      </c>
      <c r="BQ5" s="818" t="s">
        <v>2135</v>
      </c>
      <c r="BR5" s="818" t="s">
        <v>2136</v>
      </c>
      <c r="BS5" s="818" t="s">
        <v>2137</v>
      </c>
      <c r="BT5" s="818" t="s">
        <v>2138</v>
      </c>
      <c r="BU5" s="818" t="s">
        <v>2139</v>
      </c>
      <c r="BV5" s="818" t="s">
        <v>2140</v>
      </c>
      <c r="BW5" s="818" t="s">
        <v>2141</v>
      </c>
      <c r="BX5" s="818" t="s">
        <v>2142</v>
      </c>
      <c r="BY5" s="818" t="s">
        <v>2143</v>
      </c>
      <c r="BZ5" s="818" t="s">
        <v>2144</v>
      </c>
      <c r="CA5" s="818" t="s">
        <v>2224</v>
      </c>
      <c r="CB5" s="818" t="s">
        <v>2225</v>
      </c>
      <c r="CC5" s="818" t="s">
        <v>2226</v>
      </c>
      <c r="CD5" s="818" t="s">
        <v>2227</v>
      </c>
      <c r="CE5" s="818" t="s">
        <v>2228</v>
      </c>
      <c r="CF5" s="818" t="s">
        <v>2229</v>
      </c>
      <c r="CG5" s="1498"/>
      <c r="CH5" s="837" t="s">
        <v>69</v>
      </c>
      <c r="CI5" s="818" t="s">
        <v>2128</v>
      </c>
      <c r="CJ5" s="818" t="s">
        <v>2129</v>
      </c>
      <c r="CK5" s="818" t="s">
        <v>2130</v>
      </c>
      <c r="CL5" s="818" t="s">
        <v>2131</v>
      </c>
      <c r="CM5" s="818" t="s">
        <v>2132</v>
      </c>
      <c r="CN5" s="818" t="s">
        <v>2133</v>
      </c>
      <c r="CO5" s="818" t="s">
        <v>2134</v>
      </c>
      <c r="CP5" s="818" t="s">
        <v>2135</v>
      </c>
      <c r="CQ5" s="818" t="s">
        <v>2136</v>
      </c>
      <c r="CR5" s="818" t="s">
        <v>2137</v>
      </c>
      <c r="CS5" s="818" t="s">
        <v>2138</v>
      </c>
      <c r="CT5" s="818" t="s">
        <v>2139</v>
      </c>
      <c r="CU5" s="818" t="s">
        <v>2140</v>
      </c>
      <c r="CV5" s="818" t="s">
        <v>2141</v>
      </c>
      <c r="CW5" s="818" t="s">
        <v>2142</v>
      </c>
      <c r="CX5" s="818" t="s">
        <v>2143</v>
      </c>
      <c r="CY5" s="818" t="s">
        <v>2144</v>
      </c>
      <c r="CZ5" s="818" t="s">
        <v>2224</v>
      </c>
      <c r="DA5" s="818" t="s">
        <v>2225</v>
      </c>
      <c r="DB5" s="818" t="s">
        <v>2226</v>
      </c>
      <c r="DC5" s="818" t="s">
        <v>2227</v>
      </c>
      <c r="DD5" s="818" t="s">
        <v>2228</v>
      </c>
      <c r="DE5" s="818" t="s">
        <v>2229</v>
      </c>
      <c r="DF5" s="835" t="s">
        <v>2128</v>
      </c>
      <c r="DG5" s="818" t="s">
        <v>2129</v>
      </c>
      <c r="DH5" s="818" t="s">
        <v>2130</v>
      </c>
      <c r="DI5" s="818" t="s">
        <v>2131</v>
      </c>
      <c r="DJ5" s="818" t="s">
        <v>2132</v>
      </c>
      <c r="DK5" s="818" t="s">
        <v>2133</v>
      </c>
      <c r="DL5" s="818" t="s">
        <v>2134</v>
      </c>
      <c r="DM5" s="818" t="s">
        <v>2135</v>
      </c>
      <c r="DN5" s="818" t="s">
        <v>2136</v>
      </c>
      <c r="DO5" s="818" t="s">
        <v>2137</v>
      </c>
      <c r="DP5" s="818" t="s">
        <v>2138</v>
      </c>
      <c r="DQ5" s="818" t="s">
        <v>2139</v>
      </c>
      <c r="DR5" s="818" t="s">
        <v>2140</v>
      </c>
      <c r="DS5" s="818" t="s">
        <v>2141</v>
      </c>
      <c r="DT5" s="818" t="s">
        <v>2142</v>
      </c>
      <c r="DU5" s="818" t="s">
        <v>2143</v>
      </c>
      <c r="DV5" s="818" t="s">
        <v>2144</v>
      </c>
      <c r="DW5" s="818" t="s">
        <v>2224</v>
      </c>
      <c r="DX5" s="818" t="s">
        <v>2225</v>
      </c>
      <c r="DY5" s="818" t="s">
        <v>2226</v>
      </c>
      <c r="DZ5" s="818" t="s">
        <v>2227</v>
      </c>
      <c r="EA5" s="818" t="s">
        <v>2228</v>
      </c>
      <c r="EB5" s="818" t="s">
        <v>2229</v>
      </c>
      <c r="EC5" s="818" t="s">
        <v>2128</v>
      </c>
      <c r="ED5" s="818" t="s">
        <v>2129</v>
      </c>
      <c r="EE5" s="818" t="s">
        <v>2130</v>
      </c>
      <c r="EF5" s="818" t="s">
        <v>2131</v>
      </c>
      <c r="EG5" s="818" t="s">
        <v>2132</v>
      </c>
      <c r="EH5" s="818" t="s">
        <v>2133</v>
      </c>
      <c r="EI5" s="818" t="s">
        <v>2134</v>
      </c>
      <c r="EJ5" s="818" t="s">
        <v>2135</v>
      </c>
      <c r="EK5" s="818" t="s">
        <v>2136</v>
      </c>
      <c r="EL5" s="818" t="s">
        <v>2137</v>
      </c>
      <c r="EM5" s="818" t="s">
        <v>2138</v>
      </c>
      <c r="EN5" s="818" t="s">
        <v>2139</v>
      </c>
      <c r="EO5" s="818" t="s">
        <v>2140</v>
      </c>
      <c r="EP5" s="818" t="s">
        <v>2141</v>
      </c>
      <c r="EQ5" s="818" t="s">
        <v>2142</v>
      </c>
      <c r="ER5" s="818" t="s">
        <v>2143</v>
      </c>
      <c r="ES5" s="818" t="s">
        <v>2144</v>
      </c>
      <c r="ET5" s="818" t="s">
        <v>2224</v>
      </c>
      <c r="EU5" s="818" t="s">
        <v>2225</v>
      </c>
      <c r="EV5" s="818" t="s">
        <v>2226</v>
      </c>
      <c r="EW5" s="818" t="s">
        <v>2227</v>
      </c>
      <c r="EX5" s="818" t="s">
        <v>2228</v>
      </c>
      <c r="EY5" s="818" t="s">
        <v>2229</v>
      </c>
      <c r="EZ5" s="818" t="s">
        <v>2128</v>
      </c>
      <c r="FA5" s="818" t="s">
        <v>2129</v>
      </c>
      <c r="FB5" s="818" t="s">
        <v>2130</v>
      </c>
      <c r="FC5" s="818" t="s">
        <v>2131</v>
      </c>
      <c r="FD5" s="818" t="s">
        <v>2132</v>
      </c>
      <c r="FE5" s="818" t="s">
        <v>2133</v>
      </c>
      <c r="FF5" s="818" t="s">
        <v>2134</v>
      </c>
      <c r="FG5" s="818" t="s">
        <v>2135</v>
      </c>
      <c r="FH5" s="818" t="s">
        <v>2136</v>
      </c>
      <c r="FI5" s="818" t="s">
        <v>2137</v>
      </c>
      <c r="FJ5" s="818" t="s">
        <v>2138</v>
      </c>
      <c r="FK5" s="818" t="s">
        <v>2139</v>
      </c>
      <c r="FL5" s="818" t="s">
        <v>2140</v>
      </c>
      <c r="FM5" s="818" t="s">
        <v>2141</v>
      </c>
      <c r="FN5" s="818" t="s">
        <v>2142</v>
      </c>
      <c r="FO5" s="818" t="s">
        <v>2143</v>
      </c>
      <c r="FP5" s="818" t="s">
        <v>2144</v>
      </c>
      <c r="FQ5" s="818" t="s">
        <v>2224</v>
      </c>
      <c r="FR5" s="818" t="s">
        <v>2225</v>
      </c>
      <c r="FS5" s="818" t="s">
        <v>2226</v>
      </c>
      <c r="FT5" s="818" t="s">
        <v>2227</v>
      </c>
      <c r="FU5" s="818" t="s">
        <v>2228</v>
      </c>
      <c r="FV5" s="818" t="s">
        <v>2229</v>
      </c>
      <c r="FW5" s="1502"/>
      <c r="FX5" s="1502"/>
      <c r="FY5" s="1502"/>
      <c r="FZ5" s="1504"/>
    </row>
    <row r="6" spans="3:185" ht="23.25" customHeight="1">
      <c r="C6" s="1486" t="s">
        <v>185</v>
      </c>
      <c r="D6" s="1485" t="s">
        <v>9</v>
      </c>
      <c r="E6" s="1485"/>
      <c r="F6" s="1485"/>
      <c r="G6" s="838" t="s">
        <v>2230</v>
      </c>
      <c r="H6" s="839"/>
      <c r="I6" s="839"/>
      <c r="J6" s="839"/>
      <c r="K6" s="839"/>
      <c r="L6" s="839"/>
      <c r="M6" s="839"/>
      <c r="N6" s="839"/>
      <c r="O6" s="839"/>
      <c r="P6" s="839"/>
      <c r="Q6" s="839"/>
      <c r="R6" s="839"/>
      <c r="S6" s="839"/>
      <c r="T6" s="839"/>
      <c r="U6" s="839"/>
      <c r="V6" s="839"/>
      <c r="W6" s="839"/>
      <c r="X6" s="839"/>
      <c r="Y6" s="839"/>
      <c r="Z6" s="839"/>
      <c r="AA6" s="839"/>
      <c r="AB6" s="839"/>
      <c r="AC6" s="839"/>
      <c r="AD6" s="839"/>
      <c r="AE6" s="839"/>
      <c r="AF6" s="839"/>
      <c r="AG6" s="839"/>
      <c r="AH6" s="839"/>
      <c r="AI6" s="839"/>
      <c r="AJ6" s="839"/>
      <c r="AK6" s="839"/>
      <c r="AL6" s="839"/>
      <c r="AM6" s="839"/>
      <c r="AN6" s="839"/>
      <c r="AO6" s="839"/>
      <c r="AP6" s="839"/>
      <c r="AQ6" s="839"/>
      <c r="AR6" s="839"/>
      <c r="AS6" s="839"/>
      <c r="AT6" s="839"/>
      <c r="AU6" s="839"/>
      <c r="AV6" s="839"/>
      <c r="AW6" s="839"/>
      <c r="AX6" s="839"/>
      <c r="AY6" s="839"/>
      <c r="AZ6" s="839"/>
      <c r="BA6" s="839"/>
      <c r="BB6" s="839"/>
      <c r="BC6" s="839"/>
      <c r="BD6" s="839"/>
      <c r="BE6" s="839"/>
      <c r="BF6" s="839"/>
      <c r="BG6" s="839"/>
      <c r="BH6" s="839"/>
      <c r="BI6" s="839"/>
      <c r="BJ6" s="840">
        <f t="shared" ref="BJ6:BJ46" si="0">H14_事業所内使用量-H14_算定外使用量</f>
        <v>0</v>
      </c>
      <c r="BK6" s="840">
        <f t="shared" ref="BK6:BK46" si="1">H15_事業所内使用量-H15_算定外使用量</f>
        <v>0</v>
      </c>
      <c r="BL6" s="840">
        <f t="shared" ref="BL6:BL46" si="2">H16_事業所内使用量-H16_算定外使用量</f>
        <v>0</v>
      </c>
      <c r="BM6" s="840">
        <f t="shared" ref="BM6:BM46" si="3">H17_事業所内使用量-H17_算定外使用量</f>
        <v>0</v>
      </c>
      <c r="BN6" s="840">
        <f t="shared" ref="BN6:BN46" si="4">H18_事業所内使用量-H18_算定外使用量</f>
        <v>0</v>
      </c>
      <c r="BO6" s="840">
        <f t="shared" ref="BO6:BO46" si="5">H19_事業所内使用量-H19_算定外使用量</f>
        <v>0</v>
      </c>
      <c r="BP6" s="840">
        <f t="shared" ref="BP6:BP46" si="6">H20_事業所内使用量-H20_算定外使用量</f>
        <v>0</v>
      </c>
      <c r="BQ6" s="840">
        <f t="shared" ref="BQ6:BQ46" si="7">H21_事業所内使用量-H21_算定外使用量</f>
        <v>0</v>
      </c>
      <c r="BR6" s="840">
        <f t="shared" ref="BR6:BR46" si="8">H22_事業所内使用量-H22_算定外使用量</f>
        <v>0</v>
      </c>
      <c r="BS6" s="840">
        <f t="shared" ref="BS6:BS46" si="9">H23_事業所内使用量-H23_算定外使用量</f>
        <v>0</v>
      </c>
      <c r="BT6" s="840">
        <f t="shared" ref="BT6:BT46" si="10">H24_事業所内使用量-H24_算定外使用量</f>
        <v>0</v>
      </c>
      <c r="BU6" s="840">
        <f t="shared" ref="BU6:BU46" si="11">H25_事業所内使用量-H25_算定外使用量</f>
        <v>0</v>
      </c>
      <c r="BV6" s="840">
        <f t="shared" ref="BV6:BV46" si="12">H26_事業所内使用量-H26_算定外使用量</f>
        <v>0</v>
      </c>
      <c r="BW6" s="840">
        <f t="shared" ref="BW6:BW46" si="13">H27_事業所内使用量-H27_算定外使用量</f>
        <v>0</v>
      </c>
      <c r="BX6" s="840">
        <f t="shared" ref="BX6:BX46" si="14">H28_事業所内使用量-H28_算定外使用量</f>
        <v>0</v>
      </c>
      <c r="BY6" s="840">
        <f t="shared" ref="BY6:BY46" si="15">H29_事業所内使用量-H29_算定外使用量</f>
        <v>0</v>
      </c>
      <c r="BZ6" s="840">
        <f t="shared" ref="BZ6:BZ46" si="16">H30_事業所内使用量-H30_算定外使用量</f>
        <v>0</v>
      </c>
      <c r="CA6" s="840">
        <f>AC6-BD6</f>
        <v>0</v>
      </c>
      <c r="CB6" s="840">
        <f t="shared" ref="CB6:CF21" si="17">AD6-BE6</f>
        <v>0</v>
      </c>
      <c r="CC6" s="840">
        <f t="shared" si="17"/>
        <v>0</v>
      </c>
      <c r="CD6" s="840">
        <f t="shared" si="17"/>
        <v>0</v>
      </c>
      <c r="CE6" s="840">
        <f t="shared" si="17"/>
        <v>0</v>
      </c>
      <c r="CF6" s="840">
        <f t="shared" si="17"/>
        <v>0</v>
      </c>
      <c r="CG6" s="840">
        <f t="shared" ref="CG6:CG32" si="18">VLOOKUP($G6,$GB$6:$GC$15,2,FALSE)</f>
        <v>1000</v>
      </c>
      <c r="CH6" s="841" t="s">
        <v>2231</v>
      </c>
      <c r="CI6" s="840">
        <f t="shared" ref="CI6:CI32" si="19">ROUND(H14_控除後使用量/単位補正２,0)</f>
        <v>0</v>
      </c>
      <c r="CJ6" s="840">
        <f t="shared" ref="CJ6:CJ32" si="20">ROUND(H15_控除後使用量/単位補正２,0)</f>
        <v>0</v>
      </c>
      <c r="CK6" s="840">
        <f t="shared" ref="CK6:CK32" si="21">ROUND(H16_控除後使用量/単位補正２,0)</f>
        <v>0</v>
      </c>
      <c r="CL6" s="840">
        <f t="shared" ref="CL6:CL32" si="22">ROUND(H17_控除後使用量/単位補正２,0)</f>
        <v>0</v>
      </c>
      <c r="CM6" s="840">
        <f t="shared" ref="CM6:CM32" si="23">ROUND(H18_控除後使用量/単位補正２,0)</f>
        <v>0</v>
      </c>
      <c r="CN6" s="840">
        <f t="shared" ref="CN6:CN32" si="24">ROUND(H19_控除後使用量/単位補正２,0)</f>
        <v>0</v>
      </c>
      <c r="CO6" s="840">
        <f t="shared" ref="CO6:CO32" si="25">ROUND(H20_控除後使用量/単位補正２,0)</f>
        <v>0</v>
      </c>
      <c r="CP6" s="840">
        <f t="shared" ref="CP6:CP32" si="26">ROUND(H21_控除後使用量/単位補正２,0)</f>
        <v>0</v>
      </c>
      <c r="CQ6" s="840">
        <f t="shared" ref="CQ6:CQ32" si="27">ROUND(H22_控除後使用量/単位補正２,0)</f>
        <v>0</v>
      </c>
      <c r="CR6" s="840">
        <f t="shared" ref="CR6:CR32" si="28">ROUND(H23_控除後使用量/単位補正２,0)</f>
        <v>0</v>
      </c>
      <c r="CS6" s="840">
        <f t="shared" ref="CS6:CS32" si="29">ROUND(H24_控除後使用量/単位補正２,0)</f>
        <v>0</v>
      </c>
      <c r="CT6" s="840">
        <f t="shared" ref="CT6:CT32" si="30">ROUND(H25_控除後使用量/単位補正２,0)</f>
        <v>0</v>
      </c>
      <c r="CU6" s="840">
        <f t="shared" ref="CU6:CU32" si="31">ROUND(H26_控除後使用量/単位補正２,0)</f>
        <v>0</v>
      </c>
      <c r="CV6" s="840">
        <f t="shared" ref="CV6:CV32" si="32">ROUND(H27_控除後使用量/単位補正２,0)</f>
        <v>0</v>
      </c>
      <c r="CW6" s="840">
        <f t="shared" ref="CW6:CW32" si="33">ROUND(H28_控除後使用量/単位補正２,0)</f>
        <v>0</v>
      </c>
      <c r="CX6" s="840">
        <f t="shared" ref="CX6:CX32" si="34">ROUND(H29_控除後使用量/単位補正２,0)</f>
        <v>0</v>
      </c>
      <c r="CY6" s="840">
        <f t="shared" ref="CY6:CY32" si="35">ROUND(H30_控除後使用量/単位補正２,0)</f>
        <v>0</v>
      </c>
      <c r="CZ6" s="840">
        <f t="shared" ref="CZ6:CZ32" si="36">ROUND(CA6/単位補正２,0)</f>
        <v>0</v>
      </c>
      <c r="DA6" s="840">
        <f t="shared" ref="DA6:DA32" si="37">ROUND(CB6/単位補正２,0)</f>
        <v>0</v>
      </c>
      <c r="DB6" s="840">
        <f t="shared" ref="DB6:DB32" si="38">ROUND(CC6/単位補正２,0)</f>
        <v>0</v>
      </c>
      <c r="DC6" s="840">
        <f t="shared" ref="DC6:DC32" si="39">ROUND(CD6/単位補正２,0)</f>
        <v>0</v>
      </c>
      <c r="DD6" s="840">
        <f t="shared" ref="DD6:DD32" si="40">ROUND(CE6/単位補正２,0)</f>
        <v>0</v>
      </c>
      <c r="DE6" s="840">
        <f t="shared" ref="DE6:DE32" si="41">ROUND(CF6/単位補正２,0)</f>
        <v>0</v>
      </c>
      <c r="DF6" s="840">
        <f t="shared" ref="DF6:DU21" si="42">CI6*$FW6</f>
        <v>0</v>
      </c>
      <c r="DG6" s="840">
        <f t="shared" si="42"/>
        <v>0</v>
      </c>
      <c r="DH6" s="840">
        <f t="shared" si="42"/>
        <v>0</v>
      </c>
      <c r="DI6" s="840">
        <f t="shared" si="42"/>
        <v>0</v>
      </c>
      <c r="DJ6" s="840">
        <f t="shared" si="42"/>
        <v>0</v>
      </c>
      <c r="DK6" s="840">
        <f t="shared" si="42"/>
        <v>0</v>
      </c>
      <c r="DL6" s="840">
        <f t="shared" si="42"/>
        <v>0</v>
      </c>
      <c r="DM6" s="840">
        <f t="shared" si="42"/>
        <v>0</v>
      </c>
      <c r="DN6" s="840">
        <f t="shared" si="42"/>
        <v>0</v>
      </c>
      <c r="DO6" s="840">
        <f t="shared" si="42"/>
        <v>0</v>
      </c>
      <c r="DP6" s="840">
        <f t="shared" si="42"/>
        <v>0</v>
      </c>
      <c r="DQ6" s="840">
        <f t="shared" si="42"/>
        <v>0</v>
      </c>
      <c r="DR6" s="840">
        <f t="shared" si="42"/>
        <v>0</v>
      </c>
      <c r="DS6" s="840">
        <f t="shared" si="42"/>
        <v>0</v>
      </c>
      <c r="DT6" s="840">
        <f t="shared" si="42"/>
        <v>0</v>
      </c>
      <c r="DU6" s="840">
        <f t="shared" si="42"/>
        <v>0</v>
      </c>
      <c r="DV6" s="840">
        <f t="shared" ref="DV6:EB34" si="43">CY6*$FW6</f>
        <v>0</v>
      </c>
      <c r="DW6" s="840">
        <f t="shared" si="43"/>
        <v>0</v>
      </c>
      <c r="DX6" s="840">
        <f t="shared" si="43"/>
        <v>0</v>
      </c>
      <c r="DY6" s="840">
        <f t="shared" si="43"/>
        <v>0</v>
      </c>
      <c r="DZ6" s="840">
        <f t="shared" si="43"/>
        <v>0</v>
      </c>
      <c r="EA6" s="840">
        <f t="shared" si="43"/>
        <v>0</v>
      </c>
      <c r="EB6" s="840">
        <f t="shared" si="43"/>
        <v>0</v>
      </c>
      <c r="EC6" s="840">
        <f t="shared" ref="EC6:ER21" si="44">DF6*$GC$19</f>
        <v>0</v>
      </c>
      <c r="ED6" s="840">
        <f t="shared" si="44"/>
        <v>0</v>
      </c>
      <c r="EE6" s="840">
        <f t="shared" si="44"/>
        <v>0</v>
      </c>
      <c r="EF6" s="840">
        <f t="shared" si="44"/>
        <v>0</v>
      </c>
      <c r="EG6" s="840">
        <f t="shared" si="44"/>
        <v>0</v>
      </c>
      <c r="EH6" s="840">
        <f t="shared" si="44"/>
        <v>0</v>
      </c>
      <c r="EI6" s="840">
        <f t="shared" si="44"/>
        <v>0</v>
      </c>
      <c r="EJ6" s="840">
        <f t="shared" si="44"/>
        <v>0</v>
      </c>
      <c r="EK6" s="840">
        <f t="shared" si="44"/>
        <v>0</v>
      </c>
      <c r="EL6" s="840">
        <f t="shared" si="44"/>
        <v>0</v>
      </c>
      <c r="EM6" s="840">
        <f t="shared" si="44"/>
        <v>0</v>
      </c>
      <c r="EN6" s="840">
        <f t="shared" si="44"/>
        <v>0</v>
      </c>
      <c r="EO6" s="840">
        <f t="shared" si="44"/>
        <v>0</v>
      </c>
      <c r="EP6" s="840">
        <f t="shared" si="44"/>
        <v>0</v>
      </c>
      <c r="EQ6" s="840">
        <f t="shared" si="44"/>
        <v>0</v>
      </c>
      <c r="ER6" s="840">
        <f t="shared" si="44"/>
        <v>0</v>
      </c>
      <c r="ES6" s="840">
        <f t="shared" ref="ES6:EY34" si="45">DV6*$GC$19</f>
        <v>0</v>
      </c>
      <c r="ET6" s="840">
        <f t="shared" si="45"/>
        <v>0</v>
      </c>
      <c r="EU6" s="840">
        <f t="shared" si="45"/>
        <v>0</v>
      </c>
      <c r="EV6" s="840">
        <f t="shared" si="45"/>
        <v>0</v>
      </c>
      <c r="EW6" s="840">
        <f t="shared" si="45"/>
        <v>0</v>
      </c>
      <c r="EX6" s="840">
        <f t="shared" si="45"/>
        <v>0</v>
      </c>
      <c r="EY6" s="840">
        <f t="shared" si="45"/>
        <v>0</v>
      </c>
      <c r="EZ6" s="842">
        <f t="shared" ref="EZ6:FO21" si="46">DF6*$FY6*44/12</f>
        <v>0</v>
      </c>
      <c r="FA6" s="842">
        <f t="shared" si="46"/>
        <v>0</v>
      </c>
      <c r="FB6" s="842">
        <f t="shared" si="46"/>
        <v>0</v>
      </c>
      <c r="FC6" s="842">
        <f t="shared" si="46"/>
        <v>0</v>
      </c>
      <c r="FD6" s="842">
        <f t="shared" si="46"/>
        <v>0</v>
      </c>
      <c r="FE6" s="842">
        <f t="shared" si="46"/>
        <v>0</v>
      </c>
      <c r="FF6" s="842">
        <f t="shared" si="46"/>
        <v>0</v>
      </c>
      <c r="FG6" s="842">
        <f t="shared" si="46"/>
        <v>0</v>
      </c>
      <c r="FH6" s="842">
        <f t="shared" si="46"/>
        <v>0</v>
      </c>
      <c r="FI6" s="842">
        <f t="shared" si="46"/>
        <v>0</v>
      </c>
      <c r="FJ6" s="842">
        <f t="shared" si="46"/>
        <v>0</v>
      </c>
      <c r="FK6" s="842">
        <f t="shared" si="46"/>
        <v>0</v>
      </c>
      <c r="FL6" s="842">
        <f t="shared" si="46"/>
        <v>0</v>
      </c>
      <c r="FM6" s="842">
        <f t="shared" si="46"/>
        <v>0</v>
      </c>
      <c r="FN6" s="842">
        <f t="shared" si="46"/>
        <v>0</v>
      </c>
      <c r="FO6" s="842">
        <f t="shared" si="46"/>
        <v>0</v>
      </c>
      <c r="FP6" s="842">
        <f t="shared" ref="FP6:FV34" si="47">DV6*$FY6*44/12</f>
        <v>0</v>
      </c>
      <c r="FQ6" s="842">
        <f t="shared" si="47"/>
        <v>0</v>
      </c>
      <c r="FR6" s="842">
        <f t="shared" si="47"/>
        <v>0</v>
      </c>
      <c r="FS6" s="842">
        <f t="shared" si="47"/>
        <v>0</v>
      </c>
      <c r="FT6" s="842">
        <f t="shared" si="47"/>
        <v>0</v>
      </c>
      <c r="FU6" s="842">
        <f t="shared" si="47"/>
        <v>0</v>
      </c>
      <c r="FV6" s="842">
        <f t="shared" si="47"/>
        <v>0</v>
      </c>
      <c r="FW6" s="843">
        <v>38.200000000000003</v>
      </c>
      <c r="FX6" s="788" t="s">
        <v>180</v>
      </c>
      <c r="FY6" s="843">
        <v>1.8700000000000001E-2</v>
      </c>
      <c r="FZ6" s="844" t="s">
        <v>2232</v>
      </c>
      <c r="GB6" s="802" t="s">
        <v>372</v>
      </c>
      <c r="GC6" s="802">
        <v>1000</v>
      </c>
    </row>
    <row r="7" spans="3:185" ht="23.25" customHeight="1">
      <c r="C7" s="1487"/>
      <c r="D7" s="1485" t="s">
        <v>10</v>
      </c>
      <c r="E7" s="1485"/>
      <c r="F7" s="1485"/>
      <c r="G7" s="838" t="s">
        <v>2230</v>
      </c>
      <c r="H7" s="839"/>
      <c r="I7" s="839"/>
      <c r="J7" s="839"/>
      <c r="K7" s="839"/>
      <c r="L7" s="839"/>
      <c r="M7" s="839"/>
      <c r="N7" s="839"/>
      <c r="O7" s="839"/>
      <c r="P7" s="839"/>
      <c r="Q7" s="839"/>
      <c r="R7" s="839"/>
      <c r="S7" s="839"/>
      <c r="T7" s="839"/>
      <c r="U7" s="839"/>
      <c r="V7" s="839"/>
      <c r="W7" s="839"/>
      <c r="X7" s="839"/>
      <c r="Y7" s="839"/>
      <c r="Z7" s="839"/>
      <c r="AA7" s="839"/>
      <c r="AB7" s="839"/>
      <c r="AC7" s="839"/>
      <c r="AD7" s="839"/>
      <c r="AE7" s="839"/>
      <c r="AF7" s="839"/>
      <c r="AG7" s="839"/>
      <c r="AH7" s="839"/>
      <c r="AI7" s="839"/>
      <c r="AJ7" s="839"/>
      <c r="AK7" s="839"/>
      <c r="AL7" s="839"/>
      <c r="AM7" s="839"/>
      <c r="AN7" s="839"/>
      <c r="AO7" s="839"/>
      <c r="AP7" s="839"/>
      <c r="AQ7" s="839"/>
      <c r="AR7" s="839"/>
      <c r="AS7" s="839"/>
      <c r="AT7" s="839"/>
      <c r="AU7" s="839"/>
      <c r="AV7" s="839"/>
      <c r="AW7" s="839"/>
      <c r="AX7" s="839"/>
      <c r="AY7" s="839"/>
      <c r="AZ7" s="839"/>
      <c r="BA7" s="839"/>
      <c r="BB7" s="839"/>
      <c r="BC7" s="839"/>
      <c r="BD7" s="839"/>
      <c r="BE7" s="839"/>
      <c r="BF7" s="839"/>
      <c r="BG7" s="839"/>
      <c r="BH7" s="839"/>
      <c r="BI7" s="839"/>
      <c r="BJ7" s="840">
        <f t="shared" si="0"/>
        <v>0</v>
      </c>
      <c r="BK7" s="840">
        <f t="shared" si="1"/>
        <v>0</v>
      </c>
      <c r="BL7" s="840">
        <f t="shared" si="2"/>
        <v>0</v>
      </c>
      <c r="BM7" s="840">
        <f t="shared" si="3"/>
        <v>0</v>
      </c>
      <c r="BN7" s="840">
        <f t="shared" si="4"/>
        <v>0</v>
      </c>
      <c r="BO7" s="840">
        <f t="shared" si="5"/>
        <v>0</v>
      </c>
      <c r="BP7" s="840">
        <f t="shared" si="6"/>
        <v>0</v>
      </c>
      <c r="BQ7" s="840">
        <f t="shared" si="7"/>
        <v>0</v>
      </c>
      <c r="BR7" s="840">
        <f t="shared" si="8"/>
        <v>0</v>
      </c>
      <c r="BS7" s="840">
        <f t="shared" si="9"/>
        <v>0</v>
      </c>
      <c r="BT7" s="840">
        <f t="shared" si="10"/>
        <v>0</v>
      </c>
      <c r="BU7" s="840">
        <f t="shared" si="11"/>
        <v>0</v>
      </c>
      <c r="BV7" s="840">
        <f t="shared" si="12"/>
        <v>0</v>
      </c>
      <c r="BW7" s="840">
        <f t="shared" si="13"/>
        <v>0</v>
      </c>
      <c r="BX7" s="840">
        <f t="shared" si="14"/>
        <v>0</v>
      </c>
      <c r="BY7" s="840">
        <f t="shared" si="15"/>
        <v>0</v>
      </c>
      <c r="BZ7" s="840">
        <f t="shared" si="16"/>
        <v>0</v>
      </c>
      <c r="CA7" s="840">
        <f t="shared" ref="CA7:CF46" si="48">AC7-BD7</f>
        <v>0</v>
      </c>
      <c r="CB7" s="840">
        <f t="shared" si="17"/>
        <v>0</v>
      </c>
      <c r="CC7" s="840">
        <f t="shared" si="17"/>
        <v>0</v>
      </c>
      <c r="CD7" s="840">
        <f t="shared" si="17"/>
        <v>0</v>
      </c>
      <c r="CE7" s="840">
        <f t="shared" si="17"/>
        <v>0</v>
      </c>
      <c r="CF7" s="840">
        <f t="shared" si="17"/>
        <v>0</v>
      </c>
      <c r="CG7" s="840">
        <f t="shared" si="18"/>
        <v>1000</v>
      </c>
      <c r="CH7" s="841" t="s">
        <v>2231</v>
      </c>
      <c r="CI7" s="840">
        <f t="shared" si="19"/>
        <v>0</v>
      </c>
      <c r="CJ7" s="840">
        <f t="shared" si="20"/>
        <v>0</v>
      </c>
      <c r="CK7" s="840">
        <f t="shared" si="21"/>
        <v>0</v>
      </c>
      <c r="CL7" s="840">
        <f t="shared" si="22"/>
        <v>0</v>
      </c>
      <c r="CM7" s="840">
        <f t="shared" si="23"/>
        <v>0</v>
      </c>
      <c r="CN7" s="840">
        <f t="shared" si="24"/>
        <v>0</v>
      </c>
      <c r="CO7" s="840">
        <f t="shared" si="25"/>
        <v>0</v>
      </c>
      <c r="CP7" s="840">
        <f t="shared" si="26"/>
        <v>0</v>
      </c>
      <c r="CQ7" s="840">
        <f t="shared" si="27"/>
        <v>0</v>
      </c>
      <c r="CR7" s="840">
        <f t="shared" si="28"/>
        <v>0</v>
      </c>
      <c r="CS7" s="840">
        <f t="shared" si="29"/>
        <v>0</v>
      </c>
      <c r="CT7" s="840">
        <f t="shared" si="30"/>
        <v>0</v>
      </c>
      <c r="CU7" s="840">
        <f t="shared" si="31"/>
        <v>0</v>
      </c>
      <c r="CV7" s="840">
        <f t="shared" si="32"/>
        <v>0</v>
      </c>
      <c r="CW7" s="840">
        <f t="shared" si="33"/>
        <v>0</v>
      </c>
      <c r="CX7" s="840">
        <f t="shared" si="34"/>
        <v>0</v>
      </c>
      <c r="CY7" s="840">
        <f t="shared" si="35"/>
        <v>0</v>
      </c>
      <c r="CZ7" s="840">
        <f t="shared" si="36"/>
        <v>0</v>
      </c>
      <c r="DA7" s="840">
        <f t="shared" si="37"/>
        <v>0</v>
      </c>
      <c r="DB7" s="840">
        <f t="shared" si="38"/>
        <v>0</v>
      </c>
      <c r="DC7" s="840">
        <f t="shared" si="39"/>
        <v>0</v>
      </c>
      <c r="DD7" s="840">
        <f t="shared" si="40"/>
        <v>0</v>
      </c>
      <c r="DE7" s="840">
        <f t="shared" si="41"/>
        <v>0</v>
      </c>
      <c r="DF7" s="840">
        <f t="shared" si="42"/>
        <v>0</v>
      </c>
      <c r="DG7" s="840">
        <f t="shared" si="42"/>
        <v>0</v>
      </c>
      <c r="DH7" s="840">
        <f t="shared" si="42"/>
        <v>0</v>
      </c>
      <c r="DI7" s="840">
        <f t="shared" si="42"/>
        <v>0</v>
      </c>
      <c r="DJ7" s="840">
        <f t="shared" si="42"/>
        <v>0</v>
      </c>
      <c r="DK7" s="840">
        <f t="shared" si="42"/>
        <v>0</v>
      </c>
      <c r="DL7" s="840">
        <f t="shared" si="42"/>
        <v>0</v>
      </c>
      <c r="DM7" s="840">
        <f t="shared" si="42"/>
        <v>0</v>
      </c>
      <c r="DN7" s="840">
        <f t="shared" si="42"/>
        <v>0</v>
      </c>
      <c r="DO7" s="840">
        <f t="shared" si="42"/>
        <v>0</v>
      </c>
      <c r="DP7" s="840">
        <f t="shared" si="42"/>
        <v>0</v>
      </c>
      <c r="DQ7" s="840">
        <f t="shared" si="42"/>
        <v>0</v>
      </c>
      <c r="DR7" s="840">
        <f t="shared" si="42"/>
        <v>0</v>
      </c>
      <c r="DS7" s="840">
        <f t="shared" si="42"/>
        <v>0</v>
      </c>
      <c r="DT7" s="840">
        <f t="shared" si="42"/>
        <v>0</v>
      </c>
      <c r="DU7" s="840">
        <f t="shared" si="42"/>
        <v>0</v>
      </c>
      <c r="DV7" s="840">
        <f t="shared" si="43"/>
        <v>0</v>
      </c>
      <c r="DW7" s="840">
        <f t="shared" si="43"/>
        <v>0</v>
      </c>
      <c r="DX7" s="840">
        <f t="shared" si="43"/>
        <v>0</v>
      </c>
      <c r="DY7" s="840">
        <f t="shared" si="43"/>
        <v>0</v>
      </c>
      <c r="DZ7" s="840">
        <f t="shared" si="43"/>
        <v>0</v>
      </c>
      <c r="EA7" s="840">
        <f t="shared" si="43"/>
        <v>0</v>
      </c>
      <c r="EB7" s="840">
        <f t="shared" si="43"/>
        <v>0</v>
      </c>
      <c r="EC7" s="840">
        <f t="shared" si="44"/>
        <v>0</v>
      </c>
      <c r="ED7" s="840">
        <f t="shared" si="44"/>
        <v>0</v>
      </c>
      <c r="EE7" s="840">
        <f t="shared" si="44"/>
        <v>0</v>
      </c>
      <c r="EF7" s="840">
        <f t="shared" si="44"/>
        <v>0</v>
      </c>
      <c r="EG7" s="840">
        <f t="shared" si="44"/>
        <v>0</v>
      </c>
      <c r="EH7" s="840">
        <f t="shared" si="44"/>
        <v>0</v>
      </c>
      <c r="EI7" s="840">
        <f t="shared" si="44"/>
        <v>0</v>
      </c>
      <c r="EJ7" s="840">
        <f t="shared" si="44"/>
        <v>0</v>
      </c>
      <c r="EK7" s="840">
        <f t="shared" si="44"/>
        <v>0</v>
      </c>
      <c r="EL7" s="840">
        <f t="shared" si="44"/>
        <v>0</v>
      </c>
      <c r="EM7" s="840">
        <f t="shared" si="44"/>
        <v>0</v>
      </c>
      <c r="EN7" s="840">
        <f t="shared" si="44"/>
        <v>0</v>
      </c>
      <c r="EO7" s="840">
        <f t="shared" si="44"/>
        <v>0</v>
      </c>
      <c r="EP7" s="840">
        <f t="shared" si="44"/>
        <v>0</v>
      </c>
      <c r="EQ7" s="840">
        <f t="shared" si="44"/>
        <v>0</v>
      </c>
      <c r="ER7" s="840">
        <f t="shared" si="44"/>
        <v>0</v>
      </c>
      <c r="ES7" s="840">
        <f t="shared" si="45"/>
        <v>0</v>
      </c>
      <c r="ET7" s="840">
        <f t="shared" si="45"/>
        <v>0</v>
      </c>
      <c r="EU7" s="840">
        <f t="shared" si="45"/>
        <v>0</v>
      </c>
      <c r="EV7" s="840">
        <f t="shared" si="45"/>
        <v>0</v>
      </c>
      <c r="EW7" s="840">
        <f t="shared" si="45"/>
        <v>0</v>
      </c>
      <c r="EX7" s="840">
        <f t="shared" si="45"/>
        <v>0</v>
      </c>
      <c r="EY7" s="840">
        <f t="shared" si="45"/>
        <v>0</v>
      </c>
      <c r="EZ7" s="842">
        <f t="shared" si="46"/>
        <v>0</v>
      </c>
      <c r="FA7" s="842">
        <f t="shared" si="46"/>
        <v>0</v>
      </c>
      <c r="FB7" s="842">
        <f t="shared" si="46"/>
        <v>0</v>
      </c>
      <c r="FC7" s="842">
        <f t="shared" si="46"/>
        <v>0</v>
      </c>
      <c r="FD7" s="842">
        <f t="shared" si="46"/>
        <v>0</v>
      </c>
      <c r="FE7" s="842">
        <f t="shared" si="46"/>
        <v>0</v>
      </c>
      <c r="FF7" s="842">
        <f t="shared" si="46"/>
        <v>0</v>
      </c>
      <c r="FG7" s="842">
        <f t="shared" si="46"/>
        <v>0</v>
      </c>
      <c r="FH7" s="842">
        <f t="shared" si="46"/>
        <v>0</v>
      </c>
      <c r="FI7" s="842">
        <f t="shared" si="46"/>
        <v>0</v>
      </c>
      <c r="FJ7" s="842">
        <f t="shared" si="46"/>
        <v>0</v>
      </c>
      <c r="FK7" s="842">
        <f t="shared" si="46"/>
        <v>0</v>
      </c>
      <c r="FL7" s="842">
        <f t="shared" si="46"/>
        <v>0</v>
      </c>
      <c r="FM7" s="842">
        <f t="shared" si="46"/>
        <v>0</v>
      </c>
      <c r="FN7" s="842">
        <f t="shared" si="46"/>
        <v>0</v>
      </c>
      <c r="FO7" s="842">
        <f t="shared" si="46"/>
        <v>0</v>
      </c>
      <c r="FP7" s="842">
        <f t="shared" si="47"/>
        <v>0</v>
      </c>
      <c r="FQ7" s="842">
        <f t="shared" si="47"/>
        <v>0</v>
      </c>
      <c r="FR7" s="842">
        <f t="shared" si="47"/>
        <v>0</v>
      </c>
      <c r="FS7" s="842">
        <f t="shared" si="47"/>
        <v>0</v>
      </c>
      <c r="FT7" s="842">
        <f t="shared" si="47"/>
        <v>0</v>
      </c>
      <c r="FU7" s="842">
        <f t="shared" si="47"/>
        <v>0</v>
      </c>
      <c r="FV7" s="842">
        <f t="shared" si="47"/>
        <v>0</v>
      </c>
      <c r="FW7" s="843">
        <v>35.299999999999997</v>
      </c>
      <c r="FX7" s="788" t="s">
        <v>180</v>
      </c>
      <c r="FY7" s="843">
        <v>1.84E-2</v>
      </c>
      <c r="FZ7" s="844" t="s">
        <v>2232</v>
      </c>
      <c r="GB7" s="802" t="s">
        <v>8</v>
      </c>
      <c r="GC7" s="802">
        <v>1</v>
      </c>
    </row>
    <row r="8" spans="3:185" ht="23.25" customHeight="1">
      <c r="C8" s="1487"/>
      <c r="D8" s="1485" t="s">
        <v>11</v>
      </c>
      <c r="E8" s="1485"/>
      <c r="F8" s="1485"/>
      <c r="G8" s="838" t="s">
        <v>8</v>
      </c>
      <c r="H8" s="839"/>
      <c r="I8" s="839"/>
      <c r="J8" s="839"/>
      <c r="K8" s="839"/>
      <c r="L8" s="839"/>
      <c r="M8" s="839"/>
      <c r="N8" s="839"/>
      <c r="O8" s="839"/>
      <c r="P8" s="839"/>
      <c r="Q8" s="839"/>
      <c r="R8" s="839"/>
      <c r="S8" s="839"/>
      <c r="T8" s="839"/>
      <c r="U8" s="839"/>
      <c r="V8" s="839"/>
      <c r="W8" s="839"/>
      <c r="X8" s="839"/>
      <c r="Y8" s="839"/>
      <c r="Z8" s="839"/>
      <c r="AA8" s="839"/>
      <c r="AB8" s="839"/>
      <c r="AC8" s="839"/>
      <c r="AD8" s="839"/>
      <c r="AE8" s="839"/>
      <c r="AF8" s="839"/>
      <c r="AG8" s="839"/>
      <c r="AH8" s="839"/>
      <c r="AI8" s="839"/>
      <c r="AJ8" s="839"/>
      <c r="AK8" s="839"/>
      <c r="AL8" s="839"/>
      <c r="AM8" s="839"/>
      <c r="AN8" s="839"/>
      <c r="AO8" s="839"/>
      <c r="AP8" s="839"/>
      <c r="AQ8" s="839"/>
      <c r="AR8" s="839"/>
      <c r="AS8" s="839"/>
      <c r="AT8" s="839"/>
      <c r="AU8" s="839"/>
      <c r="AV8" s="839"/>
      <c r="AW8" s="839"/>
      <c r="AX8" s="839"/>
      <c r="AY8" s="839"/>
      <c r="AZ8" s="839"/>
      <c r="BA8" s="839"/>
      <c r="BB8" s="839"/>
      <c r="BC8" s="839"/>
      <c r="BD8" s="839"/>
      <c r="BE8" s="839"/>
      <c r="BF8" s="839"/>
      <c r="BG8" s="839"/>
      <c r="BH8" s="839"/>
      <c r="BI8" s="839"/>
      <c r="BJ8" s="840">
        <f t="shared" si="0"/>
        <v>0</v>
      </c>
      <c r="BK8" s="840">
        <f t="shared" si="1"/>
        <v>0</v>
      </c>
      <c r="BL8" s="840">
        <f t="shared" si="2"/>
        <v>0</v>
      </c>
      <c r="BM8" s="840">
        <f t="shared" si="3"/>
        <v>0</v>
      </c>
      <c r="BN8" s="840">
        <f t="shared" si="4"/>
        <v>0</v>
      </c>
      <c r="BO8" s="840">
        <f t="shared" si="5"/>
        <v>0</v>
      </c>
      <c r="BP8" s="840">
        <f t="shared" si="6"/>
        <v>0</v>
      </c>
      <c r="BQ8" s="840">
        <f t="shared" si="7"/>
        <v>0</v>
      </c>
      <c r="BR8" s="840">
        <f t="shared" si="8"/>
        <v>0</v>
      </c>
      <c r="BS8" s="840">
        <f t="shared" si="9"/>
        <v>0</v>
      </c>
      <c r="BT8" s="840">
        <f t="shared" si="10"/>
        <v>0</v>
      </c>
      <c r="BU8" s="840">
        <f t="shared" si="11"/>
        <v>0</v>
      </c>
      <c r="BV8" s="840">
        <f t="shared" si="12"/>
        <v>0</v>
      </c>
      <c r="BW8" s="840">
        <f t="shared" si="13"/>
        <v>0</v>
      </c>
      <c r="BX8" s="840">
        <f t="shared" si="14"/>
        <v>0</v>
      </c>
      <c r="BY8" s="840">
        <f t="shared" si="15"/>
        <v>0</v>
      </c>
      <c r="BZ8" s="840">
        <f t="shared" si="16"/>
        <v>0</v>
      </c>
      <c r="CA8" s="840">
        <f t="shared" si="48"/>
        <v>0</v>
      </c>
      <c r="CB8" s="840">
        <f t="shared" si="17"/>
        <v>0</v>
      </c>
      <c r="CC8" s="840">
        <f t="shared" si="17"/>
        <v>0</v>
      </c>
      <c r="CD8" s="840">
        <f t="shared" si="17"/>
        <v>0</v>
      </c>
      <c r="CE8" s="840">
        <f t="shared" si="17"/>
        <v>0</v>
      </c>
      <c r="CF8" s="840">
        <f t="shared" si="17"/>
        <v>0</v>
      </c>
      <c r="CG8" s="840">
        <f t="shared" si="18"/>
        <v>1</v>
      </c>
      <c r="CH8" s="841" t="s">
        <v>2231</v>
      </c>
      <c r="CI8" s="840">
        <f t="shared" si="19"/>
        <v>0</v>
      </c>
      <c r="CJ8" s="840">
        <f t="shared" si="20"/>
        <v>0</v>
      </c>
      <c r="CK8" s="840">
        <f t="shared" si="21"/>
        <v>0</v>
      </c>
      <c r="CL8" s="840">
        <f t="shared" si="22"/>
        <v>0</v>
      </c>
      <c r="CM8" s="840">
        <f t="shared" si="23"/>
        <v>0</v>
      </c>
      <c r="CN8" s="840">
        <f t="shared" si="24"/>
        <v>0</v>
      </c>
      <c r="CO8" s="840">
        <f t="shared" si="25"/>
        <v>0</v>
      </c>
      <c r="CP8" s="840">
        <f t="shared" si="26"/>
        <v>0</v>
      </c>
      <c r="CQ8" s="840">
        <f t="shared" si="27"/>
        <v>0</v>
      </c>
      <c r="CR8" s="840">
        <f t="shared" si="28"/>
        <v>0</v>
      </c>
      <c r="CS8" s="840">
        <f t="shared" si="29"/>
        <v>0</v>
      </c>
      <c r="CT8" s="840">
        <f t="shared" si="30"/>
        <v>0</v>
      </c>
      <c r="CU8" s="840">
        <f t="shared" si="31"/>
        <v>0</v>
      </c>
      <c r="CV8" s="840">
        <f t="shared" si="32"/>
        <v>0</v>
      </c>
      <c r="CW8" s="840">
        <f t="shared" si="33"/>
        <v>0</v>
      </c>
      <c r="CX8" s="840">
        <f t="shared" si="34"/>
        <v>0</v>
      </c>
      <c r="CY8" s="840">
        <f t="shared" si="35"/>
        <v>0</v>
      </c>
      <c r="CZ8" s="840">
        <f t="shared" si="36"/>
        <v>0</v>
      </c>
      <c r="DA8" s="840">
        <f t="shared" si="37"/>
        <v>0</v>
      </c>
      <c r="DB8" s="840">
        <f t="shared" si="38"/>
        <v>0</v>
      </c>
      <c r="DC8" s="840">
        <f t="shared" si="39"/>
        <v>0</v>
      </c>
      <c r="DD8" s="840">
        <f t="shared" si="40"/>
        <v>0</v>
      </c>
      <c r="DE8" s="840">
        <f t="shared" si="41"/>
        <v>0</v>
      </c>
      <c r="DF8" s="840">
        <f t="shared" si="42"/>
        <v>0</v>
      </c>
      <c r="DG8" s="840">
        <f t="shared" si="42"/>
        <v>0</v>
      </c>
      <c r="DH8" s="840">
        <f t="shared" si="42"/>
        <v>0</v>
      </c>
      <c r="DI8" s="840">
        <f t="shared" si="42"/>
        <v>0</v>
      </c>
      <c r="DJ8" s="840">
        <f t="shared" si="42"/>
        <v>0</v>
      </c>
      <c r="DK8" s="840">
        <f t="shared" si="42"/>
        <v>0</v>
      </c>
      <c r="DL8" s="840">
        <f t="shared" si="42"/>
        <v>0</v>
      </c>
      <c r="DM8" s="840">
        <f t="shared" si="42"/>
        <v>0</v>
      </c>
      <c r="DN8" s="840">
        <f t="shared" si="42"/>
        <v>0</v>
      </c>
      <c r="DO8" s="840">
        <f t="shared" si="42"/>
        <v>0</v>
      </c>
      <c r="DP8" s="840">
        <f t="shared" si="42"/>
        <v>0</v>
      </c>
      <c r="DQ8" s="840">
        <f t="shared" si="42"/>
        <v>0</v>
      </c>
      <c r="DR8" s="840">
        <f t="shared" si="42"/>
        <v>0</v>
      </c>
      <c r="DS8" s="840">
        <f t="shared" si="42"/>
        <v>0</v>
      </c>
      <c r="DT8" s="840">
        <f t="shared" si="42"/>
        <v>0</v>
      </c>
      <c r="DU8" s="840">
        <f t="shared" si="42"/>
        <v>0</v>
      </c>
      <c r="DV8" s="840">
        <f t="shared" si="43"/>
        <v>0</v>
      </c>
      <c r="DW8" s="840">
        <f t="shared" si="43"/>
        <v>0</v>
      </c>
      <c r="DX8" s="840">
        <f t="shared" si="43"/>
        <v>0</v>
      </c>
      <c r="DY8" s="840">
        <f t="shared" si="43"/>
        <v>0</v>
      </c>
      <c r="DZ8" s="840">
        <f t="shared" si="43"/>
        <v>0</v>
      </c>
      <c r="EA8" s="840">
        <f t="shared" si="43"/>
        <v>0</v>
      </c>
      <c r="EB8" s="840">
        <f t="shared" si="43"/>
        <v>0</v>
      </c>
      <c r="EC8" s="840">
        <f t="shared" si="44"/>
        <v>0</v>
      </c>
      <c r="ED8" s="840">
        <f t="shared" si="44"/>
        <v>0</v>
      </c>
      <c r="EE8" s="840">
        <f t="shared" si="44"/>
        <v>0</v>
      </c>
      <c r="EF8" s="840">
        <f t="shared" si="44"/>
        <v>0</v>
      </c>
      <c r="EG8" s="840">
        <f t="shared" si="44"/>
        <v>0</v>
      </c>
      <c r="EH8" s="840">
        <f t="shared" si="44"/>
        <v>0</v>
      </c>
      <c r="EI8" s="840">
        <f t="shared" si="44"/>
        <v>0</v>
      </c>
      <c r="EJ8" s="840">
        <f t="shared" si="44"/>
        <v>0</v>
      </c>
      <c r="EK8" s="840">
        <f t="shared" si="44"/>
        <v>0</v>
      </c>
      <c r="EL8" s="840">
        <f t="shared" si="44"/>
        <v>0</v>
      </c>
      <c r="EM8" s="840">
        <f t="shared" si="44"/>
        <v>0</v>
      </c>
      <c r="EN8" s="840">
        <f t="shared" si="44"/>
        <v>0</v>
      </c>
      <c r="EO8" s="840">
        <f t="shared" si="44"/>
        <v>0</v>
      </c>
      <c r="EP8" s="840">
        <f t="shared" si="44"/>
        <v>0</v>
      </c>
      <c r="EQ8" s="840">
        <f t="shared" si="44"/>
        <v>0</v>
      </c>
      <c r="ER8" s="840">
        <f t="shared" si="44"/>
        <v>0</v>
      </c>
      <c r="ES8" s="840">
        <f t="shared" si="45"/>
        <v>0</v>
      </c>
      <c r="ET8" s="840">
        <f t="shared" si="45"/>
        <v>0</v>
      </c>
      <c r="EU8" s="840">
        <f t="shared" si="45"/>
        <v>0</v>
      </c>
      <c r="EV8" s="840">
        <f t="shared" si="45"/>
        <v>0</v>
      </c>
      <c r="EW8" s="840">
        <f t="shared" si="45"/>
        <v>0</v>
      </c>
      <c r="EX8" s="840">
        <f t="shared" si="45"/>
        <v>0</v>
      </c>
      <c r="EY8" s="840">
        <f t="shared" si="45"/>
        <v>0</v>
      </c>
      <c r="EZ8" s="842">
        <f t="shared" si="46"/>
        <v>0</v>
      </c>
      <c r="FA8" s="842">
        <f t="shared" si="46"/>
        <v>0</v>
      </c>
      <c r="FB8" s="842">
        <f t="shared" si="46"/>
        <v>0</v>
      </c>
      <c r="FC8" s="842">
        <f t="shared" si="46"/>
        <v>0</v>
      </c>
      <c r="FD8" s="842">
        <f t="shared" si="46"/>
        <v>0</v>
      </c>
      <c r="FE8" s="842">
        <f t="shared" si="46"/>
        <v>0</v>
      </c>
      <c r="FF8" s="842">
        <f t="shared" si="46"/>
        <v>0</v>
      </c>
      <c r="FG8" s="842">
        <f t="shared" si="46"/>
        <v>0</v>
      </c>
      <c r="FH8" s="842">
        <f t="shared" si="46"/>
        <v>0</v>
      </c>
      <c r="FI8" s="842">
        <f t="shared" si="46"/>
        <v>0</v>
      </c>
      <c r="FJ8" s="842">
        <f t="shared" si="46"/>
        <v>0</v>
      </c>
      <c r="FK8" s="842">
        <f t="shared" si="46"/>
        <v>0</v>
      </c>
      <c r="FL8" s="842">
        <f t="shared" si="46"/>
        <v>0</v>
      </c>
      <c r="FM8" s="842">
        <f t="shared" si="46"/>
        <v>0</v>
      </c>
      <c r="FN8" s="842">
        <f t="shared" si="46"/>
        <v>0</v>
      </c>
      <c r="FO8" s="842">
        <f t="shared" si="46"/>
        <v>0</v>
      </c>
      <c r="FP8" s="842">
        <f t="shared" si="47"/>
        <v>0</v>
      </c>
      <c r="FQ8" s="842">
        <f t="shared" si="47"/>
        <v>0</v>
      </c>
      <c r="FR8" s="842">
        <f t="shared" si="47"/>
        <v>0</v>
      </c>
      <c r="FS8" s="842">
        <f t="shared" si="47"/>
        <v>0</v>
      </c>
      <c r="FT8" s="842">
        <f t="shared" si="47"/>
        <v>0</v>
      </c>
      <c r="FU8" s="842">
        <f t="shared" si="47"/>
        <v>0</v>
      </c>
      <c r="FV8" s="842">
        <f t="shared" si="47"/>
        <v>0</v>
      </c>
      <c r="FW8" s="843">
        <v>34.6</v>
      </c>
      <c r="FX8" s="788" t="s">
        <v>180</v>
      </c>
      <c r="FY8" s="843">
        <v>1.83E-2</v>
      </c>
      <c r="FZ8" s="844" t="s">
        <v>2232</v>
      </c>
      <c r="GB8" s="802" t="s">
        <v>373</v>
      </c>
      <c r="GC8" s="802">
        <v>1000</v>
      </c>
    </row>
    <row r="9" spans="3:185" ht="23.25" customHeight="1">
      <c r="C9" s="1487"/>
      <c r="D9" s="1485" t="s">
        <v>13</v>
      </c>
      <c r="E9" s="1485"/>
      <c r="F9" s="1485"/>
      <c r="G9" s="838" t="s">
        <v>2230</v>
      </c>
      <c r="H9" s="839"/>
      <c r="I9" s="839"/>
      <c r="J9" s="839"/>
      <c r="K9" s="839"/>
      <c r="L9" s="839"/>
      <c r="M9" s="839"/>
      <c r="N9" s="839"/>
      <c r="O9" s="839"/>
      <c r="P9" s="839"/>
      <c r="Q9" s="839"/>
      <c r="R9" s="839"/>
      <c r="S9" s="839"/>
      <c r="T9" s="839"/>
      <c r="U9" s="839"/>
      <c r="V9" s="839"/>
      <c r="W9" s="839"/>
      <c r="X9" s="839"/>
      <c r="Y9" s="839"/>
      <c r="Z9" s="839"/>
      <c r="AA9" s="839"/>
      <c r="AB9" s="839"/>
      <c r="AC9" s="839"/>
      <c r="AD9" s="839"/>
      <c r="AE9" s="839"/>
      <c r="AF9" s="839"/>
      <c r="AG9" s="839"/>
      <c r="AH9" s="839"/>
      <c r="AI9" s="839"/>
      <c r="AJ9" s="839"/>
      <c r="AK9" s="839"/>
      <c r="AL9" s="839"/>
      <c r="AM9" s="839"/>
      <c r="AN9" s="839"/>
      <c r="AO9" s="839"/>
      <c r="AP9" s="839"/>
      <c r="AQ9" s="839"/>
      <c r="AR9" s="839"/>
      <c r="AS9" s="839"/>
      <c r="AT9" s="839"/>
      <c r="AU9" s="839"/>
      <c r="AV9" s="839"/>
      <c r="AW9" s="839"/>
      <c r="AX9" s="839"/>
      <c r="AY9" s="839"/>
      <c r="AZ9" s="839"/>
      <c r="BA9" s="839"/>
      <c r="BB9" s="839"/>
      <c r="BC9" s="839"/>
      <c r="BD9" s="839"/>
      <c r="BE9" s="839"/>
      <c r="BF9" s="839"/>
      <c r="BG9" s="839"/>
      <c r="BH9" s="839"/>
      <c r="BI9" s="839"/>
      <c r="BJ9" s="840">
        <f t="shared" si="0"/>
        <v>0</v>
      </c>
      <c r="BK9" s="840">
        <f t="shared" si="1"/>
        <v>0</v>
      </c>
      <c r="BL9" s="840">
        <f t="shared" si="2"/>
        <v>0</v>
      </c>
      <c r="BM9" s="840">
        <f t="shared" si="3"/>
        <v>0</v>
      </c>
      <c r="BN9" s="840">
        <f t="shared" si="4"/>
        <v>0</v>
      </c>
      <c r="BO9" s="840">
        <f t="shared" si="5"/>
        <v>0</v>
      </c>
      <c r="BP9" s="840">
        <f t="shared" si="6"/>
        <v>0</v>
      </c>
      <c r="BQ9" s="840">
        <f t="shared" si="7"/>
        <v>0</v>
      </c>
      <c r="BR9" s="840">
        <f t="shared" si="8"/>
        <v>0</v>
      </c>
      <c r="BS9" s="840">
        <f t="shared" si="9"/>
        <v>0</v>
      </c>
      <c r="BT9" s="840">
        <f t="shared" si="10"/>
        <v>0</v>
      </c>
      <c r="BU9" s="840">
        <f t="shared" si="11"/>
        <v>0</v>
      </c>
      <c r="BV9" s="840">
        <f t="shared" si="12"/>
        <v>0</v>
      </c>
      <c r="BW9" s="840">
        <f t="shared" si="13"/>
        <v>0</v>
      </c>
      <c r="BX9" s="840">
        <f t="shared" si="14"/>
        <v>0</v>
      </c>
      <c r="BY9" s="840">
        <f t="shared" si="15"/>
        <v>0</v>
      </c>
      <c r="BZ9" s="840">
        <f t="shared" si="16"/>
        <v>0</v>
      </c>
      <c r="CA9" s="840">
        <f t="shared" si="48"/>
        <v>0</v>
      </c>
      <c r="CB9" s="840">
        <f t="shared" si="17"/>
        <v>0</v>
      </c>
      <c r="CC9" s="840">
        <f t="shared" si="17"/>
        <v>0</v>
      </c>
      <c r="CD9" s="840">
        <f t="shared" si="17"/>
        <v>0</v>
      </c>
      <c r="CE9" s="840">
        <f t="shared" si="17"/>
        <v>0</v>
      </c>
      <c r="CF9" s="840">
        <f t="shared" si="17"/>
        <v>0</v>
      </c>
      <c r="CG9" s="840">
        <f t="shared" si="18"/>
        <v>1000</v>
      </c>
      <c r="CH9" s="841" t="s">
        <v>2231</v>
      </c>
      <c r="CI9" s="840">
        <f t="shared" si="19"/>
        <v>0</v>
      </c>
      <c r="CJ9" s="840">
        <f t="shared" si="20"/>
        <v>0</v>
      </c>
      <c r="CK9" s="840">
        <f t="shared" si="21"/>
        <v>0</v>
      </c>
      <c r="CL9" s="840">
        <f t="shared" si="22"/>
        <v>0</v>
      </c>
      <c r="CM9" s="840">
        <f t="shared" si="23"/>
        <v>0</v>
      </c>
      <c r="CN9" s="840">
        <f t="shared" si="24"/>
        <v>0</v>
      </c>
      <c r="CO9" s="840">
        <f t="shared" si="25"/>
        <v>0</v>
      </c>
      <c r="CP9" s="840">
        <f t="shared" si="26"/>
        <v>0</v>
      </c>
      <c r="CQ9" s="840">
        <f t="shared" si="27"/>
        <v>0</v>
      </c>
      <c r="CR9" s="840">
        <f t="shared" si="28"/>
        <v>0</v>
      </c>
      <c r="CS9" s="840">
        <f t="shared" si="29"/>
        <v>0</v>
      </c>
      <c r="CT9" s="840">
        <f t="shared" si="30"/>
        <v>0</v>
      </c>
      <c r="CU9" s="840">
        <f t="shared" si="31"/>
        <v>0</v>
      </c>
      <c r="CV9" s="840">
        <f t="shared" si="32"/>
        <v>0</v>
      </c>
      <c r="CW9" s="840">
        <f t="shared" si="33"/>
        <v>0</v>
      </c>
      <c r="CX9" s="840">
        <f t="shared" si="34"/>
        <v>0</v>
      </c>
      <c r="CY9" s="840">
        <f t="shared" si="35"/>
        <v>0</v>
      </c>
      <c r="CZ9" s="840">
        <f t="shared" si="36"/>
        <v>0</v>
      </c>
      <c r="DA9" s="840">
        <f t="shared" si="37"/>
        <v>0</v>
      </c>
      <c r="DB9" s="840">
        <f t="shared" si="38"/>
        <v>0</v>
      </c>
      <c r="DC9" s="840">
        <f t="shared" si="39"/>
        <v>0</v>
      </c>
      <c r="DD9" s="840">
        <f t="shared" si="40"/>
        <v>0</v>
      </c>
      <c r="DE9" s="840">
        <f t="shared" si="41"/>
        <v>0</v>
      </c>
      <c r="DF9" s="840">
        <f t="shared" si="42"/>
        <v>0</v>
      </c>
      <c r="DG9" s="840">
        <f t="shared" si="42"/>
        <v>0</v>
      </c>
      <c r="DH9" s="840">
        <f t="shared" si="42"/>
        <v>0</v>
      </c>
      <c r="DI9" s="840">
        <f t="shared" si="42"/>
        <v>0</v>
      </c>
      <c r="DJ9" s="840">
        <f t="shared" si="42"/>
        <v>0</v>
      </c>
      <c r="DK9" s="840">
        <f t="shared" si="42"/>
        <v>0</v>
      </c>
      <c r="DL9" s="840">
        <f t="shared" si="42"/>
        <v>0</v>
      </c>
      <c r="DM9" s="840">
        <f t="shared" si="42"/>
        <v>0</v>
      </c>
      <c r="DN9" s="840">
        <f t="shared" si="42"/>
        <v>0</v>
      </c>
      <c r="DO9" s="840">
        <f t="shared" si="42"/>
        <v>0</v>
      </c>
      <c r="DP9" s="840">
        <f t="shared" si="42"/>
        <v>0</v>
      </c>
      <c r="DQ9" s="840">
        <f t="shared" si="42"/>
        <v>0</v>
      </c>
      <c r="DR9" s="840">
        <f t="shared" si="42"/>
        <v>0</v>
      </c>
      <c r="DS9" s="840">
        <f t="shared" si="42"/>
        <v>0</v>
      </c>
      <c r="DT9" s="840">
        <f t="shared" si="42"/>
        <v>0</v>
      </c>
      <c r="DU9" s="840">
        <f t="shared" si="42"/>
        <v>0</v>
      </c>
      <c r="DV9" s="840">
        <f t="shared" si="43"/>
        <v>0</v>
      </c>
      <c r="DW9" s="840">
        <f t="shared" si="43"/>
        <v>0</v>
      </c>
      <c r="DX9" s="840">
        <f t="shared" si="43"/>
        <v>0</v>
      </c>
      <c r="DY9" s="840">
        <f t="shared" si="43"/>
        <v>0</v>
      </c>
      <c r="DZ9" s="840">
        <f t="shared" si="43"/>
        <v>0</v>
      </c>
      <c r="EA9" s="840">
        <f t="shared" si="43"/>
        <v>0</v>
      </c>
      <c r="EB9" s="840">
        <f t="shared" si="43"/>
        <v>0</v>
      </c>
      <c r="EC9" s="840">
        <f t="shared" si="44"/>
        <v>0</v>
      </c>
      <c r="ED9" s="840">
        <f t="shared" si="44"/>
        <v>0</v>
      </c>
      <c r="EE9" s="840">
        <f t="shared" si="44"/>
        <v>0</v>
      </c>
      <c r="EF9" s="840">
        <f t="shared" si="44"/>
        <v>0</v>
      </c>
      <c r="EG9" s="840">
        <f t="shared" si="44"/>
        <v>0</v>
      </c>
      <c r="EH9" s="840">
        <f t="shared" si="44"/>
        <v>0</v>
      </c>
      <c r="EI9" s="840">
        <f t="shared" si="44"/>
        <v>0</v>
      </c>
      <c r="EJ9" s="840">
        <f t="shared" si="44"/>
        <v>0</v>
      </c>
      <c r="EK9" s="840">
        <f t="shared" si="44"/>
        <v>0</v>
      </c>
      <c r="EL9" s="840">
        <f t="shared" si="44"/>
        <v>0</v>
      </c>
      <c r="EM9" s="840">
        <f t="shared" si="44"/>
        <v>0</v>
      </c>
      <c r="EN9" s="840">
        <f t="shared" si="44"/>
        <v>0</v>
      </c>
      <c r="EO9" s="840">
        <f t="shared" si="44"/>
        <v>0</v>
      </c>
      <c r="EP9" s="840">
        <f t="shared" si="44"/>
        <v>0</v>
      </c>
      <c r="EQ9" s="840">
        <f t="shared" si="44"/>
        <v>0</v>
      </c>
      <c r="ER9" s="840">
        <f t="shared" si="44"/>
        <v>0</v>
      </c>
      <c r="ES9" s="840">
        <f t="shared" si="45"/>
        <v>0</v>
      </c>
      <c r="ET9" s="840">
        <f t="shared" si="45"/>
        <v>0</v>
      </c>
      <c r="EU9" s="840">
        <f t="shared" si="45"/>
        <v>0</v>
      </c>
      <c r="EV9" s="840">
        <f t="shared" si="45"/>
        <v>0</v>
      </c>
      <c r="EW9" s="840">
        <f t="shared" si="45"/>
        <v>0</v>
      </c>
      <c r="EX9" s="840">
        <f t="shared" si="45"/>
        <v>0</v>
      </c>
      <c r="EY9" s="840">
        <f t="shared" si="45"/>
        <v>0</v>
      </c>
      <c r="EZ9" s="842">
        <f t="shared" si="46"/>
        <v>0</v>
      </c>
      <c r="FA9" s="842">
        <f t="shared" si="46"/>
        <v>0</v>
      </c>
      <c r="FB9" s="842">
        <f t="shared" si="46"/>
        <v>0</v>
      </c>
      <c r="FC9" s="842">
        <f t="shared" si="46"/>
        <v>0</v>
      </c>
      <c r="FD9" s="842">
        <f t="shared" si="46"/>
        <v>0</v>
      </c>
      <c r="FE9" s="842">
        <f t="shared" si="46"/>
        <v>0</v>
      </c>
      <c r="FF9" s="842">
        <f t="shared" si="46"/>
        <v>0</v>
      </c>
      <c r="FG9" s="842">
        <f t="shared" si="46"/>
        <v>0</v>
      </c>
      <c r="FH9" s="842">
        <f t="shared" si="46"/>
        <v>0</v>
      </c>
      <c r="FI9" s="842">
        <f t="shared" si="46"/>
        <v>0</v>
      </c>
      <c r="FJ9" s="842">
        <f t="shared" si="46"/>
        <v>0</v>
      </c>
      <c r="FK9" s="842">
        <f t="shared" si="46"/>
        <v>0</v>
      </c>
      <c r="FL9" s="842">
        <f t="shared" si="46"/>
        <v>0</v>
      </c>
      <c r="FM9" s="842">
        <f t="shared" si="46"/>
        <v>0</v>
      </c>
      <c r="FN9" s="842">
        <f t="shared" si="46"/>
        <v>0</v>
      </c>
      <c r="FO9" s="842">
        <f t="shared" si="46"/>
        <v>0</v>
      </c>
      <c r="FP9" s="842">
        <f t="shared" si="47"/>
        <v>0</v>
      </c>
      <c r="FQ9" s="842">
        <f t="shared" si="47"/>
        <v>0</v>
      </c>
      <c r="FR9" s="842">
        <f t="shared" si="47"/>
        <v>0</v>
      </c>
      <c r="FS9" s="842">
        <f t="shared" si="47"/>
        <v>0</v>
      </c>
      <c r="FT9" s="842">
        <f t="shared" si="47"/>
        <v>0</v>
      </c>
      <c r="FU9" s="842">
        <f t="shared" si="47"/>
        <v>0</v>
      </c>
      <c r="FV9" s="842">
        <f t="shared" si="47"/>
        <v>0</v>
      </c>
      <c r="FW9" s="843">
        <v>33.6</v>
      </c>
      <c r="FX9" s="788" t="s">
        <v>180</v>
      </c>
      <c r="FY9" s="843">
        <v>1.8200000000000001E-2</v>
      </c>
      <c r="FZ9" s="844" t="s">
        <v>2232</v>
      </c>
      <c r="GB9" s="802" t="s">
        <v>374</v>
      </c>
      <c r="GC9" s="802">
        <v>1</v>
      </c>
    </row>
    <row r="10" spans="3:185" ht="23.25" customHeight="1">
      <c r="C10" s="1487"/>
      <c r="D10" s="1485" t="s">
        <v>14</v>
      </c>
      <c r="E10" s="1485"/>
      <c r="F10" s="1485"/>
      <c r="G10" s="838" t="s">
        <v>2230</v>
      </c>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839"/>
      <c r="AI10" s="839"/>
      <c r="AJ10" s="839"/>
      <c r="AK10" s="839"/>
      <c r="AL10" s="839"/>
      <c r="AM10" s="839"/>
      <c r="AN10" s="839"/>
      <c r="AO10" s="839"/>
      <c r="AP10" s="839"/>
      <c r="AQ10" s="839"/>
      <c r="AR10" s="839"/>
      <c r="AS10" s="839"/>
      <c r="AT10" s="839"/>
      <c r="AU10" s="839"/>
      <c r="AV10" s="839"/>
      <c r="AW10" s="839"/>
      <c r="AX10" s="839"/>
      <c r="AY10" s="839"/>
      <c r="AZ10" s="839"/>
      <c r="BA10" s="839"/>
      <c r="BB10" s="839"/>
      <c r="BC10" s="839"/>
      <c r="BD10" s="839"/>
      <c r="BE10" s="839"/>
      <c r="BF10" s="839"/>
      <c r="BG10" s="839"/>
      <c r="BH10" s="839"/>
      <c r="BI10" s="839"/>
      <c r="BJ10" s="840">
        <f t="shared" si="0"/>
        <v>0</v>
      </c>
      <c r="BK10" s="840">
        <f t="shared" si="1"/>
        <v>0</v>
      </c>
      <c r="BL10" s="840">
        <f t="shared" si="2"/>
        <v>0</v>
      </c>
      <c r="BM10" s="840">
        <f t="shared" si="3"/>
        <v>0</v>
      </c>
      <c r="BN10" s="840">
        <f t="shared" si="4"/>
        <v>0</v>
      </c>
      <c r="BO10" s="840">
        <f t="shared" si="5"/>
        <v>0</v>
      </c>
      <c r="BP10" s="840">
        <f t="shared" si="6"/>
        <v>0</v>
      </c>
      <c r="BQ10" s="840">
        <f t="shared" si="7"/>
        <v>0</v>
      </c>
      <c r="BR10" s="840">
        <f t="shared" si="8"/>
        <v>0</v>
      </c>
      <c r="BS10" s="840">
        <f t="shared" si="9"/>
        <v>0</v>
      </c>
      <c r="BT10" s="840">
        <f t="shared" si="10"/>
        <v>0</v>
      </c>
      <c r="BU10" s="840">
        <f t="shared" si="11"/>
        <v>0</v>
      </c>
      <c r="BV10" s="840">
        <f t="shared" si="12"/>
        <v>0</v>
      </c>
      <c r="BW10" s="840">
        <f t="shared" si="13"/>
        <v>0</v>
      </c>
      <c r="BX10" s="840">
        <f t="shared" si="14"/>
        <v>0</v>
      </c>
      <c r="BY10" s="840">
        <f t="shared" si="15"/>
        <v>0</v>
      </c>
      <c r="BZ10" s="840">
        <f t="shared" si="16"/>
        <v>0</v>
      </c>
      <c r="CA10" s="840">
        <f t="shared" si="48"/>
        <v>0</v>
      </c>
      <c r="CB10" s="840">
        <f t="shared" si="17"/>
        <v>0</v>
      </c>
      <c r="CC10" s="840">
        <f t="shared" si="17"/>
        <v>0</v>
      </c>
      <c r="CD10" s="840">
        <f t="shared" si="17"/>
        <v>0</v>
      </c>
      <c r="CE10" s="840">
        <f t="shared" si="17"/>
        <v>0</v>
      </c>
      <c r="CF10" s="840">
        <f t="shared" si="17"/>
        <v>0</v>
      </c>
      <c r="CG10" s="840">
        <f t="shared" si="18"/>
        <v>1000</v>
      </c>
      <c r="CH10" s="841" t="s">
        <v>2231</v>
      </c>
      <c r="CI10" s="840">
        <f t="shared" si="19"/>
        <v>0</v>
      </c>
      <c r="CJ10" s="840">
        <f t="shared" si="20"/>
        <v>0</v>
      </c>
      <c r="CK10" s="840">
        <f t="shared" si="21"/>
        <v>0</v>
      </c>
      <c r="CL10" s="840">
        <f t="shared" si="22"/>
        <v>0</v>
      </c>
      <c r="CM10" s="840">
        <f t="shared" si="23"/>
        <v>0</v>
      </c>
      <c r="CN10" s="840">
        <f t="shared" si="24"/>
        <v>0</v>
      </c>
      <c r="CO10" s="840">
        <f t="shared" si="25"/>
        <v>0</v>
      </c>
      <c r="CP10" s="840">
        <f t="shared" si="26"/>
        <v>0</v>
      </c>
      <c r="CQ10" s="840">
        <f t="shared" si="27"/>
        <v>0</v>
      </c>
      <c r="CR10" s="840">
        <f t="shared" si="28"/>
        <v>0</v>
      </c>
      <c r="CS10" s="840">
        <f t="shared" si="29"/>
        <v>0</v>
      </c>
      <c r="CT10" s="840">
        <f t="shared" si="30"/>
        <v>0</v>
      </c>
      <c r="CU10" s="840">
        <f t="shared" si="31"/>
        <v>0</v>
      </c>
      <c r="CV10" s="840">
        <f t="shared" si="32"/>
        <v>0</v>
      </c>
      <c r="CW10" s="840">
        <f t="shared" si="33"/>
        <v>0</v>
      </c>
      <c r="CX10" s="840">
        <f t="shared" si="34"/>
        <v>0</v>
      </c>
      <c r="CY10" s="840">
        <f t="shared" si="35"/>
        <v>0</v>
      </c>
      <c r="CZ10" s="840">
        <f t="shared" si="36"/>
        <v>0</v>
      </c>
      <c r="DA10" s="840">
        <f t="shared" si="37"/>
        <v>0</v>
      </c>
      <c r="DB10" s="840">
        <f t="shared" si="38"/>
        <v>0</v>
      </c>
      <c r="DC10" s="840">
        <f t="shared" si="39"/>
        <v>0</v>
      </c>
      <c r="DD10" s="840">
        <f t="shared" si="40"/>
        <v>0</v>
      </c>
      <c r="DE10" s="840">
        <f t="shared" si="41"/>
        <v>0</v>
      </c>
      <c r="DF10" s="840">
        <f t="shared" si="42"/>
        <v>0</v>
      </c>
      <c r="DG10" s="840">
        <f t="shared" si="42"/>
        <v>0</v>
      </c>
      <c r="DH10" s="840">
        <f t="shared" si="42"/>
        <v>0</v>
      </c>
      <c r="DI10" s="840">
        <f t="shared" si="42"/>
        <v>0</v>
      </c>
      <c r="DJ10" s="840">
        <f t="shared" si="42"/>
        <v>0</v>
      </c>
      <c r="DK10" s="840">
        <f t="shared" si="42"/>
        <v>0</v>
      </c>
      <c r="DL10" s="840">
        <f t="shared" si="42"/>
        <v>0</v>
      </c>
      <c r="DM10" s="840">
        <f t="shared" si="42"/>
        <v>0</v>
      </c>
      <c r="DN10" s="840">
        <f t="shared" si="42"/>
        <v>0</v>
      </c>
      <c r="DO10" s="840">
        <f t="shared" si="42"/>
        <v>0</v>
      </c>
      <c r="DP10" s="840">
        <f t="shared" si="42"/>
        <v>0</v>
      </c>
      <c r="DQ10" s="840">
        <f t="shared" si="42"/>
        <v>0</v>
      </c>
      <c r="DR10" s="840">
        <f t="shared" si="42"/>
        <v>0</v>
      </c>
      <c r="DS10" s="840">
        <f t="shared" si="42"/>
        <v>0</v>
      </c>
      <c r="DT10" s="840">
        <f t="shared" si="42"/>
        <v>0</v>
      </c>
      <c r="DU10" s="840">
        <f t="shared" si="42"/>
        <v>0</v>
      </c>
      <c r="DV10" s="840">
        <f t="shared" si="43"/>
        <v>0</v>
      </c>
      <c r="DW10" s="840">
        <f t="shared" si="43"/>
        <v>0</v>
      </c>
      <c r="DX10" s="840">
        <f t="shared" si="43"/>
        <v>0</v>
      </c>
      <c r="DY10" s="840">
        <f t="shared" si="43"/>
        <v>0</v>
      </c>
      <c r="DZ10" s="840">
        <f t="shared" si="43"/>
        <v>0</v>
      </c>
      <c r="EA10" s="840">
        <f t="shared" si="43"/>
        <v>0</v>
      </c>
      <c r="EB10" s="840">
        <f t="shared" si="43"/>
        <v>0</v>
      </c>
      <c r="EC10" s="840">
        <f t="shared" si="44"/>
        <v>0</v>
      </c>
      <c r="ED10" s="840">
        <f t="shared" si="44"/>
        <v>0</v>
      </c>
      <c r="EE10" s="840">
        <f t="shared" si="44"/>
        <v>0</v>
      </c>
      <c r="EF10" s="840">
        <f t="shared" si="44"/>
        <v>0</v>
      </c>
      <c r="EG10" s="840">
        <f t="shared" si="44"/>
        <v>0</v>
      </c>
      <c r="EH10" s="840">
        <f t="shared" si="44"/>
        <v>0</v>
      </c>
      <c r="EI10" s="840">
        <f t="shared" si="44"/>
        <v>0</v>
      </c>
      <c r="EJ10" s="840">
        <f t="shared" si="44"/>
        <v>0</v>
      </c>
      <c r="EK10" s="840">
        <f t="shared" si="44"/>
        <v>0</v>
      </c>
      <c r="EL10" s="840">
        <f t="shared" si="44"/>
        <v>0</v>
      </c>
      <c r="EM10" s="840">
        <f t="shared" si="44"/>
        <v>0</v>
      </c>
      <c r="EN10" s="840">
        <f t="shared" si="44"/>
        <v>0</v>
      </c>
      <c r="EO10" s="840">
        <f t="shared" si="44"/>
        <v>0</v>
      </c>
      <c r="EP10" s="840">
        <f t="shared" si="44"/>
        <v>0</v>
      </c>
      <c r="EQ10" s="840">
        <f t="shared" si="44"/>
        <v>0</v>
      </c>
      <c r="ER10" s="840">
        <f t="shared" si="44"/>
        <v>0</v>
      </c>
      <c r="ES10" s="840">
        <f t="shared" si="45"/>
        <v>0</v>
      </c>
      <c r="ET10" s="840">
        <f t="shared" si="45"/>
        <v>0</v>
      </c>
      <c r="EU10" s="840">
        <f t="shared" si="45"/>
        <v>0</v>
      </c>
      <c r="EV10" s="840">
        <f t="shared" si="45"/>
        <v>0</v>
      </c>
      <c r="EW10" s="840">
        <f t="shared" si="45"/>
        <v>0</v>
      </c>
      <c r="EX10" s="840">
        <f t="shared" si="45"/>
        <v>0</v>
      </c>
      <c r="EY10" s="840">
        <f t="shared" si="45"/>
        <v>0</v>
      </c>
      <c r="EZ10" s="842">
        <f t="shared" si="46"/>
        <v>0</v>
      </c>
      <c r="FA10" s="842">
        <f t="shared" si="46"/>
        <v>0</v>
      </c>
      <c r="FB10" s="842">
        <f t="shared" si="46"/>
        <v>0</v>
      </c>
      <c r="FC10" s="842">
        <f t="shared" si="46"/>
        <v>0</v>
      </c>
      <c r="FD10" s="842">
        <f t="shared" si="46"/>
        <v>0</v>
      </c>
      <c r="FE10" s="842">
        <f t="shared" si="46"/>
        <v>0</v>
      </c>
      <c r="FF10" s="842">
        <f t="shared" si="46"/>
        <v>0</v>
      </c>
      <c r="FG10" s="842">
        <f t="shared" si="46"/>
        <v>0</v>
      </c>
      <c r="FH10" s="842">
        <f t="shared" si="46"/>
        <v>0</v>
      </c>
      <c r="FI10" s="842">
        <f t="shared" si="46"/>
        <v>0</v>
      </c>
      <c r="FJ10" s="842">
        <f t="shared" si="46"/>
        <v>0</v>
      </c>
      <c r="FK10" s="842">
        <f t="shared" si="46"/>
        <v>0</v>
      </c>
      <c r="FL10" s="842">
        <f t="shared" si="46"/>
        <v>0</v>
      </c>
      <c r="FM10" s="842">
        <f t="shared" si="46"/>
        <v>0</v>
      </c>
      <c r="FN10" s="842">
        <f t="shared" si="46"/>
        <v>0</v>
      </c>
      <c r="FO10" s="842">
        <f t="shared" si="46"/>
        <v>0</v>
      </c>
      <c r="FP10" s="842">
        <f t="shared" si="47"/>
        <v>0</v>
      </c>
      <c r="FQ10" s="842">
        <f t="shared" si="47"/>
        <v>0</v>
      </c>
      <c r="FR10" s="842">
        <f t="shared" si="47"/>
        <v>0</v>
      </c>
      <c r="FS10" s="842">
        <f t="shared" si="47"/>
        <v>0</v>
      </c>
      <c r="FT10" s="842">
        <f t="shared" si="47"/>
        <v>0</v>
      </c>
      <c r="FU10" s="842">
        <f t="shared" si="47"/>
        <v>0</v>
      </c>
      <c r="FV10" s="842">
        <f t="shared" si="47"/>
        <v>0</v>
      </c>
      <c r="FW10" s="843">
        <v>36.700000000000003</v>
      </c>
      <c r="FX10" s="788" t="s">
        <v>180</v>
      </c>
      <c r="FY10" s="843">
        <v>1.8499999999999999E-2</v>
      </c>
      <c r="FZ10" s="844" t="s">
        <v>2232</v>
      </c>
      <c r="GB10" s="802" t="s">
        <v>2233</v>
      </c>
      <c r="GC10" s="802">
        <v>1000</v>
      </c>
    </row>
    <row r="11" spans="3:185" ht="23.25" customHeight="1">
      <c r="C11" s="1487"/>
      <c r="D11" s="1485" t="s">
        <v>15</v>
      </c>
      <c r="E11" s="1485"/>
      <c r="F11" s="1485"/>
      <c r="G11" s="838" t="s">
        <v>2230</v>
      </c>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839"/>
      <c r="AF11" s="839"/>
      <c r="AG11" s="839"/>
      <c r="AH11" s="839"/>
      <c r="AI11" s="839"/>
      <c r="AJ11" s="839"/>
      <c r="AK11" s="839"/>
      <c r="AL11" s="839"/>
      <c r="AM11" s="839"/>
      <c r="AN11" s="839"/>
      <c r="AO11" s="839"/>
      <c r="AP11" s="839"/>
      <c r="AQ11" s="839"/>
      <c r="AR11" s="839"/>
      <c r="AS11" s="839"/>
      <c r="AT11" s="839"/>
      <c r="AU11" s="839"/>
      <c r="AV11" s="839"/>
      <c r="AW11" s="839"/>
      <c r="AX11" s="839"/>
      <c r="AY11" s="839"/>
      <c r="AZ11" s="839"/>
      <c r="BA11" s="839"/>
      <c r="BB11" s="839"/>
      <c r="BC11" s="839"/>
      <c r="BD11" s="839"/>
      <c r="BE11" s="839"/>
      <c r="BF11" s="839"/>
      <c r="BG11" s="839"/>
      <c r="BH11" s="839"/>
      <c r="BI11" s="839"/>
      <c r="BJ11" s="840">
        <f t="shared" si="0"/>
        <v>0</v>
      </c>
      <c r="BK11" s="840">
        <f t="shared" si="1"/>
        <v>0</v>
      </c>
      <c r="BL11" s="840">
        <f t="shared" si="2"/>
        <v>0</v>
      </c>
      <c r="BM11" s="840">
        <f t="shared" si="3"/>
        <v>0</v>
      </c>
      <c r="BN11" s="840">
        <f t="shared" si="4"/>
        <v>0</v>
      </c>
      <c r="BO11" s="840">
        <f t="shared" si="5"/>
        <v>0</v>
      </c>
      <c r="BP11" s="840">
        <f t="shared" si="6"/>
        <v>0</v>
      </c>
      <c r="BQ11" s="840">
        <f t="shared" si="7"/>
        <v>0</v>
      </c>
      <c r="BR11" s="840">
        <f t="shared" si="8"/>
        <v>0</v>
      </c>
      <c r="BS11" s="840">
        <f t="shared" si="9"/>
        <v>0</v>
      </c>
      <c r="BT11" s="840">
        <f t="shared" si="10"/>
        <v>0</v>
      </c>
      <c r="BU11" s="840">
        <f t="shared" si="11"/>
        <v>0</v>
      </c>
      <c r="BV11" s="840">
        <f t="shared" si="12"/>
        <v>0</v>
      </c>
      <c r="BW11" s="840">
        <f t="shared" si="13"/>
        <v>0</v>
      </c>
      <c r="BX11" s="840">
        <f t="shared" si="14"/>
        <v>0</v>
      </c>
      <c r="BY11" s="840">
        <f t="shared" si="15"/>
        <v>0</v>
      </c>
      <c r="BZ11" s="840">
        <f t="shared" si="16"/>
        <v>0</v>
      </c>
      <c r="CA11" s="840">
        <f t="shared" si="48"/>
        <v>0</v>
      </c>
      <c r="CB11" s="840">
        <f t="shared" si="17"/>
        <v>0</v>
      </c>
      <c r="CC11" s="840">
        <f t="shared" si="17"/>
        <v>0</v>
      </c>
      <c r="CD11" s="840">
        <f t="shared" si="17"/>
        <v>0</v>
      </c>
      <c r="CE11" s="840">
        <f t="shared" si="17"/>
        <v>0</v>
      </c>
      <c r="CF11" s="840">
        <f t="shared" si="17"/>
        <v>0</v>
      </c>
      <c r="CG11" s="840">
        <f t="shared" si="18"/>
        <v>1000</v>
      </c>
      <c r="CH11" s="841" t="s">
        <v>2231</v>
      </c>
      <c r="CI11" s="840">
        <f t="shared" si="19"/>
        <v>0</v>
      </c>
      <c r="CJ11" s="840">
        <f t="shared" si="20"/>
        <v>0</v>
      </c>
      <c r="CK11" s="840">
        <f t="shared" si="21"/>
        <v>0</v>
      </c>
      <c r="CL11" s="840">
        <f t="shared" si="22"/>
        <v>0</v>
      </c>
      <c r="CM11" s="840">
        <f t="shared" si="23"/>
        <v>0</v>
      </c>
      <c r="CN11" s="840">
        <f t="shared" si="24"/>
        <v>0</v>
      </c>
      <c r="CO11" s="840">
        <f t="shared" si="25"/>
        <v>0</v>
      </c>
      <c r="CP11" s="840">
        <f t="shared" si="26"/>
        <v>0</v>
      </c>
      <c r="CQ11" s="840">
        <f t="shared" si="27"/>
        <v>0</v>
      </c>
      <c r="CR11" s="840">
        <f t="shared" si="28"/>
        <v>0</v>
      </c>
      <c r="CS11" s="840">
        <f t="shared" si="29"/>
        <v>0</v>
      </c>
      <c r="CT11" s="840">
        <f t="shared" si="30"/>
        <v>0</v>
      </c>
      <c r="CU11" s="840">
        <f t="shared" si="31"/>
        <v>0</v>
      </c>
      <c r="CV11" s="840">
        <f t="shared" si="32"/>
        <v>0</v>
      </c>
      <c r="CW11" s="840">
        <f t="shared" si="33"/>
        <v>0</v>
      </c>
      <c r="CX11" s="840">
        <f t="shared" si="34"/>
        <v>0</v>
      </c>
      <c r="CY11" s="840">
        <f t="shared" si="35"/>
        <v>0</v>
      </c>
      <c r="CZ11" s="840">
        <f t="shared" si="36"/>
        <v>0</v>
      </c>
      <c r="DA11" s="840">
        <f t="shared" si="37"/>
        <v>0</v>
      </c>
      <c r="DB11" s="840">
        <f t="shared" si="38"/>
        <v>0</v>
      </c>
      <c r="DC11" s="840">
        <f t="shared" si="39"/>
        <v>0</v>
      </c>
      <c r="DD11" s="840">
        <f t="shared" si="40"/>
        <v>0</v>
      </c>
      <c r="DE11" s="840">
        <f t="shared" si="41"/>
        <v>0</v>
      </c>
      <c r="DF11" s="840">
        <f t="shared" si="42"/>
        <v>0</v>
      </c>
      <c r="DG11" s="840">
        <f t="shared" si="42"/>
        <v>0</v>
      </c>
      <c r="DH11" s="840">
        <f t="shared" si="42"/>
        <v>0</v>
      </c>
      <c r="DI11" s="840">
        <f t="shared" si="42"/>
        <v>0</v>
      </c>
      <c r="DJ11" s="840">
        <f t="shared" si="42"/>
        <v>0</v>
      </c>
      <c r="DK11" s="840">
        <f t="shared" si="42"/>
        <v>0</v>
      </c>
      <c r="DL11" s="840">
        <f t="shared" si="42"/>
        <v>0</v>
      </c>
      <c r="DM11" s="840">
        <f t="shared" si="42"/>
        <v>0</v>
      </c>
      <c r="DN11" s="840">
        <f t="shared" si="42"/>
        <v>0</v>
      </c>
      <c r="DO11" s="840">
        <f t="shared" si="42"/>
        <v>0</v>
      </c>
      <c r="DP11" s="840">
        <f t="shared" si="42"/>
        <v>0</v>
      </c>
      <c r="DQ11" s="840">
        <f t="shared" si="42"/>
        <v>0</v>
      </c>
      <c r="DR11" s="840">
        <f t="shared" si="42"/>
        <v>0</v>
      </c>
      <c r="DS11" s="840">
        <f t="shared" si="42"/>
        <v>0</v>
      </c>
      <c r="DT11" s="840">
        <f t="shared" si="42"/>
        <v>0</v>
      </c>
      <c r="DU11" s="840">
        <f t="shared" si="42"/>
        <v>0</v>
      </c>
      <c r="DV11" s="840">
        <f t="shared" si="43"/>
        <v>0</v>
      </c>
      <c r="DW11" s="840">
        <f t="shared" si="43"/>
        <v>0</v>
      </c>
      <c r="DX11" s="840">
        <f t="shared" si="43"/>
        <v>0</v>
      </c>
      <c r="DY11" s="840">
        <f t="shared" si="43"/>
        <v>0</v>
      </c>
      <c r="DZ11" s="840">
        <f t="shared" si="43"/>
        <v>0</v>
      </c>
      <c r="EA11" s="840">
        <f t="shared" si="43"/>
        <v>0</v>
      </c>
      <c r="EB11" s="840">
        <f t="shared" si="43"/>
        <v>0</v>
      </c>
      <c r="EC11" s="840">
        <f t="shared" si="44"/>
        <v>0</v>
      </c>
      <c r="ED11" s="840">
        <f t="shared" si="44"/>
        <v>0</v>
      </c>
      <c r="EE11" s="840">
        <f t="shared" si="44"/>
        <v>0</v>
      </c>
      <c r="EF11" s="840">
        <f t="shared" si="44"/>
        <v>0</v>
      </c>
      <c r="EG11" s="840">
        <f t="shared" si="44"/>
        <v>0</v>
      </c>
      <c r="EH11" s="840">
        <f t="shared" si="44"/>
        <v>0</v>
      </c>
      <c r="EI11" s="840">
        <f t="shared" si="44"/>
        <v>0</v>
      </c>
      <c r="EJ11" s="840">
        <f t="shared" si="44"/>
        <v>0</v>
      </c>
      <c r="EK11" s="840">
        <f t="shared" si="44"/>
        <v>0</v>
      </c>
      <c r="EL11" s="840">
        <f t="shared" si="44"/>
        <v>0</v>
      </c>
      <c r="EM11" s="840">
        <f t="shared" si="44"/>
        <v>0</v>
      </c>
      <c r="EN11" s="840">
        <f t="shared" si="44"/>
        <v>0</v>
      </c>
      <c r="EO11" s="840">
        <f t="shared" si="44"/>
        <v>0</v>
      </c>
      <c r="EP11" s="840">
        <f t="shared" si="44"/>
        <v>0</v>
      </c>
      <c r="EQ11" s="840">
        <f t="shared" si="44"/>
        <v>0</v>
      </c>
      <c r="ER11" s="840">
        <f t="shared" si="44"/>
        <v>0</v>
      </c>
      <c r="ES11" s="840">
        <f t="shared" si="45"/>
        <v>0</v>
      </c>
      <c r="ET11" s="840">
        <f t="shared" si="45"/>
        <v>0</v>
      </c>
      <c r="EU11" s="840">
        <f t="shared" si="45"/>
        <v>0</v>
      </c>
      <c r="EV11" s="840">
        <f t="shared" si="45"/>
        <v>0</v>
      </c>
      <c r="EW11" s="840">
        <f t="shared" si="45"/>
        <v>0</v>
      </c>
      <c r="EX11" s="840">
        <f t="shared" si="45"/>
        <v>0</v>
      </c>
      <c r="EY11" s="840">
        <f t="shared" si="45"/>
        <v>0</v>
      </c>
      <c r="EZ11" s="842">
        <f t="shared" si="46"/>
        <v>0</v>
      </c>
      <c r="FA11" s="842">
        <f t="shared" si="46"/>
        <v>0</v>
      </c>
      <c r="FB11" s="842">
        <f t="shared" si="46"/>
        <v>0</v>
      </c>
      <c r="FC11" s="842">
        <f t="shared" si="46"/>
        <v>0</v>
      </c>
      <c r="FD11" s="842">
        <f t="shared" si="46"/>
        <v>0</v>
      </c>
      <c r="FE11" s="842">
        <f t="shared" si="46"/>
        <v>0</v>
      </c>
      <c r="FF11" s="842">
        <f t="shared" si="46"/>
        <v>0</v>
      </c>
      <c r="FG11" s="842">
        <f t="shared" si="46"/>
        <v>0</v>
      </c>
      <c r="FH11" s="842">
        <f t="shared" si="46"/>
        <v>0</v>
      </c>
      <c r="FI11" s="842">
        <f t="shared" si="46"/>
        <v>0</v>
      </c>
      <c r="FJ11" s="842">
        <f t="shared" si="46"/>
        <v>0</v>
      </c>
      <c r="FK11" s="842">
        <f t="shared" si="46"/>
        <v>0</v>
      </c>
      <c r="FL11" s="842">
        <f t="shared" si="46"/>
        <v>0</v>
      </c>
      <c r="FM11" s="842">
        <f t="shared" si="46"/>
        <v>0</v>
      </c>
      <c r="FN11" s="842">
        <f t="shared" si="46"/>
        <v>0</v>
      </c>
      <c r="FO11" s="842">
        <f t="shared" si="46"/>
        <v>0</v>
      </c>
      <c r="FP11" s="842">
        <f t="shared" si="47"/>
        <v>0</v>
      </c>
      <c r="FQ11" s="842">
        <f t="shared" si="47"/>
        <v>0</v>
      </c>
      <c r="FR11" s="842">
        <f t="shared" si="47"/>
        <v>0</v>
      </c>
      <c r="FS11" s="842">
        <f t="shared" si="47"/>
        <v>0</v>
      </c>
      <c r="FT11" s="842">
        <f t="shared" si="47"/>
        <v>0</v>
      </c>
      <c r="FU11" s="842">
        <f t="shared" si="47"/>
        <v>0</v>
      </c>
      <c r="FV11" s="842">
        <f t="shared" si="47"/>
        <v>0</v>
      </c>
      <c r="FW11" s="843">
        <v>37.700000000000003</v>
      </c>
      <c r="FX11" s="788" t="s">
        <v>180</v>
      </c>
      <c r="FY11" s="843">
        <v>1.8700000000000001E-2</v>
      </c>
      <c r="FZ11" s="844" t="s">
        <v>2232</v>
      </c>
      <c r="GB11" s="802" t="s">
        <v>2234</v>
      </c>
      <c r="GC11" s="802">
        <v>1</v>
      </c>
    </row>
    <row r="12" spans="3:185" ht="23.25" customHeight="1">
      <c r="C12" s="1487"/>
      <c r="D12" s="1485" t="s">
        <v>16</v>
      </c>
      <c r="E12" s="1485"/>
      <c r="F12" s="1485"/>
      <c r="G12" s="838" t="s">
        <v>2230</v>
      </c>
      <c r="H12" s="839"/>
      <c r="I12" s="839"/>
      <c r="J12" s="839"/>
      <c r="K12" s="839"/>
      <c r="L12" s="839"/>
      <c r="M12" s="839"/>
      <c r="N12" s="839"/>
      <c r="O12" s="839"/>
      <c r="P12" s="839"/>
      <c r="Q12" s="839"/>
      <c r="R12" s="839"/>
      <c r="S12" s="839"/>
      <c r="T12" s="839"/>
      <c r="U12" s="839"/>
      <c r="V12" s="839"/>
      <c r="W12" s="839"/>
      <c r="X12" s="839"/>
      <c r="Y12" s="839"/>
      <c r="Z12" s="839"/>
      <c r="AA12" s="839"/>
      <c r="AB12" s="839"/>
      <c r="AC12" s="839"/>
      <c r="AD12" s="839"/>
      <c r="AE12" s="839"/>
      <c r="AF12" s="839"/>
      <c r="AG12" s="839"/>
      <c r="AH12" s="839"/>
      <c r="AI12" s="839"/>
      <c r="AJ12" s="839"/>
      <c r="AK12" s="839"/>
      <c r="AL12" s="839"/>
      <c r="AM12" s="839"/>
      <c r="AN12" s="839"/>
      <c r="AO12" s="839"/>
      <c r="AP12" s="839"/>
      <c r="AQ12" s="839"/>
      <c r="AR12" s="839"/>
      <c r="AS12" s="839"/>
      <c r="AT12" s="839"/>
      <c r="AU12" s="839"/>
      <c r="AV12" s="839"/>
      <c r="AW12" s="839"/>
      <c r="AX12" s="839"/>
      <c r="AY12" s="839"/>
      <c r="AZ12" s="839"/>
      <c r="BA12" s="839"/>
      <c r="BB12" s="839"/>
      <c r="BC12" s="839"/>
      <c r="BD12" s="839"/>
      <c r="BE12" s="839"/>
      <c r="BF12" s="839"/>
      <c r="BG12" s="839"/>
      <c r="BH12" s="839"/>
      <c r="BI12" s="839"/>
      <c r="BJ12" s="840">
        <f t="shared" si="0"/>
        <v>0</v>
      </c>
      <c r="BK12" s="840">
        <f t="shared" si="1"/>
        <v>0</v>
      </c>
      <c r="BL12" s="840">
        <f t="shared" si="2"/>
        <v>0</v>
      </c>
      <c r="BM12" s="840">
        <f t="shared" si="3"/>
        <v>0</v>
      </c>
      <c r="BN12" s="840">
        <f t="shared" si="4"/>
        <v>0</v>
      </c>
      <c r="BO12" s="840">
        <f t="shared" si="5"/>
        <v>0</v>
      </c>
      <c r="BP12" s="840">
        <f t="shared" si="6"/>
        <v>0</v>
      </c>
      <c r="BQ12" s="840">
        <f t="shared" si="7"/>
        <v>0</v>
      </c>
      <c r="BR12" s="840">
        <f t="shared" si="8"/>
        <v>0</v>
      </c>
      <c r="BS12" s="840">
        <f>H23_事業所内使用量-H23_算定外使用量</f>
        <v>0</v>
      </c>
      <c r="BT12" s="840">
        <f>H24_事業所内使用量-H24_算定外使用量</f>
        <v>0</v>
      </c>
      <c r="BU12" s="840">
        <f>H25_事業所内使用量-H25_算定外使用量</f>
        <v>0</v>
      </c>
      <c r="BV12" s="840">
        <f t="shared" si="12"/>
        <v>0</v>
      </c>
      <c r="BW12" s="840">
        <f t="shared" si="13"/>
        <v>0</v>
      </c>
      <c r="BX12" s="840">
        <f t="shared" si="14"/>
        <v>0</v>
      </c>
      <c r="BY12" s="840">
        <f t="shared" si="15"/>
        <v>0</v>
      </c>
      <c r="BZ12" s="840">
        <f t="shared" si="16"/>
        <v>0</v>
      </c>
      <c r="CA12" s="840">
        <f t="shared" si="48"/>
        <v>0</v>
      </c>
      <c r="CB12" s="840">
        <f t="shared" si="17"/>
        <v>0</v>
      </c>
      <c r="CC12" s="840">
        <f t="shared" si="17"/>
        <v>0</v>
      </c>
      <c r="CD12" s="840">
        <f t="shared" si="17"/>
        <v>0</v>
      </c>
      <c r="CE12" s="840">
        <f t="shared" si="17"/>
        <v>0</v>
      </c>
      <c r="CF12" s="840">
        <f t="shared" si="17"/>
        <v>0</v>
      </c>
      <c r="CG12" s="840">
        <f t="shared" si="18"/>
        <v>1000</v>
      </c>
      <c r="CH12" s="841" t="s">
        <v>2231</v>
      </c>
      <c r="CI12" s="840">
        <f>ROUND(H14_控除後使用量/単位補正２,0)</f>
        <v>0</v>
      </c>
      <c r="CJ12" s="840">
        <f>ROUND(H15_控除後使用量/単位補正２,0)</f>
        <v>0</v>
      </c>
      <c r="CK12" s="840">
        <f>ROUND(H16_控除後使用量/単位補正２,0)</f>
        <v>0</v>
      </c>
      <c r="CL12" s="840">
        <f>ROUND(H17_控除後使用量/単位補正２,0)</f>
        <v>0</v>
      </c>
      <c r="CM12" s="840">
        <f>ROUND(H18_控除後使用量/単位補正２,0)</f>
        <v>0</v>
      </c>
      <c r="CN12" s="840">
        <f>ROUND(H19_控除後使用量/単位補正２,0)</f>
        <v>0</v>
      </c>
      <c r="CO12" s="840">
        <f>ROUND(H20_控除後使用量/単位補正２,0)</f>
        <v>0</v>
      </c>
      <c r="CP12" s="840">
        <f>ROUND(H21_控除後使用量/単位補正２,0)</f>
        <v>0</v>
      </c>
      <c r="CQ12" s="840">
        <f>ROUND(H22_控除後使用量/単位補正２,0)</f>
        <v>0</v>
      </c>
      <c r="CR12" s="840">
        <f>ROUND(H23_控除後使用量/単位補正２,0)</f>
        <v>0</v>
      </c>
      <c r="CS12" s="840">
        <f>ROUND(H24_控除後使用量/単位補正２,0)</f>
        <v>0</v>
      </c>
      <c r="CT12" s="840">
        <f>ROUND(H25_控除後使用量/単位補正２,0)</f>
        <v>0</v>
      </c>
      <c r="CU12" s="840">
        <f t="shared" si="31"/>
        <v>0</v>
      </c>
      <c r="CV12" s="840">
        <f t="shared" si="32"/>
        <v>0</v>
      </c>
      <c r="CW12" s="840">
        <f t="shared" si="33"/>
        <v>0</v>
      </c>
      <c r="CX12" s="840">
        <f t="shared" si="34"/>
        <v>0</v>
      </c>
      <c r="CY12" s="840">
        <f t="shared" si="35"/>
        <v>0</v>
      </c>
      <c r="CZ12" s="840">
        <f t="shared" si="36"/>
        <v>0</v>
      </c>
      <c r="DA12" s="840">
        <f t="shared" si="37"/>
        <v>0</v>
      </c>
      <c r="DB12" s="840">
        <f t="shared" si="38"/>
        <v>0</v>
      </c>
      <c r="DC12" s="840">
        <f t="shared" si="39"/>
        <v>0</v>
      </c>
      <c r="DD12" s="840">
        <f t="shared" si="40"/>
        <v>0</v>
      </c>
      <c r="DE12" s="840">
        <f t="shared" si="41"/>
        <v>0</v>
      </c>
      <c r="DF12" s="840">
        <f t="shared" si="42"/>
        <v>0</v>
      </c>
      <c r="DG12" s="840">
        <f t="shared" si="42"/>
        <v>0</v>
      </c>
      <c r="DH12" s="840">
        <f t="shared" si="42"/>
        <v>0</v>
      </c>
      <c r="DI12" s="840">
        <f t="shared" si="42"/>
        <v>0</v>
      </c>
      <c r="DJ12" s="840">
        <f t="shared" si="42"/>
        <v>0</v>
      </c>
      <c r="DK12" s="840">
        <f t="shared" si="42"/>
        <v>0</v>
      </c>
      <c r="DL12" s="840">
        <f t="shared" si="42"/>
        <v>0</v>
      </c>
      <c r="DM12" s="840">
        <f t="shared" si="42"/>
        <v>0</v>
      </c>
      <c r="DN12" s="840">
        <f t="shared" si="42"/>
        <v>0</v>
      </c>
      <c r="DO12" s="840">
        <f t="shared" si="42"/>
        <v>0</v>
      </c>
      <c r="DP12" s="840">
        <f t="shared" si="42"/>
        <v>0</v>
      </c>
      <c r="DQ12" s="840">
        <f t="shared" si="42"/>
        <v>0</v>
      </c>
      <c r="DR12" s="840">
        <f t="shared" si="42"/>
        <v>0</v>
      </c>
      <c r="DS12" s="840">
        <f t="shared" si="42"/>
        <v>0</v>
      </c>
      <c r="DT12" s="840">
        <f t="shared" si="42"/>
        <v>0</v>
      </c>
      <c r="DU12" s="840">
        <f t="shared" si="42"/>
        <v>0</v>
      </c>
      <c r="DV12" s="840">
        <f t="shared" si="43"/>
        <v>0</v>
      </c>
      <c r="DW12" s="840">
        <f t="shared" si="43"/>
        <v>0</v>
      </c>
      <c r="DX12" s="840">
        <f t="shared" si="43"/>
        <v>0</v>
      </c>
      <c r="DY12" s="840">
        <f t="shared" si="43"/>
        <v>0</v>
      </c>
      <c r="DZ12" s="840">
        <f t="shared" si="43"/>
        <v>0</v>
      </c>
      <c r="EA12" s="840">
        <f t="shared" si="43"/>
        <v>0</v>
      </c>
      <c r="EB12" s="840">
        <f t="shared" si="43"/>
        <v>0</v>
      </c>
      <c r="EC12" s="840">
        <f t="shared" si="44"/>
        <v>0</v>
      </c>
      <c r="ED12" s="840">
        <f t="shared" si="44"/>
        <v>0</v>
      </c>
      <c r="EE12" s="840">
        <f t="shared" si="44"/>
        <v>0</v>
      </c>
      <c r="EF12" s="840">
        <f t="shared" si="44"/>
        <v>0</v>
      </c>
      <c r="EG12" s="840">
        <f t="shared" si="44"/>
        <v>0</v>
      </c>
      <c r="EH12" s="840">
        <f t="shared" si="44"/>
        <v>0</v>
      </c>
      <c r="EI12" s="840">
        <f t="shared" si="44"/>
        <v>0</v>
      </c>
      <c r="EJ12" s="840">
        <f t="shared" si="44"/>
        <v>0</v>
      </c>
      <c r="EK12" s="840">
        <f t="shared" si="44"/>
        <v>0</v>
      </c>
      <c r="EL12" s="840">
        <f t="shared" si="44"/>
        <v>0</v>
      </c>
      <c r="EM12" s="840">
        <f t="shared" si="44"/>
        <v>0</v>
      </c>
      <c r="EN12" s="840">
        <f t="shared" si="44"/>
        <v>0</v>
      </c>
      <c r="EO12" s="840">
        <f t="shared" si="44"/>
        <v>0</v>
      </c>
      <c r="EP12" s="840">
        <f t="shared" si="44"/>
        <v>0</v>
      </c>
      <c r="EQ12" s="840">
        <f t="shared" si="44"/>
        <v>0</v>
      </c>
      <c r="ER12" s="840">
        <f t="shared" si="44"/>
        <v>0</v>
      </c>
      <c r="ES12" s="840">
        <f t="shared" si="45"/>
        <v>0</v>
      </c>
      <c r="ET12" s="840">
        <f t="shared" si="45"/>
        <v>0</v>
      </c>
      <c r="EU12" s="840">
        <f t="shared" si="45"/>
        <v>0</v>
      </c>
      <c r="EV12" s="840">
        <f t="shared" si="45"/>
        <v>0</v>
      </c>
      <c r="EW12" s="840">
        <f t="shared" si="45"/>
        <v>0</v>
      </c>
      <c r="EX12" s="840">
        <f t="shared" si="45"/>
        <v>0</v>
      </c>
      <c r="EY12" s="840">
        <f t="shared" si="45"/>
        <v>0</v>
      </c>
      <c r="EZ12" s="842">
        <f t="shared" si="46"/>
        <v>0</v>
      </c>
      <c r="FA12" s="842">
        <f t="shared" si="46"/>
        <v>0</v>
      </c>
      <c r="FB12" s="842">
        <f t="shared" si="46"/>
        <v>0</v>
      </c>
      <c r="FC12" s="842">
        <f t="shared" si="46"/>
        <v>0</v>
      </c>
      <c r="FD12" s="842">
        <f t="shared" si="46"/>
        <v>0</v>
      </c>
      <c r="FE12" s="842">
        <f t="shared" si="46"/>
        <v>0</v>
      </c>
      <c r="FF12" s="842">
        <f t="shared" si="46"/>
        <v>0</v>
      </c>
      <c r="FG12" s="842">
        <f t="shared" si="46"/>
        <v>0</v>
      </c>
      <c r="FH12" s="842">
        <f t="shared" si="46"/>
        <v>0</v>
      </c>
      <c r="FI12" s="842">
        <f t="shared" si="46"/>
        <v>0</v>
      </c>
      <c r="FJ12" s="842">
        <f t="shared" si="46"/>
        <v>0</v>
      </c>
      <c r="FK12" s="842">
        <f t="shared" si="46"/>
        <v>0</v>
      </c>
      <c r="FL12" s="842">
        <f t="shared" si="46"/>
        <v>0</v>
      </c>
      <c r="FM12" s="842">
        <f t="shared" si="46"/>
        <v>0</v>
      </c>
      <c r="FN12" s="842">
        <f t="shared" si="46"/>
        <v>0</v>
      </c>
      <c r="FO12" s="842">
        <f t="shared" si="46"/>
        <v>0</v>
      </c>
      <c r="FP12" s="842">
        <f t="shared" si="47"/>
        <v>0</v>
      </c>
      <c r="FQ12" s="842">
        <f t="shared" si="47"/>
        <v>0</v>
      </c>
      <c r="FR12" s="842">
        <f t="shared" si="47"/>
        <v>0</v>
      </c>
      <c r="FS12" s="842">
        <f t="shared" si="47"/>
        <v>0</v>
      </c>
      <c r="FT12" s="842">
        <f t="shared" si="47"/>
        <v>0</v>
      </c>
      <c r="FU12" s="842">
        <f t="shared" si="47"/>
        <v>0</v>
      </c>
      <c r="FV12" s="842">
        <f t="shared" si="47"/>
        <v>0</v>
      </c>
      <c r="FW12" s="843">
        <v>39.1</v>
      </c>
      <c r="FX12" s="788" t="s">
        <v>180</v>
      </c>
      <c r="FY12" s="843">
        <v>1.89E-2</v>
      </c>
      <c r="FZ12" s="844" t="s">
        <v>2232</v>
      </c>
      <c r="GB12" s="802" t="s">
        <v>1870</v>
      </c>
      <c r="GC12" s="802">
        <v>1000</v>
      </c>
    </row>
    <row r="13" spans="3:185" ht="23.25" customHeight="1">
      <c r="C13" s="1487"/>
      <c r="D13" s="1485" t="s">
        <v>17</v>
      </c>
      <c r="E13" s="1485"/>
      <c r="F13" s="1485"/>
      <c r="G13" s="838" t="s">
        <v>2230</v>
      </c>
      <c r="H13" s="839"/>
      <c r="I13" s="839"/>
      <c r="J13" s="839"/>
      <c r="K13" s="839"/>
      <c r="L13" s="839"/>
      <c r="M13" s="839"/>
      <c r="N13" s="839"/>
      <c r="O13" s="839"/>
      <c r="P13" s="839"/>
      <c r="Q13" s="839"/>
      <c r="R13" s="839"/>
      <c r="S13" s="839"/>
      <c r="T13" s="839"/>
      <c r="U13" s="839"/>
      <c r="V13" s="839"/>
      <c r="W13" s="839"/>
      <c r="X13" s="839"/>
      <c r="Y13" s="839"/>
      <c r="Z13" s="839"/>
      <c r="AA13" s="839"/>
      <c r="AB13" s="839"/>
      <c r="AC13" s="839"/>
      <c r="AD13" s="839"/>
      <c r="AE13" s="839"/>
      <c r="AF13" s="839"/>
      <c r="AG13" s="839"/>
      <c r="AH13" s="839"/>
      <c r="AI13" s="839"/>
      <c r="AJ13" s="839"/>
      <c r="AK13" s="839"/>
      <c r="AL13" s="839"/>
      <c r="AM13" s="839"/>
      <c r="AN13" s="839"/>
      <c r="AO13" s="839"/>
      <c r="AP13" s="839"/>
      <c r="AQ13" s="839"/>
      <c r="AR13" s="839"/>
      <c r="AS13" s="839"/>
      <c r="AT13" s="839"/>
      <c r="AU13" s="839"/>
      <c r="AV13" s="839"/>
      <c r="AW13" s="839"/>
      <c r="AX13" s="839"/>
      <c r="AY13" s="839"/>
      <c r="AZ13" s="839"/>
      <c r="BA13" s="839"/>
      <c r="BB13" s="839"/>
      <c r="BC13" s="839"/>
      <c r="BD13" s="839"/>
      <c r="BE13" s="839"/>
      <c r="BF13" s="839"/>
      <c r="BG13" s="839"/>
      <c r="BH13" s="839"/>
      <c r="BI13" s="839"/>
      <c r="BJ13" s="840">
        <f t="shared" si="0"/>
        <v>0</v>
      </c>
      <c r="BK13" s="840">
        <f t="shared" si="1"/>
        <v>0</v>
      </c>
      <c r="BL13" s="840">
        <f t="shared" si="2"/>
        <v>0</v>
      </c>
      <c r="BM13" s="840">
        <f t="shared" si="3"/>
        <v>0</v>
      </c>
      <c r="BN13" s="840">
        <f t="shared" si="4"/>
        <v>0</v>
      </c>
      <c r="BO13" s="840">
        <f t="shared" si="5"/>
        <v>0</v>
      </c>
      <c r="BP13" s="840">
        <f t="shared" si="6"/>
        <v>0</v>
      </c>
      <c r="BQ13" s="840">
        <f t="shared" si="7"/>
        <v>0</v>
      </c>
      <c r="BR13" s="840">
        <f t="shared" si="8"/>
        <v>0</v>
      </c>
      <c r="BS13" s="840">
        <f t="shared" si="9"/>
        <v>0</v>
      </c>
      <c r="BT13" s="840">
        <f t="shared" si="10"/>
        <v>0</v>
      </c>
      <c r="BU13" s="840">
        <f t="shared" si="11"/>
        <v>0</v>
      </c>
      <c r="BV13" s="840">
        <f t="shared" si="12"/>
        <v>0</v>
      </c>
      <c r="BW13" s="840">
        <f t="shared" si="13"/>
        <v>0</v>
      </c>
      <c r="BX13" s="840">
        <f t="shared" si="14"/>
        <v>0</v>
      </c>
      <c r="BY13" s="840">
        <f t="shared" si="15"/>
        <v>0</v>
      </c>
      <c r="BZ13" s="840">
        <f t="shared" si="16"/>
        <v>0</v>
      </c>
      <c r="CA13" s="840">
        <f t="shared" si="48"/>
        <v>0</v>
      </c>
      <c r="CB13" s="840">
        <f t="shared" si="17"/>
        <v>0</v>
      </c>
      <c r="CC13" s="840">
        <f t="shared" si="17"/>
        <v>0</v>
      </c>
      <c r="CD13" s="840">
        <f t="shared" si="17"/>
        <v>0</v>
      </c>
      <c r="CE13" s="840">
        <f t="shared" si="17"/>
        <v>0</v>
      </c>
      <c r="CF13" s="840">
        <f t="shared" si="17"/>
        <v>0</v>
      </c>
      <c r="CG13" s="840">
        <f t="shared" si="18"/>
        <v>1000</v>
      </c>
      <c r="CH13" s="841" t="s">
        <v>2231</v>
      </c>
      <c r="CI13" s="840">
        <f t="shared" si="19"/>
        <v>0</v>
      </c>
      <c r="CJ13" s="840">
        <f t="shared" si="20"/>
        <v>0</v>
      </c>
      <c r="CK13" s="840">
        <f t="shared" si="21"/>
        <v>0</v>
      </c>
      <c r="CL13" s="840">
        <f t="shared" si="22"/>
        <v>0</v>
      </c>
      <c r="CM13" s="840">
        <f t="shared" si="23"/>
        <v>0</v>
      </c>
      <c r="CN13" s="840">
        <f t="shared" si="24"/>
        <v>0</v>
      </c>
      <c r="CO13" s="840">
        <f t="shared" si="25"/>
        <v>0</v>
      </c>
      <c r="CP13" s="840">
        <f t="shared" si="26"/>
        <v>0</v>
      </c>
      <c r="CQ13" s="840">
        <f t="shared" si="27"/>
        <v>0</v>
      </c>
      <c r="CR13" s="840">
        <f t="shared" si="28"/>
        <v>0</v>
      </c>
      <c r="CS13" s="840">
        <f t="shared" si="29"/>
        <v>0</v>
      </c>
      <c r="CT13" s="840">
        <f t="shared" si="30"/>
        <v>0</v>
      </c>
      <c r="CU13" s="840">
        <f t="shared" si="31"/>
        <v>0</v>
      </c>
      <c r="CV13" s="840">
        <f t="shared" si="32"/>
        <v>0</v>
      </c>
      <c r="CW13" s="840">
        <f t="shared" si="33"/>
        <v>0</v>
      </c>
      <c r="CX13" s="840">
        <f t="shared" si="34"/>
        <v>0</v>
      </c>
      <c r="CY13" s="840">
        <f t="shared" si="35"/>
        <v>0</v>
      </c>
      <c r="CZ13" s="840">
        <f t="shared" si="36"/>
        <v>0</v>
      </c>
      <c r="DA13" s="840">
        <f t="shared" si="37"/>
        <v>0</v>
      </c>
      <c r="DB13" s="840">
        <f t="shared" si="38"/>
        <v>0</v>
      </c>
      <c r="DC13" s="840">
        <f t="shared" si="39"/>
        <v>0</v>
      </c>
      <c r="DD13" s="840">
        <f t="shared" si="40"/>
        <v>0</v>
      </c>
      <c r="DE13" s="840">
        <f t="shared" si="41"/>
        <v>0</v>
      </c>
      <c r="DF13" s="840">
        <f t="shared" si="42"/>
        <v>0</v>
      </c>
      <c r="DG13" s="840">
        <f t="shared" si="42"/>
        <v>0</v>
      </c>
      <c r="DH13" s="840">
        <f t="shared" si="42"/>
        <v>0</v>
      </c>
      <c r="DI13" s="840">
        <f t="shared" si="42"/>
        <v>0</v>
      </c>
      <c r="DJ13" s="840">
        <f t="shared" si="42"/>
        <v>0</v>
      </c>
      <c r="DK13" s="840">
        <f t="shared" si="42"/>
        <v>0</v>
      </c>
      <c r="DL13" s="840">
        <f t="shared" si="42"/>
        <v>0</v>
      </c>
      <c r="DM13" s="840">
        <f t="shared" si="42"/>
        <v>0</v>
      </c>
      <c r="DN13" s="840">
        <f t="shared" si="42"/>
        <v>0</v>
      </c>
      <c r="DO13" s="840">
        <f t="shared" si="42"/>
        <v>0</v>
      </c>
      <c r="DP13" s="840">
        <f t="shared" si="42"/>
        <v>0</v>
      </c>
      <c r="DQ13" s="840">
        <f t="shared" si="42"/>
        <v>0</v>
      </c>
      <c r="DR13" s="840">
        <f t="shared" si="42"/>
        <v>0</v>
      </c>
      <c r="DS13" s="840">
        <f t="shared" si="42"/>
        <v>0</v>
      </c>
      <c r="DT13" s="840">
        <f t="shared" si="42"/>
        <v>0</v>
      </c>
      <c r="DU13" s="840">
        <f t="shared" si="42"/>
        <v>0</v>
      </c>
      <c r="DV13" s="840">
        <f t="shared" si="43"/>
        <v>0</v>
      </c>
      <c r="DW13" s="840">
        <f t="shared" si="43"/>
        <v>0</v>
      </c>
      <c r="DX13" s="840">
        <f t="shared" si="43"/>
        <v>0</v>
      </c>
      <c r="DY13" s="840">
        <f t="shared" si="43"/>
        <v>0</v>
      </c>
      <c r="DZ13" s="840">
        <f t="shared" si="43"/>
        <v>0</v>
      </c>
      <c r="EA13" s="840">
        <f t="shared" si="43"/>
        <v>0</v>
      </c>
      <c r="EB13" s="840">
        <f t="shared" si="43"/>
        <v>0</v>
      </c>
      <c r="EC13" s="840">
        <f t="shared" si="44"/>
        <v>0</v>
      </c>
      <c r="ED13" s="840">
        <f t="shared" si="44"/>
        <v>0</v>
      </c>
      <c r="EE13" s="840">
        <f t="shared" si="44"/>
        <v>0</v>
      </c>
      <c r="EF13" s="840">
        <f t="shared" si="44"/>
        <v>0</v>
      </c>
      <c r="EG13" s="840">
        <f t="shared" si="44"/>
        <v>0</v>
      </c>
      <c r="EH13" s="840">
        <f t="shared" si="44"/>
        <v>0</v>
      </c>
      <c r="EI13" s="840">
        <f t="shared" si="44"/>
        <v>0</v>
      </c>
      <c r="EJ13" s="840">
        <f t="shared" si="44"/>
        <v>0</v>
      </c>
      <c r="EK13" s="840">
        <f t="shared" si="44"/>
        <v>0</v>
      </c>
      <c r="EL13" s="840">
        <f t="shared" si="44"/>
        <v>0</v>
      </c>
      <c r="EM13" s="840">
        <f t="shared" si="44"/>
        <v>0</v>
      </c>
      <c r="EN13" s="840">
        <f t="shared" si="44"/>
        <v>0</v>
      </c>
      <c r="EO13" s="840">
        <f t="shared" si="44"/>
        <v>0</v>
      </c>
      <c r="EP13" s="840">
        <f t="shared" si="44"/>
        <v>0</v>
      </c>
      <c r="EQ13" s="840">
        <f t="shared" si="44"/>
        <v>0</v>
      </c>
      <c r="ER13" s="840">
        <f t="shared" si="44"/>
        <v>0</v>
      </c>
      <c r="ES13" s="840">
        <f t="shared" si="45"/>
        <v>0</v>
      </c>
      <c r="ET13" s="840">
        <f t="shared" si="45"/>
        <v>0</v>
      </c>
      <c r="EU13" s="840">
        <f t="shared" si="45"/>
        <v>0</v>
      </c>
      <c r="EV13" s="840">
        <f t="shared" si="45"/>
        <v>0</v>
      </c>
      <c r="EW13" s="840">
        <f t="shared" si="45"/>
        <v>0</v>
      </c>
      <c r="EX13" s="840">
        <f t="shared" si="45"/>
        <v>0</v>
      </c>
      <c r="EY13" s="840">
        <f t="shared" si="45"/>
        <v>0</v>
      </c>
      <c r="EZ13" s="842">
        <f t="shared" si="46"/>
        <v>0</v>
      </c>
      <c r="FA13" s="842">
        <f t="shared" si="46"/>
        <v>0</v>
      </c>
      <c r="FB13" s="842">
        <f t="shared" si="46"/>
        <v>0</v>
      </c>
      <c r="FC13" s="842">
        <f t="shared" si="46"/>
        <v>0</v>
      </c>
      <c r="FD13" s="842">
        <f t="shared" si="46"/>
        <v>0</v>
      </c>
      <c r="FE13" s="842">
        <f t="shared" si="46"/>
        <v>0</v>
      </c>
      <c r="FF13" s="842">
        <f t="shared" si="46"/>
        <v>0</v>
      </c>
      <c r="FG13" s="842">
        <f t="shared" si="46"/>
        <v>0</v>
      </c>
      <c r="FH13" s="842">
        <f t="shared" si="46"/>
        <v>0</v>
      </c>
      <c r="FI13" s="842">
        <f t="shared" si="46"/>
        <v>0</v>
      </c>
      <c r="FJ13" s="842">
        <f t="shared" si="46"/>
        <v>0</v>
      </c>
      <c r="FK13" s="842">
        <f t="shared" si="46"/>
        <v>0</v>
      </c>
      <c r="FL13" s="842">
        <f t="shared" si="46"/>
        <v>0</v>
      </c>
      <c r="FM13" s="842">
        <f t="shared" si="46"/>
        <v>0</v>
      </c>
      <c r="FN13" s="842">
        <f t="shared" si="46"/>
        <v>0</v>
      </c>
      <c r="FO13" s="842">
        <f t="shared" si="46"/>
        <v>0</v>
      </c>
      <c r="FP13" s="842">
        <f t="shared" si="47"/>
        <v>0</v>
      </c>
      <c r="FQ13" s="842">
        <f t="shared" si="47"/>
        <v>0</v>
      </c>
      <c r="FR13" s="842">
        <f t="shared" si="47"/>
        <v>0</v>
      </c>
      <c r="FS13" s="842">
        <f t="shared" si="47"/>
        <v>0</v>
      </c>
      <c r="FT13" s="842">
        <f t="shared" si="47"/>
        <v>0</v>
      </c>
      <c r="FU13" s="842">
        <f t="shared" si="47"/>
        <v>0</v>
      </c>
      <c r="FV13" s="842">
        <f t="shared" si="47"/>
        <v>0</v>
      </c>
      <c r="FW13" s="843">
        <v>41.9</v>
      </c>
      <c r="FX13" s="788" t="s">
        <v>180</v>
      </c>
      <c r="FY13" s="843">
        <v>1.95E-2</v>
      </c>
      <c r="FZ13" s="844" t="s">
        <v>2232</v>
      </c>
      <c r="GB13" s="802" t="s">
        <v>1871</v>
      </c>
      <c r="GC13" s="802">
        <v>1</v>
      </c>
    </row>
    <row r="14" spans="3:185" ht="23.25" customHeight="1">
      <c r="C14" s="1487"/>
      <c r="D14" s="1485" t="s">
        <v>18</v>
      </c>
      <c r="E14" s="1485"/>
      <c r="F14" s="1485"/>
      <c r="G14" s="838" t="s">
        <v>2193</v>
      </c>
      <c r="H14" s="839"/>
      <c r="I14" s="839"/>
      <c r="J14" s="839"/>
      <c r="K14" s="839"/>
      <c r="L14" s="839"/>
      <c r="M14" s="839"/>
      <c r="N14" s="839"/>
      <c r="O14" s="839"/>
      <c r="P14" s="839"/>
      <c r="Q14" s="839"/>
      <c r="R14" s="839"/>
      <c r="S14" s="839"/>
      <c r="T14" s="839"/>
      <c r="U14" s="839"/>
      <c r="V14" s="839"/>
      <c r="W14" s="839"/>
      <c r="X14" s="839"/>
      <c r="Y14" s="839"/>
      <c r="Z14" s="839"/>
      <c r="AA14" s="839"/>
      <c r="AB14" s="839"/>
      <c r="AC14" s="839"/>
      <c r="AD14" s="839"/>
      <c r="AE14" s="839"/>
      <c r="AF14" s="839"/>
      <c r="AG14" s="839"/>
      <c r="AH14" s="839"/>
      <c r="AI14" s="839"/>
      <c r="AJ14" s="839"/>
      <c r="AK14" s="839"/>
      <c r="AL14" s="839"/>
      <c r="AM14" s="839"/>
      <c r="AN14" s="839"/>
      <c r="AO14" s="839"/>
      <c r="AP14" s="839"/>
      <c r="AQ14" s="839"/>
      <c r="AR14" s="839"/>
      <c r="AS14" s="839"/>
      <c r="AT14" s="839"/>
      <c r="AU14" s="839"/>
      <c r="AV14" s="839"/>
      <c r="AW14" s="839"/>
      <c r="AX14" s="839"/>
      <c r="AY14" s="839"/>
      <c r="AZ14" s="839"/>
      <c r="BA14" s="839"/>
      <c r="BB14" s="839"/>
      <c r="BC14" s="839"/>
      <c r="BD14" s="839"/>
      <c r="BE14" s="839"/>
      <c r="BF14" s="839"/>
      <c r="BG14" s="839"/>
      <c r="BH14" s="839"/>
      <c r="BI14" s="839"/>
      <c r="BJ14" s="840">
        <f t="shared" si="0"/>
        <v>0</v>
      </c>
      <c r="BK14" s="840">
        <f t="shared" si="1"/>
        <v>0</v>
      </c>
      <c r="BL14" s="840">
        <f t="shared" si="2"/>
        <v>0</v>
      </c>
      <c r="BM14" s="840">
        <f t="shared" si="3"/>
        <v>0</v>
      </c>
      <c r="BN14" s="840">
        <f t="shared" si="4"/>
        <v>0</v>
      </c>
      <c r="BO14" s="840">
        <f t="shared" si="5"/>
        <v>0</v>
      </c>
      <c r="BP14" s="840">
        <f t="shared" si="6"/>
        <v>0</v>
      </c>
      <c r="BQ14" s="840">
        <f t="shared" si="7"/>
        <v>0</v>
      </c>
      <c r="BR14" s="840">
        <f t="shared" si="8"/>
        <v>0</v>
      </c>
      <c r="BS14" s="840">
        <f t="shared" si="9"/>
        <v>0</v>
      </c>
      <c r="BT14" s="840">
        <f t="shared" si="10"/>
        <v>0</v>
      </c>
      <c r="BU14" s="840">
        <f t="shared" si="11"/>
        <v>0</v>
      </c>
      <c r="BV14" s="840">
        <f t="shared" si="12"/>
        <v>0</v>
      </c>
      <c r="BW14" s="840">
        <f t="shared" si="13"/>
        <v>0</v>
      </c>
      <c r="BX14" s="840">
        <f t="shared" si="14"/>
        <v>0</v>
      </c>
      <c r="BY14" s="840">
        <f t="shared" si="15"/>
        <v>0</v>
      </c>
      <c r="BZ14" s="840">
        <f t="shared" si="16"/>
        <v>0</v>
      </c>
      <c r="CA14" s="840">
        <f t="shared" si="48"/>
        <v>0</v>
      </c>
      <c r="CB14" s="840">
        <f t="shared" si="17"/>
        <v>0</v>
      </c>
      <c r="CC14" s="840">
        <f t="shared" si="17"/>
        <v>0</v>
      </c>
      <c r="CD14" s="840">
        <f t="shared" si="17"/>
        <v>0</v>
      </c>
      <c r="CE14" s="840">
        <f t="shared" si="17"/>
        <v>0</v>
      </c>
      <c r="CF14" s="840">
        <f t="shared" si="17"/>
        <v>0</v>
      </c>
      <c r="CG14" s="840">
        <f t="shared" si="18"/>
        <v>1000</v>
      </c>
      <c r="CH14" s="841" t="s">
        <v>194</v>
      </c>
      <c r="CI14" s="840">
        <f t="shared" si="19"/>
        <v>0</v>
      </c>
      <c r="CJ14" s="840">
        <f t="shared" si="20"/>
        <v>0</v>
      </c>
      <c r="CK14" s="840">
        <f t="shared" si="21"/>
        <v>0</v>
      </c>
      <c r="CL14" s="840">
        <f t="shared" si="22"/>
        <v>0</v>
      </c>
      <c r="CM14" s="840">
        <f t="shared" si="23"/>
        <v>0</v>
      </c>
      <c r="CN14" s="840">
        <f t="shared" si="24"/>
        <v>0</v>
      </c>
      <c r="CO14" s="840">
        <f t="shared" si="25"/>
        <v>0</v>
      </c>
      <c r="CP14" s="840">
        <f t="shared" si="26"/>
        <v>0</v>
      </c>
      <c r="CQ14" s="840">
        <f t="shared" si="27"/>
        <v>0</v>
      </c>
      <c r="CR14" s="840">
        <f t="shared" si="28"/>
        <v>0</v>
      </c>
      <c r="CS14" s="840">
        <f>ROUND(H24_控除後使用量/単位補正２,0)</f>
        <v>0</v>
      </c>
      <c r="CT14" s="840">
        <f t="shared" si="30"/>
        <v>0</v>
      </c>
      <c r="CU14" s="840">
        <f t="shared" si="31"/>
        <v>0</v>
      </c>
      <c r="CV14" s="840">
        <f t="shared" si="32"/>
        <v>0</v>
      </c>
      <c r="CW14" s="840">
        <f t="shared" si="33"/>
        <v>0</v>
      </c>
      <c r="CX14" s="840">
        <f t="shared" si="34"/>
        <v>0</v>
      </c>
      <c r="CY14" s="840">
        <f t="shared" si="35"/>
        <v>0</v>
      </c>
      <c r="CZ14" s="840">
        <f t="shared" si="36"/>
        <v>0</v>
      </c>
      <c r="DA14" s="840">
        <f t="shared" si="37"/>
        <v>0</v>
      </c>
      <c r="DB14" s="840">
        <f t="shared" si="38"/>
        <v>0</v>
      </c>
      <c r="DC14" s="840">
        <f t="shared" si="39"/>
        <v>0</v>
      </c>
      <c r="DD14" s="840">
        <f t="shared" si="40"/>
        <v>0</v>
      </c>
      <c r="DE14" s="840">
        <f t="shared" si="41"/>
        <v>0</v>
      </c>
      <c r="DF14" s="840">
        <f t="shared" si="42"/>
        <v>0</v>
      </c>
      <c r="DG14" s="840">
        <f t="shared" si="42"/>
        <v>0</v>
      </c>
      <c r="DH14" s="840">
        <f t="shared" si="42"/>
        <v>0</v>
      </c>
      <c r="DI14" s="840">
        <f t="shared" si="42"/>
        <v>0</v>
      </c>
      <c r="DJ14" s="840">
        <f t="shared" si="42"/>
        <v>0</v>
      </c>
      <c r="DK14" s="840">
        <f t="shared" si="42"/>
        <v>0</v>
      </c>
      <c r="DL14" s="840">
        <f t="shared" si="42"/>
        <v>0</v>
      </c>
      <c r="DM14" s="840">
        <f t="shared" si="42"/>
        <v>0</v>
      </c>
      <c r="DN14" s="840">
        <f t="shared" si="42"/>
        <v>0</v>
      </c>
      <c r="DO14" s="840">
        <f t="shared" si="42"/>
        <v>0</v>
      </c>
      <c r="DP14" s="840">
        <f t="shared" si="42"/>
        <v>0</v>
      </c>
      <c r="DQ14" s="840">
        <f t="shared" si="42"/>
        <v>0</v>
      </c>
      <c r="DR14" s="840">
        <f t="shared" si="42"/>
        <v>0</v>
      </c>
      <c r="DS14" s="840">
        <f t="shared" si="42"/>
        <v>0</v>
      </c>
      <c r="DT14" s="840">
        <f t="shared" si="42"/>
        <v>0</v>
      </c>
      <c r="DU14" s="840">
        <f t="shared" si="42"/>
        <v>0</v>
      </c>
      <c r="DV14" s="840">
        <f t="shared" si="43"/>
        <v>0</v>
      </c>
      <c r="DW14" s="840">
        <f t="shared" si="43"/>
        <v>0</v>
      </c>
      <c r="DX14" s="840">
        <f t="shared" si="43"/>
        <v>0</v>
      </c>
      <c r="DY14" s="840">
        <f t="shared" si="43"/>
        <v>0</v>
      </c>
      <c r="DZ14" s="840">
        <f t="shared" si="43"/>
        <v>0</v>
      </c>
      <c r="EA14" s="840">
        <f t="shared" si="43"/>
        <v>0</v>
      </c>
      <c r="EB14" s="840">
        <f t="shared" si="43"/>
        <v>0</v>
      </c>
      <c r="EC14" s="840">
        <f t="shared" si="44"/>
        <v>0</v>
      </c>
      <c r="ED14" s="840">
        <f t="shared" si="44"/>
        <v>0</v>
      </c>
      <c r="EE14" s="840">
        <f t="shared" si="44"/>
        <v>0</v>
      </c>
      <c r="EF14" s="840">
        <f t="shared" si="44"/>
        <v>0</v>
      </c>
      <c r="EG14" s="840">
        <f t="shared" si="44"/>
        <v>0</v>
      </c>
      <c r="EH14" s="840">
        <f t="shared" si="44"/>
        <v>0</v>
      </c>
      <c r="EI14" s="840">
        <f t="shared" si="44"/>
        <v>0</v>
      </c>
      <c r="EJ14" s="840">
        <f t="shared" si="44"/>
        <v>0</v>
      </c>
      <c r="EK14" s="840">
        <f t="shared" si="44"/>
        <v>0</v>
      </c>
      <c r="EL14" s="840">
        <f t="shared" si="44"/>
        <v>0</v>
      </c>
      <c r="EM14" s="840">
        <f t="shared" si="44"/>
        <v>0</v>
      </c>
      <c r="EN14" s="840">
        <f t="shared" si="44"/>
        <v>0</v>
      </c>
      <c r="EO14" s="840">
        <f t="shared" si="44"/>
        <v>0</v>
      </c>
      <c r="EP14" s="840">
        <f t="shared" si="44"/>
        <v>0</v>
      </c>
      <c r="EQ14" s="840">
        <f t="shared" si="44"/>
        <v>0</v>
      </c>
      <c r="ER14" s="840">
        <f t="shared" si="44"/>
        <v>0</v>
      </c>
      <c r="ES14" s="840">
        <f t="shared" si="45"/>
        <v>0</v>
      </c>
      <c r="ET14" s="840">
        <f t="shared" si="45"/>
        <v>0</v>
      </c>
      <c r="EU14" s="840">
        <f t="shared" si="45"/>
        <v>0</v>
      </c>
      <c r="EV14" s="840">
        <f t="shared" si="45"/>
        <v>0</v>
      </c>
      <c r="EW14" s="840">
        <f t="shared" si="45"/>
        <v>0</v>
      </c>
      <c r="EX14" s="840">
        <f t="shared" si="45"/>
        <v>0</v>
      </c>
      <c r="EY14" s="840">
        <f t="shared" si="45"/>
        <v>0</v>
      </c>
      <c r="EZ14" s="842">
        <f t="shared" si="46"/>
        <v>0</v>
      </c>
      <c r="FA14" s="842">
        <f t="shared" si="46"/>
        <v>0</v>
      </c>
      <c r="FB14" s="842">
        <f t="shared" si="46"/>
        <v>0</v>
      </c>
      <c r="FC14" s="842">
        <f t="shared" si="46"/>
        <v>0</v>
      </c>
      <c r="FD14" s="842">
        <f t="shared" si="46"/>
        <v>0</v>
      </c>
      <c r="FE14" s="842">
        <f t="shared" si="46"/>
        <v>0</v>
      </c>
      <c r="FF14" s="842">
        <f t="shared" si="46"/>
        <v>0</v>
      </c>
      <c r="FG14" s="842">
        <f t="shared" si="46"/>
        <v>0</v>
      </c>
      <c r="FH14" s="842">
        <f t="shared" si="46"/>
        <v>0</v>
      </c>
      <c r="FI14" s="842">
        <f t="shared" si="46"/>
        <v>0</v>
      </c>
      <c r="FJ14" s="842">
        <f t="shared" si="46"/>
        <v>0</v>
      </c>
      <c r="FK14" s="842">
        <f t="shared" si="46"/>
        <v>0</v>
      </c>
      <c r="FL14" s="842">
        <f t="shared" si="46"/>
        <v>0</v>
      </c>
      <c r="FM14" s="842">
        <f t="shared" si="46"/>
        <v>0</v>
      </c>
      <c r="FN14" s="842">
        <f t="shared" si="46"/>
        <v>0</v>
      </c>
      <c r="FO14" s="842">
        <f t="shared" si="46"/>
        <v>0</v>
      </c>
      <c r="FP14" s="842">
        <f t="shared" si="47"/>
        <v>0</v>
      </c>
      <c r="FQ14" s="842">
        <f t="shared" si="47"/>
        <v>0</v>
      </c>
      <c r="FR14" s="842">
        <f t="shared" si="47"/>
        <v>0</v>
      </c>
      <c r="FS14" s="842">
        <f t="shared" si="47"/>
        <v>0</v>
      </c>
      <c r="FT14" s="842">
        <f t="shared" si="47"/>
        <v>0</v>
      </c>
      <c r="FU14" s="842">
        <f t="shared" si="47"/>
        <v>0</v>
      </c>
      <c r="FV14" s="842">
        <f t="shared" si="47"/>
        <v>0</v>
      </c>
      <c r="FW14" s="843">
        <v>40.9</v>
      </c>
      <c r="FX14" s="788" t="s">
        <v>179</v>
      </c>
      <c r="FY14" s="843">
        <v>2.0799999999999999E-2</v>
      </c>
      <c r="FZ14" s="844" t="s">
        <v>2232</v>
      </c>
      <c r="GB14" s="802" t="s">
        <v>2194</v>
      </c>
      <c r="GC14" s="802">
        <v>1000</v>
      </c>
    </row>
    <row r="15" spans="3:185" ht="23.25" customHeight="1">
      <c r="C15" s="1487"/>
      <c r="D15" s="1485" t="s">
        <v>20</v>
      </c>
      <c r="E15" s="1485"/>
      <c r="F15" s="1485"/>
      <c r="G15" s="838" t="s">
        <v>2193</v>
      </c>
      <c r="H15" s="839"/>
      <c r="I15" s="839"/>
      <c r="J15" s="839"/>
      <c r="K15" s="839"/>
      <c r="L15" s="839"/>
      <c r="M15" s="839"/>
      <c r="N15" s="839"/>
      <c r="O15" s="839"/>
      <c r="P15" s="839"/>
      <c r="Q15" s="839"/>
      <c r="R15" s="839"/>
      <c r="S15" s="839"/>
      <c r="T15" s="839"/>
      <c r="U15" s="839"/>
      <c r="V15" s="839"/>
      <c r="W15" s="839"/>
      <c r="X15" s="839"/>
      <c r="Y15" s="839"/>
      <c r="Z15" s="839"/>
      <c r="AA15" s="839"/>
      <c r="AB15" s="839"/>
      <c r="AC15" s="839"/>
      <c r="AD15" s="839"/>
      <c r="AE15" s="839"/>
      <c r="AF15" s="839"/>
      <c r="AG15" s="839"/>
      <c r="AH15" s="839"/>
      <c r="AI15" s="839"/>
      <c r="AJ15" s="839"/>
      <c r="AK15" s="839"/>
      <c r="AL15" s="839"/>
      <c r="AM15" s="839"/>
      <c r="AN15" s="839"/>
      <c r="AO15" s="839"/>
      <c r="AP15" s="839"/>
      <c r="AQ15" s="839"/>
      <c r="AR15" s="839"/>
      <c r="AS15" s="839"/>
      <c r="AT15" s="839"/>
      <c r="AU15" s="839"/>
      <c r="AV15" s="839"/>
      <c r="AW15" s="839"/>
      <c r="AX15" s="839"/>
      <c r="AY15" s="839"/>
      <c r="AZ15" s="839"/>
      <c r="BA15" s="839"/>
      <c r="BB15" s="839"/>
      <c r="BC15" s="839"/>
      <c r="BD15" s="839"/>
      <c r="BE15" s="839"/>
      <c r="BF15" s="839"/>
      <c r="BG15" s="839"/>
      <c r="BH15" s="839"/>
      <c r="BI15" s="839"/>
      <c r="BJ15" s="840">
        <f t="shared" si="0"/>
        <v>0</v>
      </c>
      <c r="BK15" s="840">
        <f t="shared" si="1"/>
        <v>0</v>
      </c>
      <c r="BL15" s="840">
        <f t="shared" si="2"/>
        <v>0</v>
      </c>
      <c r="BM15" s="840">
        <f t="shared" si="3"/>
        <v>0</v>
      </c>
      <c r="BN15" s="840">
        <f t="shared" si="4"/>
        <v>0</v>
      </c>
      <c r="BO15" s="840">
        <f t="shared" si="5"/>
        <v>0</v>
      </c>
      <c r="BP15" s="840">
        <f t="shared" si="6"/>
        <v>0</v>
      </c>
      <c r="BQ15" s="840">
        <f t="shared" si="7"/>
        <v>0</v>
      </c>
      <c r="BR15" s="840">
        <f t="shared" si="8"/>
        <v>0</v>
      </c>
      <c r="BS15" s="840">
        <f t="shared" si="9"/>
        <v>0</v>
      </c>
      <c r="BT15" s="840">
        <f t="shared" si="10"/>
        <v>0</v>
      </c>
      <c r="BU15" s="840">
        <f t="shared" si="11"/>
        <v>0</v>
      </c>
      <c r="BV15" s="840">
        <f t="shared" si="12"/>
        <v>0</v>
      </c>
      <c r="BW15" s="840">
        <f t="shared" si="13"/>
        <v>0</v>
      </c>
      <c r="BX15" s="840">
        <f t="shared" si="14"/>
        <v>0</v>
      </c>
      <c r="BY15" s="840">
        <f t="shared" si="15"/>
        <v>0</v>
      </c>
      <c r="BZ15" s="840">
        <f t="shared" si="16"/>
        <v>0</v>
      </c>
      <c r="CA15" s="840">
        <f t="shared" si="48"/>
        <v>0</v>
      </c>
      <c r="CB15" s="840">
        <f t="shared" si="17"/>
        <v>0</v>
      </c>
      <c r="CC15" s="840">
        <f t="shared" si="17"/>
        <v>0</v>
      </c>
      <c r="CD15" s="840">
        <f t="shared" si="17"/>
        <v>0</v>
      </c>
      <c r="CE15" s="840">
        <f t="shared" si="17"/>
        <v>0</v>
      </c>
      <c r="CF15" s="840">
        <f t="shared" si="17"/>
        <v>0</v>
      </c>
      <c r="CG15" s="840">
        <f t="shared" si="18"/>
        <v>1000</v>
      </c>
      <c r="CH15" s="841" t="s">
        <v>194</v>
      </c>
      <c r="CI15" s="840">
        <f t="shared" si="19"/>
        <v>0</v>
      </c>
      <c r="CJ15" s="840">
        <f t="shared" si="20"/>
        <v>0</v>
      </c>
      <c r="CK15" s="840">
        <f t="shared" si="21"/>
        <v>0</v>
      </c>
      <c r="CL15" s="840">
        <f t="shared" si="22"/>
        <v>0</v>
      </c>
      <c r="CM15" s="840">
        <f t="shared" si="23"/>
        <v>0</v>
      </c>
      <c r="CN15" s="840">
        <f t="shared" si="24"/>
        <v>0</v>
      </c>
      <c r="CO15" s="840">
        <f t="shared" si="25"/>
        <v>0</v>
      </c>
      <c r="CP15" s="840">
        <f t="shared" si="26"/>
        <v>0</v>
      </c>
      <c r="CQ15" s="840">
        <f t="shared" si="27"/>
        <v>0</v>
      </c>
      <c r="CR15" s="840">
        <f t="shared" si="28"/>
        <v>0</v>
      </c>
      <c r="CS15" s="840">
        <f t="shared" si="29"/>
        <v>0</v>
      </c>
      <c r="CT15" s="840">
        <f t="shared" si="30"/>
        <v>0</v>
      </c>
      <c r="CU15" s="840">
        <f t="shared" si="31"/>
        <v>0</v>
      </c>
      <c r="CV15" s="840">
        <f t="shared" si="32"/>
        <v>0</v>
      </c>
      <c r="CW15" s="840">
        <f t="shared" si="33"/>
        <v>0</v>
      </c>
      <c r="CX15" s="840">
        <f t="shared" si="34"/>
        <v>0</v>
      </c>
      <c r="CY15" s="840">
        <f t="shared" si="35"/>
        <v>0</v>
      </c>
      <c r="CZ15" s="840">
        <f t="shared" si="36"/>
        <v>0</v>
      </c>
      <c r="DA15" s="840">
        <f t="shared" si="37"/>
        <v>0</v>
      </c>
      <c r="DB15" s="840">
        <f t="shared" si="38"/>
        <v>0</v>
      </c>
      <c r="DC15" s="840">
        <f t="shared" si="39"/>
        <v>0</v>
      </c>
      <c r="DD15" s="840">
        <f t="shared" si="40"/>
        <v>0</v>
      </c>
      <c r="DE15" s="840">
        <f t="shared" si="41"/>
        <v>0</v>
      </c>
      <c r="DF15" s="840">
        <f t="shared" si="42"/>
        <v>0</v>
      </c>
      <c r="DG15" s="840">
        <f t="shared" si="42"/>
        <v>0</v>
      </c>
      <c r="DH15" s="840">
        <f t="shared" si="42"/>
        <v>0</v>
      </c>
      <c r="DI15" s="840">
        <f t="shared" si="42"/>
        <v>0</v>
      </c>
      <c r="DJ15" s="840">
        <f t="shared" si="42"/>
        <v>0</v>
      </c>
      <c r="DK15" s="840">
        <f t="shared" si="42"/>
        <v>0</v>
      </c>
      <c r="DL15" s="840">
        <f t="shared" si="42"/>
        <v>0</v>
      </c>
      <c r="DM15" s="840">
        <f t="shared" si="42"/>
        <v>0</v>
      </c>
      <c r="DN15" s="840">
        <f t="shared" si="42"/>
        <v>0</v>
      </c>
      <c r="DO15" s="840">
        <f t="shared" si="42"/>
        <v>0</v>
      </c>
      <c r="DP15" s="840">
        <f t="shared" si="42"/>
        <v>0</v>
      </c>
      <c r="DQ15" s="840">
        <f t="shared" si="42"/>
        <v>0</v>
      </c>
      <c r="DR15" s="840">
        <f t="shared" si="42"/>
        <v>0</v>
      </c>
      <c r="DS15" s="840">
        <f t="shared" si="42"/>
        <v>0</v>
      </c>
      <c r="DT15" s="840">
        <f t="shared" si="42"/>
        <v>0</v>
      </c>
      <c r="DU15" s="840">
        <f t="shared" si="42"/>
        <v>0</v>
      </c>
      <c r="DV15" s="840">
        <f t="shared" si="43"/>
        <v>0</v>
      </c>
      <c r="DW15" s="840">
        <f t="shared" si="43"/>
        <v>0</v>
      </c>
      <c r="DX15" s="840">
        <f t="shared" si="43"/>
        <v>0</v>
      </c>
      <c r="DY15" s="840">
        <f t="shared" si="43"/>
        <v>0</v>
      </c>
      <c r="DZ15" s="840">
        <f t="shared" si="43"/>
        <v>0</v>
      </c>
      <c r="EA15" s="840">
        <f t="shared" si="43"/>
        <v>0</v>
      </c>
      <c r="EB15" s="840">
        <f t="shared" si="43"/>
        <v>0</v>
      </c>
      <c r="EC15" s="840">
        <f t="shared" si="44"/>
        <v>0</v>
      </c>
      <c r="ED15" s="840">
        <f t="shared" si="44"/>
        <v>0</v>
      </c>
      <c r="EE15" s="840">
        <f t="shared" si="44"/>
        <v>0</v>
      </c>
      <c r="EF15" s="840">
        <f t="shared" si="44"/>
        <v>0</v>
      </c>
      <c r="EG15" s="840">
        <f t="shared" si="44"/>
        <v>0</v>
      </c>
      <c r="EH15" s="840">
        <f t="shared" si="44"/>
        <v>0</v>
      </c>
      <c r="EI15" s="840">
        <f t="shared" si="44"/>
        <v>0</v>
      </c>
      <c r="EJ15" s="840">
        <f t="shared" si="44"/>
        <v>0</v>
      </c>
      <c r="EK15" s="840">
        <f t="shared" si="44"/>
        <v>0</v>
      </c>
      <c r="EL15" s="840">
        <f t="shared" si="44"/>
        <v>0</v>
      </c>
      <c r="EM15" s="840">
        <f t="shared" si="44"/>
        <v>0</v>
      </c>
      <c r="EN15" s="840">
        <f t="shared" si="44"/>
        <v>0</v>
      </c>
      <c r="EO15" s="840">
        <f t="shared" si="44"/>
        <v>0</v>
      </c>
      <c r="EP15" s="840">
        <f t="shared" si="44"/>
        <v>0</v>
      </c>
      <c r="EQ15" s="840">
        <f t="shared" si="44"/>
        <v>0</v>
      </c>
      <c r="ER15" s="840">
        <f t="shared" si="44"/>
        <v>0</v>
      </c>
      <c r="ES15" s="840">
        <f t="shared" si="45"/>
        <v>0</v>
      </c>
      <c r="ET15" s="840">
        <f t="shared" si="45"/>
        <v>0</v>
      </c>
      <c r="EU15" s="840">
        <f t="shared" si="45"/>
        <v>0</v>
      </c>
      <c r="EV15" s="840">
        <f t="shared" si="45"/>
        <v>0</v>
      </c>
      <c r="EW15" s="840">
        <f t="shared" si="45"/>
        <v>0</v>
      </c>
      <c r="EX15" s="840">
        <f t="shared" si="45"/>
        <v>0</v>
      </c>
      <c r="EY15" s="840">
        <f t="shared" si="45"/>
        <v>0</v>
      </c>
      <c r="EZ15" s="842">
        <f t="shared" si="46"/>
        <v>0</v>
      </c>
      <c r="FA15" s="842">
        <f t="shared" si="46"/>
        <v>0</v>
      </c>
      <c r="FB15" s="842">
        <f t="shared" si="46"/>
        <v>0</v>
      </c>
      <c r="FC15" s="842">
        <f t="shared" si="46"/>
        <v>0</v>
      </c>
      <c r="FD15" s="842">
        <f t="shared" si="46"/>
        <v>0</v>
      </c>
      <c r="FE15" s="842">
        <f t="shared" si="46"/>
        <v>0</v>
      </c>
      <c r="FF15" s="842">
        <f t="shared" si="46"/>
        <v>0</v>
      </c>
      <c r="FG15" s="842">
        <f t="shared" si="46"/>
        <v>0</v>
      </c>
      <c r="FH15" s="842">
        <f t="shared" si="46"/>
        <v>0</v>
      </c>
      <c r="FI15" s="842">
        <f t="shared" si="46"/>
        <v>0</v>
      </c>
      <c r="FJ15" s="842">
        <f t="shared" si="46"/>
        <v>0</v>
      </c>
      <c r="FK15" s="842">
        <f t="shared" si="46"/>
        <v>0</v>
      </c>
      <c r="FL15" s="842">
        <f t="shared" si="46"/>
        <v>0</v>
      </c>
      <c r="FM15" s="842">
        <f t="shared" si="46"/>
        <v>0</v>
      </c>
      <c r="FN15" s="842">
        <f t="shared" si="46"/>
        <v>0</v>
      </c>
      <c r="FO15" s="842">
        <f t="shared" si="46"/>
        <v>0</v>
      </c>
      <c r="FP15" s="842">
        <f t="shared" si="47"/>
        <v>0</v>
      </c>
      <c r="FQ15" s="842">
        <f t="shared" si="47"/>
        <v>0</v>
      </c>
      <c r="FR15" s="842">
        <f t="shared" si="47"/>
        <v>0</v>
      </c>
      <c r="FS15" s="842">
        <f t="shared" si="47"/>
        <v>0</v>
      </c>
      <c r="FT15" s="842">
        <f t="shared" si="47"/>
        <v>0</v>
      </c>
      <c r="FU15" s="842">
        <f t="shared" si="47"/>
        <v>0</v>
      </c>
      <c r="FV15" s="842">
        <f t="shared" si="47"/>
        <v>0</v>
      </c>
      <c r="FW15" s="843">
        <v>29.9</v>
      </c>
      <c r="FX15" s="788" t="s">
        <v>179</v>
      </c>
      <c r="FY15" s="843">
        <v>2.5399999999999999E-2</v>
      </c>
      <c r="FZ15" s="844" t="s">
        <v>2232</v>
      </c>
      <c r="GB15" s="802" t="s">
        <v>2195</v>
      </c>
      <c r="GC15" s="802">
        <v>1</v>
      </c>
    </row>
    <row r="16" spans="3:185" ht="23.25" customHeight="1">
      <c r="C16" s="1487"/>
      <c r="D16" s="1485" t="s">
        <v>21</v>
      </c>
      <c r="E16" s="1485" t="s">
        <v>22</v>
      </c>
      <c r="F16" s="1485"/>
      <c r="G16" s="845" t="s">
        <v>374</v>
      </c>
      <c r="H16" s="839"/>
      <c r="I16" s="839"/>
      <c r="J16" s="839"/>
      <c r="K16" s="839"/>
      <c r="L16" s="840">
        <f>'１．ガス単位換算_～R6建物系'!AG31</f>
        <v>0</v>
      </c>
      <c r="M16" s="840">
        <f>'１．ガス単位換算_～R6建物系'!AH31</f>
        <v>0</v>
      </c>
      <c r="N16" s="840">
        <f>'１．ガス単位換算_～R6建物系'!AI31</f>
        <v>0</v>
      </c>
      <c r="O16" s="840">
        <f>'１．ガス単位換算_～R6建物系'!AJ31</f>
        <v>0</v>
      </c>
      <c r="P16" s="840">
        <f>'１．ガス単位換算_～R6建物系'!AK31</f>
        <v>0</v>
      </c>
      <c r="Q16" s="840">
        <f>'１．ガス単位換算_～R6建物系'!AL31</f>
        <v>0</v>
      </c>
      <c r="R16" s="840">
        <f>'１．ガス単位換算_～R6建物系'!AM31</f>
        <v>0</v>
      </c>
      <c r="S16" s="840">
        <f>'１．ガス単位換算_～R6建物系'!AN31</f>
        <v>0</v>
      </c>
      <c r="T16" s="840">
        <f>'１．ガス単位換算_～R6建物系'!AO31</f>
        <v>0</v>
      </c>
      <c r="U16" s="840">
        <f>'１．ガス単位換算_～R6建物系'!AP31</f>
        <v>0</v>
      </c>
      <c r="V16" s="840">
        <f>'１．ガス単位換算_～R6建物系'!AQ31</f>
        <v>0</v>
      </c>
      <c r="W16" s="840">
        <f>'１．ガス単位換算_～R6建物系'!AR31</f>
        <v>0</v>
      </c>
      <c r="X16" s="840">
        <f>'１．ガス単位換算_～R6建物系'!AS31</f>
        <v>0</v>
      </c>
      <c r="Y16" s="840">
        <f>'１．ガス単位換算_～R6建物系'!AT31</f>
        <v>0</v>
      </c>
      <c r="Z16" s="840">
        <f>'１．ガス単位換算_～R6建物系'!AU31</f>
        <v>0</v>
      </c>
      <c r="AA16" s="840">
        <f>'１．ガス単位換算_～R6建物系'!AV31</f>
        <v>0</v>
      </c>
      <c r="AB16" s="840">
        <f>'１．ガス単位換算_～R6建物系'!AW31</f>
        <v>0</v>
      </c>
      <c r="AC16" s="840">
        <f>'１．ガス単位換算_～R6建物系'!AX31</f>
        <v>0</v>
      </c>
      <c r="AD16" s="840">
        <f>'１．ガス単位換算_～R6建物系'!AY31</f>
        <v>0</v>
      </c>
      <c r="AE16" s="840">
        <f>'１．ガス単位換算_～R6建物系'!AZ31</f>
        <v>0</v>
      </c>
      <c r="AF16" s="840">
        <f>'１．ガス単位換算_～R6建物系'!BA31</f>
        <v>0</v>
      </c>
      <c r="AG16" s="840">
        <f>'１．ガス単位換算_～R6建物系'!BB31</f>
        <v>0</v>
      </c>
      <c r="AH16" s="840">
        <f>'１．ガス単位換算_～R6建物系'!BC31</f>
        <v>0</v>
      </c>
      <c r="AI16" s="839"/>
      <c r="AJ16" s="839"/>
      <c r="AK16" s="839"/>
      <c r="AL16" s="839"/>
      <c r="AM16" s="839"/>
      <c r="AN16" s="839"/>
      <c r="AO16" s="839"/>
      <c r="AP16" s="839"/>
      <c r="AQ16" s="839"/>
      <c r="AR16" s="839"/>
      <c r="AS16" s="839"/>
      <c r="AT16" s="839"/>
      <c r="AU16" s="839"/>
      <c r="AV16" s="839"/>
      <c r="AW16" s="839"/>
      <c r="AX16" s="839"/>
      <c r="AY16" s="839"/>
      <c r="AZ16" s="839"/>
      <c r="BA16" s="839"/>
      <c r="BB16" s="839"/>
      <c r="BC16" s="839"/>
      <c r="BD16" s="839"/>
      <c r="BE16" s="839"/>
      <c r="BF16" s="839"/>
      <c r="BG16" s="839"/>
      <c r="BH16" s="839"/>
      <c r="BI16" s="839"/>
      <c r="BJ16" s="840">
        <f t="shared" si="0"/>
        <v>0</v>
      </c>
      <c r="BK16" s="840">
        <f t="shared" si="1"/>
        <v>0</v>
      </c>
      <c r="BL16" s="840">
        <f t="shared" si="2"/>
        <v>0</v>
      </c>
      <c r="BM16" s="840">
        <f t="shared" si="3"/>
        <v>0</v>
      </c>
      <c r="BN16" s="840">
        <f t="shared" si="4"/>
        <v>0</v>
      </c>
      <c r="BO16" s="840">
        <f t="shared" si="5"/>
        <v>0</v>
      </c>
      <c r="BP16" s="840">
        <f t="shared" si="6"/>
        <v>0</v>
      </c>
      <c r="BQ16" s="840">
        <f t="shared" si="7"/>
        <v>0</v>
      </c>
      <c r="BR16" s="840">
        <f t="shared" si="8"/>
        <v>0</v>
      </c>
      <c r="BS16" s="840">
        <f t="shared" si="9"/>
        <v>0</v>
      </c>
      <c r="BT16" s="840">
        <f t="shared" si="10"/>
        <v>0</v>
      </c>
      <c r="BU16" s="840">
        <f t="shared" si="11"/>
        <v>0</v>
      </c>
      <c r="BV16" s="840">
        <f t="shared" si="12"/>
        <v>0</v>
      </c>
      <c r="BW16" s="840">
        <f t="shared" si="13"/>
        <v>0</v>
      </c>
      <c r="BX16" s="840">
        <f t="shared" si="14"/>
        <v>0</v>
      </c>
      <c r="BY16" s="840">
        <f t="shared" si="15"/>
        <v>0</v>
      </c>
      <c r="BZ16" s="840">
        <f t="shared" si="16"/>
        <v>0</v>
      </c>
      <c r="CA16" s="840">
        <f t="shared" si="48"/>
        <v>0</v>
      </c>
      <c r="CB16" s="840">
        <f t="shared" si="17"/>
        <v>0</v>
      </c>
      <c r="CC16" s="840">
        <f t="shared" si="17"/>
        <v>0</v>
      </c>
      <c r="CD16" s="840">
        <f t="shared" si="17"/>
        <v>0</v>
      </c>
      <c r="CE16" s="840">
        <f t="shared" si="17"/>
        <v>0</v>
      </c>
      <c r="CF16" s="840">
        <f t="shared" si="17"/>
        <v>0</v>
      </c>
      <c r="CG16" s="840">
        <f t="shared" si="18"/>
        <v>1</v>
      </c>
      <c r="CH16" s="841" t="s">
        <v>194</v>
      </c>
      <c r="CI16" s="840">
        <f t="shared" si="19"/>
        <v>0</v>
      </c>
      <c r="CJ16" s="840">
        <f t="shared" si="20"/>
        <v>0</v>
      </c>
      <c r="CK16" s="840">
        <f t="shared" si="21"/>
        <v>0</v>
      </c>
      <c r="CL16" s="840">
        <f t="shared" si="22"/>
        <v>0</v>
      </c>
      <c r="CM16" s="840">
        <f t="shared" si="23"/>
        <v>0</v>
      </c>
      <c r="CN16" s="840">
        <f t="shared" si="24"/>
        <v>0</v>
      </c>
      <c r="CO16" s="840">
        <f t="shared" si="25"/>
        <v>0</v>
      </c>
      <c r="CP16" s="840">
        <f t="shared" si="26"/>
        <v>0</v>
      </c>
      <c r="CQ16" s="840">
        <f t="shared" si="27"/>
        <v>0</v>
      </c>
      <c r="CR16" s="840">
        <f t="shared" si="28"/>
        <v>0</v>
      </c>
      <c r="CS16" s="840">
        <f t="shared" si="29"/>
        <v>0</v>
      </c>
      <c r="CT16" s="840">
        <f t="shared" si="30"/>
        <v>0</v>
      </c>
      <c r="CU16" s="840">
        <f t="shared" si="31"/>
        <v>0</v>
      </c>
      <c r="CV16" s="840">
        <f t="shared" si="32"/>
        <v>0</v>
      </c>
      <c r="CW16" s="840">
        <f t="shared" si="33"/>
        <v>0</v>
      </c>
      <c r="CX16" s="840">
        <f t="shared" si="34"/>
        <v>0</v>
      </c>
      <c r="CY16" s="840">
        <f t="shared" si="35"/>
        <v>0</v>
      </c>
      <c r="CZ16" s="840">
        <f t="shared" si="36"/>
        <v>0</v>
      </c>
      <c r="DA16" s="840">
        <f t="shared" si="37"/>
        <v>0</v>
      </c>
      <c r="DB16" s="840">
        <f t="shared" si="38"/>
        <v>0</v>
      </c>
      <c r="DC16" s="840">
        <f t="shared" si="39"/>
        <v>0</v>
      </c>
      <c r="DD16" s="840">
        <f t="shared" si="40"/>
        <v>0</v>
      </c>
      <c r="DE16" s="840">
        <f t="shared" si="41"/>
        <v>0</v>
      </c>
      <c r="DF16" s="840">
        <f t="shared" si="42"/>
        <v>0</v>
      </c>
      <c r="DG16" s="840">
        <f t="shared" si="42"/>
        <v>0</v>
      </c>
      <c r="DH16" s="840">
        <f t="shared" si="42"/>
        <v>0</v>
      </c>
      <c r="DI16" s="840">
        <f t="shared" si="42"/>
        <v>0</v>
      </c>
      <c r="DJ16" s="840">
        <f t="shared" si="42"/>
        <v>0</v>
      </c>
      <c r="DK16" s="840">
        <f t="shared" si="42"/>
        <v>0</v>
      </c>
      <c r="DL16" s="840">
        <f t="shared" si="42"/>
        <v>0</v>
      </c>
      <c r="DM16" s="840">
        <f t="shared" si="42"/>
        <v>0</v>
      </c>
      <c r="DN16" s="840">
        <f t="shared" si="42"/>
        <v>0</v>
      </c>
      <c r="DO16" s="840">
        <f t="shared" si="42"/>
        <v>0</v>
      </c>
      <c r="DP16" s="840">
        <f t="shared" si="42"/>
        <v>0</v>
      </c>
      <c r="DQ16" s="840">
        <f t="shared" si="42"/>
        <v>0</v>
      </c>
      <c r="DR16" s="840">
        <f t="shared" si="42"/>
        <v>0</v>
      </c>
      <c r="DS16" s="840">
        <f t="shared" si="42"/>
        <v>0</v>
      </c>
      <c r="DT16" s="840">
        <f t="shared" si="42"/>
        <v>0</v>
      </c>
      <c r="DU16" s="840">
        <f t="shared" si="42"/>
        <v>0</v>
      </c>
      <c r="DV16" s="840">
        <f t="shared" si="43"/>
        <v>0</v>
      </c>
      <c r="DW16" s="840">
        <f t="shared" si="43"/>
        <v>0</v>
      </c>
      <c r="DX16" s="840">
        <f t="shared" si="43"/>
        <v>0</v>
      </c>
      <c r="DY16" s="840">
        <f t="shared" si="43"/>
        <v>0</v>
      </c>
      <c r="DZ16" s="840">
        <f t="shared" si="43"/>
        <v>0</v>
      </c>
      <c r="EA16" s="840">
        <f t="shared" si="43"/>
        <v>0</v>
      </c>
      <c r="EB16" s="840">
        <f t="shared" si="43"/>
        <v>0</v>
      </c>
      <c r="EC16" s="840">
        <f t="shared" si="44"/>
        <v>0</v>
      </c>
      <c r="ED16" s="840">
        <f t="shared" si="44"/>
        <v>0</v>
      </c>
      <c r="EE16" s="840">
        <f t="shared" si="44"/>
        <v>0</v>
      </c>
      <c r="EF16" s="840">
        <f t="shared" si="44"/>
        <v>0</v>
      </c>
      <c r="EG16" s="840">
        <f t="shared" si="44"/>
        <v>0</v>
      </c>
      <c r="EH16" s="840">
        <f t="shared" si="44"/>
        <v>0</v>
      </c>
      <c r="EI16" s="840">
        <f t="shared" si="44"/>
        <v>0</v>
      </c>
      <c r="EJ16" s="840">
        <f t="shared" si="44"/>
        <v>0</v>
      </c>
      <c r="EK16" s="840">
        <f t="shared" si="44"/>
        <v>0</v>
      </c>
      <c r="EL16" s="840">
        <f t="shared" si="44"/>
        <v>0</v>
      </c>
      <c r="EM16" s="840">
        <f t="shared" si="44"/>
        <v>0</v>
      </c>
      <c r="EN16" s="840">
        <f t="shared" si="44"/>
        <v>0</v>
      </c>
      <c r="EO16" s="840">
        <f t="shared" si="44"/>
        <v>0</v>
      </c>
      <c r="EP16" s="840">
        <f t="shared" si="44"/>
        <v>0</v>
      </c>
      <c r="EQ16" s="840">
        <f t="shared" si="44"/>
        <v>0</v>
      </c>
      <c r="ER16" s="840">
        <f t="shared" si="44"/>
        <v>0</v>
      </c>
      <c r="ES16" s="840">
        <f t="shared" si="45"/>
        <v>0</v>
      </c>
      <c r="ET16" s="840">
        <f t="shared" si="45"/>
        <v>0</v>
      </c>
      <c r="EU16" s="840">
        <f t="shared" si="45"/>
        <v>0</v>
      </c>
      <c r="EV16" s="840">
        <f t="shared" si="45"/>
        <v>0</v>
      </c>
      <c r="EW16" s="840">
        <f t="shared" si="45"/>
        <v>0</v>
      </c>
      <c r="EX16" s="840">
        <f t="shared" si="45"/>
        <v>0</v>
      </c>
      <c r="EY16" s="840">
        <f t="shared" si="45"/>
        <v>0</v>
      </c>
      <c r="EZ16" s="842">
        <f t="shared" si="46"/>
        <v>0</v>
      </c>
      <c r="FA16" s="842">
        <f t="shared" si="46"/>
        <v>0</v>
      </c>
      <c r="FB16" s="842">
        <f t="shared" si="46"/>
        <v>0</v>
      </c>
      <c r="FC16" s="842">
        <f t="shared" si="46"/>
        <v>0</v>
      </c>
      <c r="FD16" s="842">
        <f t="shared" si="46"/>
        <v>0</v>
      </c>
      <c r="FE16" s="842">
        <f t="shared" si="46"/>
        <v>0</v>
      </c>
      <c r="FF16" s="842">
        <f t="shared" si="46"/>
        <v>0</v>
      </c>
      <c r="FG16" s="842">
        <f t="shared" si="46"/>
        <v>0</v>
      </c>
      <c r="FH16" s="842">
        <f t="shared" si="46"/>
        <v>0</v>
      </c>
      <c r="FI16" s="842">
        <f t="shared" si="46"/>
        <v>0</v>
      </c>
      <c r="FJ16" s="842">
        <f t="shared" si="46"/>
        <v>0</v>
      </c>
      <c r="FK16" s="842">
        <f t="shared" si="46"/>
        <v>0</v>
      </c>
      <c r="FL16" s="842">
        <f t="shared" si="46"/>
        <v>0</v>
      </c>
      <c r="FM16" s="842">
        <f t="shared" si="46"/>
        <v>0</v>
      </c>
      <c r="FN16" s="842">
        <f t="shared" si="46"/>
        <v>0</v>
      </c>
      <c r="FO16" s="842">
        <f t="shared" si="46"/>
        <v>0</v>
      </c>
      <c r="FP16" s="842">
        <f t="shared" si="47"/>
        <v>0</v>
      </c>
      <c r="FQ16" s="842">
        <f t="shared" si="47"/>
        <v>0</v>
      </c>
      <c r="FR16" s="842">
        <f t="shared" si="47"/>
        <v>0</v>
      </c>
      <c r="FS16" s="842">
        <f t="shared" si="47"/>
        <v>0</v>
      </c>
      <c r="FT16" s="842">
        <f t="shared" si="47"/>
        <v>0</v>
      </c>
      <c r="FU16" s="842">
        <f t="shared" si="47"/>
        <v>0</v>
      </c>
      <c r="FV16" s="842">
        <f t="shared" si="47"/>
        <v>0</v>
      </c>
      <c r="FW16" s="843">
        <v>50.8</v>
      </c>
      <c r="FX16" s="788" t="s">
        <v>179</v>
      </c>
      <c r="FY16" s="843">
        <v>1.61E-2</v>
      </c>
      <c r="FZ16" s="844" t="s">
        <v>2232</v>
      </c>
      <c r="GB16" s="802" t="s">
        <v>370</v>
      </c>
      <c r="GC16" s="802">
        <v>1000</v>
      </c>
    </row>
    <row r="17" spans="3:186" ht="23.25" customHeight="1">
      <c r="C17" s="1487"/>
      <c r="D17" s="1485"/>
      <c r="E17" s="1485" t="s">
        <v>23</v>
      </c>
      <c r="F17" s="1485"/>
      <c r="G17" s="846" t="s">
        <v>2158</v>
      </c>
      <c r="H17" s="839"/>
      <c r="I17" s="839"/>
      <c r="J17" s="839"/>
      <c r="K17" s="839"/>
      <c r="L17" s="839"/>
      <c r="M17" s="839"/>
      <c r="N17" s="839"/>
      <c r="O17" s="839"/>
      <c r="P17" s="839"/>
      <c r="Q17" s="839"/>
      <c r="R17" s="839"/>
      <c r="S17" s="839"/>
      <c r="T17" s="839"/>
      <c r="U17" s="839"/>
      <c r="V17" s="839"/>
      <c r="W17" s="839"/>
      <c r="X17" s="839"/>
      <c r="Y17" s="839"/>
      <c r="Z17" s="839"/>
      <c r="AA17" s="839"/>
      <c r="AB17" s="839"/>
      <c r="AC17" s="839"/>
      <c r="AD17" s="839"/>
      <c r="AE17" s="839"/>
      <c r="AF17" s="839"/>
      <c r="AG17" s="839"/>
      <c r="AH17" s="839"/>
      <c r="AI17" s="839"/>
      <c r="AJ17" s="839"/>
      <c r="AK17" s="839"/>
      <c r="AL17" s="839"/>
      <c r="AM17" s="839"/>
      <c r="AN17" s="839"/>
      <c r="AO17" s="839"/>
      <c r="AP17" s="839"/>
      <c r="AQ17" s="839"/>
      <c r="AR17" s="839"/>
      <c r="AS17" s="839"/>
      <c r="AT17" s="839"/>
      <c r="AU17" s="839"/>
      <c r="AV17" s="839"/>
      <c r="AW17" s="839"/>
      <c r="AX17" s="839"/>
      <c r="AY17" s="839"/>
      <c r="AZ17" s="839"/>
      <c r="BA17" s="839"/>
      <c r="BB17" s="839"/>
      <c r="BC17" s="839"/>
      <c r="BD17" s="839"/>
      <c r="BE17" s="839"/>
      <c r="BF17" s="839"/>
      <c r="BG17" s="839"/>
      <c r="BH17" s="839"/>
      <c r="BI17" s="839"/>
      <c r="BJ17" s="840">
        <f t="shared" si="0"/>
        <v>0</v>
      </c>
      <c r="BK17" s="840">
        <f t="shared" si="1"/>
        <v>0</v>
      </c>
      <c r="BL17" s="840">
        <f t="shared" si="2"/>
        <v>0</v>
      </c>
      <c r="BM17" s="840">
        <f t="shared" si="3"/>
        <v>0</v>
      </c>
      <c r="BN17" s="840">
        <f t="shared" si="4"/>
        <v>0</v>
      </c>
      <c r="BO17" s="840">
        <f t="shared" si="5"/>
        <v>0</v>
      </c>
      <c r="BP17" s="840">
        <f t="shared" si="6"/>
        <v>0</v>
      </c>
      <c r="BQ17" s="840">
        <f t="shared" si="7"/>
        <v>0</v>
      </c>
      <c r="BR17" s="840">
        <f t="shared" si="8"/>
        <v>0</v>
      </c>
      <c r="BS17" s="840">
        <f t="shared" si="9"/>
        <v>0</v>
      </c>
      <c r="BT17" s="840">
        <f t="shared" si="10"/>
        <v>0</v>
      </c>
      <c r="BU17" s="840">
        <f t="shared" si="11"/>
        <v>0</v>
      </c>
      <c r="BV17" s="840">
        <f t="shared" si="12"/>
        <v>0</v>
      </c>
      <c r="BW17" s="840">
        <f t="shared" si="13"/>
        <v>0</v>
      </c>
      <c r="BX17" s="840">
        <f t="shared" si="14"/>
        <v>0</v>
      </c>
      <c r="BY17" s="840">
        <f t="shared" si="15"/>
        <v>0</v>
      </c>
      <c r="BZ17" s="840">
        <f t="shared" si="16"/>
        <v>0</v>
      </c>
      <c r="CA17" s="840">
        <f t="shared" si="48"/>
        <v>0</v>
      </c>
      <c r="CB17" s="840">
        <f t="shared" si="17"/>
        <v>0</v>
      </c>
      <c r="CC17" s="840">
        <f t="shared" si="17"/>
        <v>0</v>
      </c>
      <c r="CD17" s="840">
        <f t="shared" si="17"/>
        <v>0</v>
      </c>
      <c r="CE17" s="840">
        <f t="shared" si="17"/>
        <v>0</v>
      </c>
      <c r="CF17" s="840">
        <f t="shared" si="17"/>
        <v>0</v>
      </c>
      <c r="CG17" s="840">
        <f t="shared" si="18"/>
        <v>1000</v>
      </c>
      <c r="CH17" s="847" t="s">
        <v>2235</v>
      </c>
      <c r="CI17" s="840">
        <f t="shared" si="19"/>
        <v>0</v>
      </c>
      <c r="CJ17" s="840">
        <f t="shared" si="20"/>
        <v>0</v>
      </c>
      <c r="CK17" s="840">
        <f t="shared" si="21"/>
        <v>0</v>
      </c>
      <c r="CL17" s="840">
        <f t="shared" si="22"/>
        <v>0</v>
      </c>
      <c r="CM17" s="840">
        <f>ROUND(H18_控除後使用量/単位補正２,0)</f>
        <v>0</v>
      </c>
      <c r="CN17" s="840">
        <f t="shared" si="24"/>
        <v>0</v>
      </c>
      <c r="CO17" s="840">
        <f t="shared" si="25"/>
        <v>0</v>
      </c>
      <c r="CP17" s="840">
        <f t="shared" si="26"/>
        <v>0</v>
      </c>
      <c r="CQ17" s="840">
        <f t="shared" si="27"/>
        <v>0</v>
      </c>
      <c r="CR17" s="840">
        <f t="shared" si="28"/>
        <v>0</v>
      </c>
      <c r="CS17" s="840">
        <f t="shared" si="29"/>
        <v>0</v>
      </c>
      <c r="CT17" s="840">
        <f t="shared" si="30"/>
        <v>0</v>
      </c>
      <c r="CU17" s="840">
        <f t="shared" si="31"/>
        <v>0</v>
      </c>
      <c r="CV17" s="840">
        <f t="shared" si="32"/>
        <v>0</v>
      </c>
      <c r="CW17" s="840">
        <f t="shared" si="33"/>
        <v>0</v>
      </c>
      <c r="CX17" s="840">
        <f t="shared" si="34"/>
        <v>0</v>
      </c>
      <c r="CY17" s="840">
        <f t="shared" si="35"/>
        <v>0</v>
      </c>
      <c r="CZ17" s="840">
        <f t="shared" si="36"/>
        <v>0</v>
      </c>
      <c r="DA17" s="840">
        <f t="shared" si="37"/>
        <v>0</v>
      </c>
      <c r="DB17" s="840">
        <f t="shared" si="38"/>
        <v>0</v>
      </c>
      <c r="DC17" s="840">
        <f t="shared" si="39"/>
        <v>0</v>
      </c>
      <c r="DD17" s="840">
        <f t="shared" si="40"/>
        <v>0</v>
      </c>
      <c r="DE17" s="840">
        <f t="shared" si="41"/>
        <v>0</v>
      </c>
      <c r="DF17" s="840">
        <f t="shared" si="42"/>
        <v>0</v>
      </c>
      <c r="DG17" s="840">
        <f t="shared" si="42"/>
        <v>0</v>
      </c>
      <c r="DH17" s="840">
        <f t="shared" si="42"/>
        <v>0</v>
      </c>
      <c r="DI17" s="840">
        <f t="shared" si="42"/>
        <v>0</v>
      </c>
      <c r="DJ17" s="840">
        <f t="shared" si="42"/>
        <v>0</v>
      </c>
      <c r="DK17" s="840">
        <f t="shared" si="42"/>
        <v>0</v>
      </c>
      <c r="DL17" s="840">
        <f t="shared" si="42"/>
        <v>0</v>
      </c>
      <c r="DM17" s="840">
        <f t="shared" si="42"/>
        <v>0</v>
      </c>
      <c r="DN17" s="840">
        <f t="shared" si="42"/>
        <v>0</v>
      </c>
      <c r="DO17" s="840">
        <f t="shared" si="42"/>
        <v>0</v>
      </c>
      <c r="DP17" s="840">
        <f t="shared" si="42"/>
        <v>0</v>
      </c>
      <c r="DQ17" s="840">
        <f t="shared" si="42"/>
        <v>0</v>
      </c>
      <c r="DR17" s="840">
        <f t="shared" si="42"/>
        <v>0</v>
      </c>
      <c r="DS17" s="840">
        <f t="shared" si="42"/>
        <v>0</v>
      </c>
      <c r="DT17" s="840">
        <f t="shared" si="42"/>
        <v>0</v>
      </c>
      <c r="DU17" s="840">
        <f t="shared" si="42"/>
        <v>0</v>
      </c>
      <c r="DV17" s="840">
        <f t="shared" si="43"/>
        <v>0</v>
      </c>
      <c r="DW17" s="840">
        <f t="shared" si="43"/>
        <v>0</v>
      </c>
      <c r="DX17" s="840">
        <f t="shared" si="43"/>
        <v>0</v>
      </c>
      <c r="DY17" s="840">
        <f t="shared" si="43"/>
        <v>0</v>
      </c>
      <c r="DZ17" s="840">
        <f t="shared" si="43"/>
        <v>0</v>
      </c>
      <c r="EA17" s="840">
        <f t="shared" si="43"/>
        <v>0</v>
      </c>
      <c r="EB17" s="840">
        <f t="shared" si="43"/>
        <v>0</v>
      </c>
      <c r="EC17" s="840">
        <f t="shared" si="44"/>
        <v>0</v>
      </c>
      <c r="ED17" s="840">
        <f t="shared" si="44"/>
        <v>0</v>
      </c>
      <c r="EE17" s="840">
        <f t="shared" si="44"/>
        <v>0</v>
      </c>
      <c r="EF17" s="840">
        <f t="shared" si="44"/>
        <v>0</v>
      </c>
      <c r="EG17" s="840">
        <f t="shared" si="44"/>
        <v>0</v>
      </c>
      <c r="EH17" s="840">
        <f t="shared" si="44"/>
        <v>0</v>
      </c>
      <c r="EI17" s="840">
        <f t="shared" si="44"/>
        <v>0</v>
      </c>
      <c r="EJ17" s="840">
        <f t="shared" si="44"/>
        <v>0</v>
      </c>
      <c r="EK17" s="840">
        <f t="shared" si="44"/>
        <v>0</v>
      </c>
      <c r="EL17" s="840">
        <f t="shared" si="44"/>
        <v>0</v>
      </c>
      <c r="EM17" s="840">
        <f t="shared" si="44"/>
        <v>0</v>
      </c>
      <c r="EN17" s="840">
        <f t="shared" si="44"/>
        <v>0</v>
      </c>
      <c r="EO17" s="840">
        <f t="shared" si="44"/>
        <v>0</v>
      </c>
      <c r="EP17" s="840">
        <f t="shared" si="44"/>
        <v>0</v>
      </c>
      <c r="EQ17" s="840">
        <f t="shared" si="44"/>
        <v>0</v>
      </c>
      <c r="ER17" s="840">
        <f t="shared" si="44"/>
        <v>0</v>
      </c>
      <c r="ES17" s="840">
        <f t="shared" si="45"/>
        <v>0</v>
      </c>
      <c r="ET17" s="840">
        <f t="shared" si="45"/>
        <v>0</v>
      </c>
      <c r="EU17" s="840">
        <f t="shared" si="45"/>
        <v>0</v>
      </c>
      <c r="EV17" s="840">
        <f t="shared" si="45"/>
        <v>0</v>
      </c>
      <c r="EW17" s="840">
        <f t="shared" si="45"/>
        <v>0</v>
      </c>
      <c r="EX17" s="840">
        <f t="shared" si="45"/>
        <v>0</v>
      </c>
      <c r="EY17" s="840">
        <f t="shared" si="45"/>
        <v>0</v>
      </c>
      <c r="EZ17" s="842">
        <f t="shared" si="46"/>
        <v>0</v>
      </c>
      <c r="FA17" s="842">
        <f t="shared" si="46"/>
        <v>0</v>
      </c>
      <c r="FB17" s="842">
        <f t="shared" si="46"/>
        <v>0</v>
      </c>
      <c r="FC17" s="842">
        <f t="shared" si="46"/>
        <v>0</v>
      </c>
      <c r="FD17" s="842">
        <f t="shared" si="46"/>
        <v>0</v>
      </c>
      <c r="FE17" s="842">
        <f t="shared" si="46"/>
        <v>0</v>
      </c>
      <c r="FF17" s="842">
        <f t="shared" si="46"/>
        <v>0</v>
      </c>
      <c r="FG17" s="842">
        <f t="shared" si="46"/>
        <v>0</v>
      </c>
      <c r="FH17" s="842">
        <f t="shared" si="46"/>
        <v>0</v>
      </c>
      <c r="FI17" s="842">
        <f t="shared" si="46"/>
        <v>0</v>
      </c>
      <c r="FJ17" s="842">
        <f t="shared" si="46"/>
        <v>0</v>
      </c>
      <c r="FK17" s="842">
        <f t="shared" si="46"/>
        <v>0</v>
      </c>
      <c r="FL17" s="842">
        <f t="shared" si="46"/>
        <v>0</v>
      </c>
      <c r="FM17" s="842">
        <f t="shared" si="46"/>
        <v>0</v>
      </c>
      <c r="FN17" s="842">
        <f t="shared" si="46"/>
        <v>0</v>
      </c>
      <c r="FO17" s="842">
        <f t="shared" si="46"/>
        <v>0</v>
      </c>
      <c r="FP17" s="842">
        <f t="shared" si="47"/>
        <v>0</v>
      </c>
      <c r="FQ17" s="842">
        <f t="shared" si="47"/>
        <v>0</v>
      </c>
      <c r="FR17" s="842">
        <f t="shared" si="47"/>
        <v>0</v>
      </c>
      <c r="FS17" s="842">
        <f t="shared" si="47"/>
        <v>0</v>
      </c>
      <c r="FT17" s="842">
        <f t="shared" si="47"/>
        <v>0</v>
      </c>
      <c r="FU17" s="842">
        <f t="shared" si="47"/>
        <v>0</v>
      </c>
      <c r="FV17" s="842">
        <f t="shared" si="47"/>
        <v>0</v>
      </c>
      <c r="FW17" s="843">
        <v>44.9</v>
      </c>
      <c r="FX17" s="848" t="s">
        <v>2236</v>
      </c>
      <c r="FY17" s="843">
        <v>1.4200000000000001E-2</v>
      </c>
      <c r="FZ17" s="844" t="s">
        <v>2232</v>
      </c>
      <c r="GB17" s="802" t="s">
        <v>2237</v>
      </c>
      <c r="GC17" s="802">
        <v>1</v>
      </c>
    </row>
    <row r="18" spans="3:186" ht="23.25" customHeight="1">
      <c r="C18" s="1487"/>
      <c r="D18" s="1483" t="s">
        <v>2238</v>
      </c>
      <c r="E18" s="1485" t="s">
        <v>114</v>
      </c>
      <c r="F18" s="1485"/>
      <c r="G18" s="838" t="s">
        <v>2193</v>
      </c>
      <c r="H18" s="839"/>
      <c r="I18" s="839"/>
      <c r="J18" s="839"/>
      <c r="K18" s="839"/>
      <c r="L18" s="839"/>
      <c r="M18" s="839"/>
      <c r="N18" s="839"/>
      <c r="O18" s="839"/>
      <c r="P18" s="839"/>
      <c r="Q18" s="839"/>
      <c r="R18" s="839"/>
      <c r="S18" s="839"/>
      <c r="T18" s="839"/>
      <c r="U18" s="839"/>
      <c r="V18" s="839"/>
      <c r="W18" s="839"/>
      <c r="X18" s="839"/>
      <c r="Y18" s="839"/>
      <c r="Z18" s="839"/>
      <c r="AA18" s="839"/>
      <c r="AB18" s="839"/>
      <c r="AC18" s="839"/>
      <c r="AD18" s="839"/>
      <c r="AE18" s="839"/>
      <c r="AF18" s="839"/>
      <c r="AG18" s="839"/>
      <c r="AH18" s="839"/>
      <c r="AI18" s="839"/>
      <c r="AJ18" s="839"/>
      <c r="AK18" s="839"/>
      <c r="AL18" s="839"/>
      <c r="AM18" s="839"/>
      <c r="AN18" s="839"/>
      <c r="AO18" s="839"/>
      <c r="AP18" s="839"/>
      <c r="AQ18" s="839"/>
      <c r="AR18" s="839"/>
      <c r="AS18" s="839"/>
      <c r="AT18" s="839"/>
      <c r="AU18" s="839"/>
      <c r="AV18" s="839"/>
      <c r="AW18" s="839"/>
      <c r="AX18" s="839"/>
      <c r="AY18" s="839"/>
      <c r="AZ18" s="839"/>
      <c r="BA18" s="839"/>
      <c r="BB18" s="839"/>
      <c r="BC18" s="839"/>
      <c r="BD18" s="839"/>
      <c r="BE18" s="839"/>
      <c r="BF18" s="839"/>
      <c r="BG18" s="839"/>
      <c r="BH18" s="839"/>
      <c r="BI18" s="839"/>
      <c r="BJ18" s="840">
        <f t="shared" si="0"/>
        <v>0</v>
      </c>
      <c r="BK18" s="840">
        <f t="shared" si="1"/>
        <v>0</v>
      </c>
      <c r="BL18" s="840">
        <f t="shared" si="2"/>
        <v>0</v>
      </c>
      <c r="BM18" s="840">
        <f t="shared" si="3"/>
        <v>0</v>
      </c>
      <c r="BN18" s="840">
        <f t="shared" si="4"/>
        <v>0</v>
      </c>
      <c r="BO18" s="840">
        <f t="shared" si="5"/>
        <v>0</v>
      </c>
      <c r="BP18" s="840">
        <f t="shared" si="6"/>
        <v>0</v>
      </c>
      <c r="BQ18" s="840">
        <f t="shared" si="7"/>
        <v>0</v>
      </c>
      <c r="BR18" s="840">
        <f t="shared" si="8"/>
        <v>0</v>
      </c>
      <c r="BS18" s="840">
        <f t="shared" si="9"/>
        <v>0</v>
      </c>
      <c r="BT18" s="840">
        <f t="shared" si="10"/>
        <v>0</v>
      </c>
      <c r="BU18" s="840">
        <f t="shared" si="11"/>
        <v>0</v>
      </c>
      <c r="BV18" s="840">
        <f t="shared" si="12"/>
        <v>0</v>
      </c>
      <c r="BW18" s="840">
        <f t="shared" si="13"/>
        <v>0</v>
      </c>
      <c r="BX18" s="840">
        <f t="shared" si="14"/>
        <v>0</v>
      </c>
      <c r="BY18" s="840">
        <f t="shared" si="15"/>
        <v>0</v>
      </c>
      <c r="BZ18" s="840">
        <f t="shared" si="16"/>
        <v>0</v>
      </c>
      <c r="CA18" s="840">
        <f t="shared" si="48"/>
        <v>0</v>
      </c>
      <c r="CB18" s="840">
        <f t="shared" si="17"/>
        <v>0</v>
      </c>
      <c r="CC18" s="840">
        <f t="shared" si="17"/>
        <v>0</v>
      </c>
      <c r="CD18" s="840">
        <f t="shared" si="17"/>
        <v>0</v>
      </c>
      <c r="CE18" s="840">
        <f t="shared" si="17"/>
        <v>0</v>
      </c>
      <c r="CF18" s="840">
        <f t="shared" si="17"/>
        <v>0</v>
      </c>
      <c r="CG18" s="840">
        <f t="shared" si="18"/>
        <v>1000</v>
      </c>
      <c r="CH18" s="841" t="s">
        <v>194</v>
      </c>
      <c r="CI18" s="840">
        <f t="shared" si="19"/>
        <v>0</v>
      </c>
      <c r="CJ18" s="840">
        <f t="shared" si="20"/>
        <v>0</v>
      </c>
      <c r="CK18" s="840">
        <f t="shared" si="21"/>
        <v>0</v>
      </c>
      <c r="CL18" s="840">
        <f t="shared" si="22"/>
        <v>0</v>
      </c>
      <c r="CM18" s="840">
        <f t="shared" si="23"/>
        <v>0</v>
      </c>
      <c r="CN18" s="840">
        <f t="shared" si="24"/>
        <v>0</v>
      </c>
      <c r="CO18" s="840">
        <f t="shared" si="25"/>
        <v>0</v>
      </c>
      <c r="CP18" s="840">
        <f t="shared" si="26"/>
        <v>0</v>
      </c>
      <c r="CQ18" s="840">
        <f t="shared" si="27"/>
        <v>0</v>
      </c>
      <c r="CR18" s="840">
        <f t="shared" si="28"/>
        <v>0</v>
      </c>
      <c r="CS18" s="840">
        <f t="shared" si="29"/>
        <v>0</v>
      </c>
      <c r="CT18" s="840">
        <f t="shared" si="30"/>
        <v>0</v>
      </c>
      <c r="CU18" s="840">
        <f t="shared" si="31"/>
        <v>0</v>
      </c>
      <c r="CV18" s="840">
        <f t="shared" si="32"/>
        <v>0</v>
      </c>
      <c r="CW18" s="840">
        <f t="shared" si="33"/>
        <v>0</v>
      </c>
      <c r="CX18" s="840">
        <f t="shared" si="34"/>
        <v>0</v>
      </c>
      <c r="CY18" s="840">
        <f t="shared" si="35"/>
        <v>0</v>
      </c>
      <c r="CZ18" s="840">
        <f t="shared" si="36"/>
        <v>0</v>
      </c>
      <c r="DA18" s="840">
        <f t="shared" si="37"/>
        <v>0</v>
      </c>
      <c r="DB18" s="840">
        <f t="shared" si="38"/>
        <v>0</v>
      </c>
      <c r="DC18" s="840">
        <f t="shared" si="39"/>
        <v>0</v>
      </c>
      <c r="DD18" s="840">
        <f t="shared" si="40"/>
        <v>0</v>
      </c>
      <c r="DE18" s="840">
        <f t="shared" si="41"/>
        <v>0</v>
      </c>
      <c r="DF18" s="840">
        <f t="shared" si="42"/>
        <v>0</v>
      </c>
      <c r="DG18" s="840">
        <f t="shared" si="42"/>
        <v>0</v>
      </c>
      <c r="DH18" s="840">
        <f t="shared" si="42"/>
        <v>0</v>
      </c>
      <c r="DI18" s="840">
        <f t="shared" si="42"/>
        <v>0</v>
      </c>
      <c r="DJ18" s="840">
        <f t="shared" si="42"/>
        <v>0</v>
      </c>
      <c r="DK18" s="840">
        <f t="shared" si="42"/>
        <v>0</v>
      </c>
      <c r="DL18" s="840">
        <f t="shared" si="42"/>
        <v>0</v>
      </c>
      <c r="DM18" s="840">
        <f t="shared" si="42"/>
        <v>0</v>
      </c>
      <c r="DN18" s="840">
        <f t="shared" si="42"/>
        <v>0</v>
      </c>
      <c r="DO18" s="840">
        <f t="shared" si="42"/>
        <v>0</v>
      </c>
      <c r="DP18" s="840">
        <f t="shared" si="42"/>
        <v>0</v>
      </c>
      <c r="DQ18" s="840">
        <f t="shared" si="42"/>
        <v>0</v>
      </c>
      <c r="DR18" s="840">
        <f t="shared" si="42"/>
        <v>0</v>
      </c>
      <c r="DS18" s="840">
        <f t="shared" si="42"/>
        <v>0</v>
      </c>
      <c r="DT18" s="840">
        <f t="shared" si="42"/>
        <v>0</v>
      </c>
      <c r="DU18" s="840">
        <f t="shared" si="42"/>
        <v>0</v>
      </c>
      <c r="DV18" s="840">
        <f t="shared" si="43"/>
        <v>0</v>
      </c>
      <c r="DW18" s="840">
        <f t="shared" si="43"/>
        <v>0</v>
      </c>
      <c r="DX18" s="840">
        <f t="shared" si="43"/>
        <v>0</v>
      </c>
      <c r="DY18" s="840">
        <f t="shared" si="43"/>
        <v>0</v>
      </c>
      <c r="DZ18" s="840">
        <f t="shared" si="43"/>
        <v>0</v>
      </c>
      <c r="EA18" s="840">
        <f t="shared" si="43"/>
        <v>0</v>
      </c>
      <c r="EB18" s="840">
        <f t="shared" si="43"/>
        <v>0</v>
      </c>
      <c r="EC18" s="840">
        <f t="shared" si="44"/>
        <v>0</v>
      </c>
      <c r="ED18" s="840">
        <f t="shared" si="44"/>
        <v>0</v>
      </c>
      <c r="EE18" s="840">
        <f t="shared" si="44"/>
        <v>0</v>
      </c>
      <c r="EF18" s="840">
        <f t="shared" si="44"/>
        <v>0</v>
      </c>
      <c r="EG18" s="840">
        <f t="shared" si="44"/>
        <v>0</v>
      </c>
      <c r="EH18" s="840">
        <f t="shared" si="44"/>
        <v>0</v>
      </c>
      <c r="EI18" s="840">
        <f t="shared" si="44"/>
        <v>0</v>
      </c>
      <c r="EJ18" s="840">
        <f t="shared" si="44"/>
        <v>0</v>
      </c>
      <c r="EK18" s="840">
        <f t="shared" si="44"/>
        <v>0</v>
      </c>
      <c r="EL18" s="840">
        <f t="shared" si="44"/>
        <v>0</v>
      </c>
      <c r="EM18" s="840">
        <f t="shared" si="44"/>
        <v>0</v>
      </c>
      <c r="EN18" s="840">
        <f t="shared" si="44"/>
        <v>0</v>
      </c>
      <c r="EO18" s="840">
        <f t="shared" si="44"/>
        <v>0</v>
      </c>
      <c r="EP18" s="840">
        <f t="shared" si="44"/>
        <v>0</v>
      </c>
      <c r="EQ18" s="840">
        <f t="shared" si="44"/>
        <v>0</v>
      </c>
      <c r="ER18" s="840">
        <f t="shared" si="44"/>
        <v>0</v>
      </c>
      <c r="ES18" s="840">
        <f t="shared" si="45"/>
        <v>0</v>
      </c>
      <c r="ET18" s="840">
        <f t="shared" si="45"/>
        <v>0</v>
      </c>
      <c r="EU18" s="840">
        <f t="shared" si="45"/>
        <v>0</v>
      </c>
      <c r="EV18" s="840">
        <f t="shared" si="45"/>
        <v>0</v>
      </c>
      <c r="EW18" s="840">
        <f t="shared" si="45"/>
        <v>0</v>
      </c>
      <c r="EX18" s="840">
        <f t="shared" si="45"/>
        <v>0</v>
      </c>
      <c r="EY18" s="840">
        <f t="shared" si="45"/>
        <v>0</v>
      </c>
      <c r="EZ18" s="842">
        <f t="shared" si="46"/>
        <v>0</v>
      </c>
      <c r="FA18" s="842">
        <f t="shared" si="46"/>
        <v>0</v>
      </c>
      <c r="FB18" s="842">
        <f t="shared" si="46"/>
        <v>0</v>
      </c>
      <c r="FC18" s="842">
        <f t="shared" si="46"/>
        <v>0</v>
      </c>
      <c r="FD18" s="842">
        <f t="shared" si="46"/>
        <v>0</v>
      </c>
      <c r="FE18" s="842">
        <f t="shared" si="46"/>
        <v>0</v>
      </c>
      <c r="FF18" s="842">
        <f t="shared" si="46"/>
        <v>0</v>
      </c>
      <c r="FG18" s="842">
        <f t="shared" si="46"/>
        <v>0</v>
      </c>
      <c r="FH18" s="842">
        <f t="shared" si="46"/>
        <v>0</v>
      </c>
      <c r="FI18" s="842">
        <f t="shared" si="46"/>
        <v>0</v>
      </c>
      <c r="FJ18" s="842">
        <f t="shared" si="46"/>
        <v>0</v>
      </c>
      <c r="FK18" s="842">
        <f t="shared" si="46"/>
        <v>0</v>
      </c>
      <c r="FL18" s="842">
        <f t="shared" si="46"/>
        <v>0</v>
      </c>
      <c r="FM18" s="842">
        <f t="shared" si="46"/>
        <v>0</v>
      </c>
      <c r="FN18" s="842">
        <f t="shared" si="46"/>
        <v>0</v>
      </c>
      <c r="FO18" s="842">
        <f t="shared" si="46"/>
        <v>0</v>
      </c>
      <c r="FP18" s="842">
        <f t="shared" si="47"/>
        <v>0</v>
      </c>
      <c r="FQ18" s="842">
        <f t="shared" si="47"/>
        <v>0</v>
      </c>
      <c r="FR18" s="842">
        <f t="shared" si="47"/>
        <v>0</v>
      </c>
      <c r="FS18" s="842">
        <f t="shared" si="47"/>
        <v>0</v>
      </c>
      <c r="FT18" s="842">
        <f t="shared" si="47"/>
        <v>0</v>
      </c>
      <c r="FU18" s="842">
        <f t="shared" si="47"/>
        <v>0</v>
      </c>
      <c r="FV18" s="842">
        <f t="shared" si="47"/>
        <v>0</v>
      </c>
      <c r="FW18" s="843">
        <v>54.6</v>
      </c>
      <c r="FX18" s="788" t="s">
        <v>179</v>
      </c>
      <c r="FY18" s="843">
        <v>1.35E-2</v>
      </c>
      <c r="FZ18" s="844" t="s">
        <v>2232</v>
      </c>
    </row>
    <row r="19" spans="3:186" ht="23.25" customHeight="1">
      <c r="C19" s="1487"/>
      <c r="D19" s="1485"/>
      <c r="E19" s="1485" t="s">
        <v>26</v>
      </c>
      <c r="F19" s="1485"/>
      <c r="G19" s="849" t="s">
        <v>19</v>
      </c>
      <c r="H19" s="839"/>
      <c r="I19" s="839"/>
      <c r="J19" s="839"/>
      <c r="K19" s="839"/>
      <c r="L19" s="840">
        <f>'１．ガス単位換算_～R6建物系'!AG39</f>
        <v>0</v>
      </c>
      <c r="M19" s="840">
        <f>'１．ガス単位換算_～R6建物系'!AH39</f>
        <v>0</v>
      </c>
      <c r="N19" s="840">
        <f>'１．ガス単位換算_～R6建物系'!AI39</f>
        <v>0</v>
      </c>
      <c r="O19" s="840">
        <f>'１．ガス単位換算_～R6建物系'!AJ39</f>
        <v>0</v>
      </c>
      <c r="P19" s="840">
        <f>'１．ガス単位換算_～R6建物系'!AK39</f>
        <v>0</v>
      </c>
      <c r="Q19" s="840">
        <f>'１．ガス単位換算_～R6建物系'!AL39</f>
        <v>0</v>
      </c>
      <c r="R19" s="840">
        <f>'１．ガス単位換算_～R6建物系'!AM39</f>
        <v>0</v>
      </c>
      <c r="S19" s="840">
        <f>'１．ガス単位換算_～R6建物系'!AN39</f>
        <v>0</v>
      </c>
      <c r="T19" s="840">
        <f>'１．ガス単位換算_～R6建物系'!AO39</f>
        <v>0</v>
      </c>
      <c r="U19" s="840">
        <f>'１．ガス単位換算_～R6建物系'!AP39</f>
        <v>0</v>
      </c>
      <c r="V19" s="840">
        <f>'１．ガス単位換算_～R6建物系'!AQ39</f>
        <v>0</v>
      </c>
      <c r="W19" s="840">
        <f>'１．ガス単位換算_～R6建物系'!AR39</f>
        <v>0</v>
      </c>
      <c r="X19" s="840">
        <f>'１．ガス単位換算_～R6建物系'!AS39</f>
        <v>0</v>
      </c>
      <c r="Y19" s="840">
        <f>'１．ガス単位換算_～R6建物系'!AT39</f>
        <v>0</v>
      </c>
      <c r="Z19" s="840">
        <f>'１．ガス単位換算_～R6建物系'!AU39</f>
        <v>0</v>
      </c>
      <c r="AA19" s="840">
        <f>'１．ガス単位換算_～R6建物系'!AV39</f>
        <v>0</v>
      </c>
      <c r="AB19" s="840">
        <f>'１．ガス単位換算_～R6建物系'!AW39</f>
        <v>0</v>
      </c>
      <c r="AC19" s="840">
        <f>'１．ガス単位換算_～R6建物系'!AX39</f>
        <v>0</v>
      </c>
      <c r="AD19" s="840">
        <f>'１．ガス単位換算_～R6建物系'!AY39</f>
        <v>0</v>
      </c>
      <c r="AE19" s="840">
        <f>'１．ガス単位換算_～R6建物系'!AZ39</f>
        <v>0</v>
      </c>
      <c r="AF19" s="840">
        <f>'１．ガス単位換算_～R6建物系'!BA39</f>
        <v>0</v>
      </c>
      <c r="AG19" s="840">
        <f>'１．ガス単位換算_～R6建物系'!BB39</f>
        <v>0</v>
      </c>
      <c r="AH19" s="840">
        <f>'１．ガス単位換算_～R6建物系'!BC39</f>
        <v>0</v>
      </c>
      <c r="AI19" s="839"/>
      <c r="AJ19" s="839"/>
      <c r="AK19" s="839"/>
      <c r="AL19" s="839"/>
      <c r="AM19" s="839"/>
      <c r="AN19" s="839"/>
      <c r="AO19" s="839"/>
      <c r="AP19" s="839"/>
      <c r="AQ19" s="839"/>
      <c r="AR19" s="839"/>
      <c r="AS19" s="839"/>
      <c r="AT19" s="839"/>
      <c r="AU19" s="839"/>
      <c r="AV19" s="839"/>
      <c r="AW19" s="839"/>
      <c r="AX19" s="839"/>
      <c r="AY19" s="839"/>
      <c r="AZ19" s="839"/>
      <c r="BA19" s="839"/>
      <c r="BB19" s="839"/>
      <c r="BC19" s="839"/>
      <c r="BD19" s="839"/>
      <c r="BE19" s="839"/>
      <c r="BF19" s="839"/>
      <c r="BG19" s="839"/>
      <c r="BH19" s="839"/>
      <c r="BI19" s="839"/>
      <c r="BJ19" s="840">
        <f t="shared" si="0"/>
        <v>0</v>
      </c>
      <c r="BK19" s="840">
        <f t="shared" si="1"/>
        <v>0</v>
      </c>
      <c r="BL19" s="840">
        <f t="shared" si="2"/>
        <v>0</v>
      </c>
      <c r="BM19" s="840">
        <f t="shared" si="3"/>
        <v>0</v>
      </c>
      <c r="BN19" s="840">
        <f t="shared" si="4"/>
        <v>0</v>
      </c>
      <c r="BO19" s="840">
        <f t="shared" si="5"/>
        <v>0</v>
      </c>
      <c r="BP19" s="840">
        <f t="shared" si="6"/>
        <v>0</v>
      </c>
      <c r="BQ19" s="840">
        <f t="shared" si="7"/>
        <v>0</v>
      </c>
      <c r="BR19" s="840">
        <f t="shared" si="8"/>
        <v>0</v>
      </c>
      <c r="BS19" s="840">
        <f t="shared" si="9"/>
        <v>0</v>
      </c>
      <c r="BT19" s="840">
        <f t="shared" si="10"/>
        <v>0</v>
      </c>
      <c r="BU19" s="840">
        <f t="shared" si="11"/>
        <v>0</v>
      </c>
      <c r="BV19" s="840">
        <f t="shared" si="12"/>
        <v>0</v>
      </c>
      <c r="BW19" s="840">
        <f t="shared" si="13"/>
        <v>0</v>
      </c>
      <c r="BX19" s="840">
        <f t="shared" si="14"/>
        <v>0</v>
      </c>
      <c r="BY19" s="840">
        <f t="shared" si="15"/>
        <v>0</v>
      </c>
      <c r="BZ19" s="840">
        <f t="shared" si="16"/>
        <v>0</v>
      </c>
      <c r="CA19" s="840">
        <f t="shared" si="48"/>
        <v>0</v>
      </c>
      <c r="CB19" s="840">
        <f t="shared" si="17"/>
        <v>0</v>
      </c>
      <c r="CC19" s="840">
        <f t="shared" si="17"/>
        <v>0</v>
      </c>
      <c r="CD19" s="840">
        <f t="shared" si="17"/>
        <v>0</v>
      </c>
      <c r="CE19" s="840">
        <f t="shared" si="17"/>
        <v>0</v>
      </c>
      <c r="CF19" s="840">
        <f t="shared" si="17"/>
        <v>0</v>
      </c>
      <c r="CG19" s="840">
        <f t="shared" si="18"/>
        <v>1</v>
      </c>
      <c r="CH19" s="847" t="s">
        <v>2235</v>
      </c>
      <c r="CI19" s="840">
        <f t="shared" si="19"/>
        <v>0</v>
      </c>
      <c r="CJ19" s="840">
        <f t="shared" si="20"/>
        <v>0</v>
      </c>
      <c r="CK19" s="840">
        <f t="shared" si="21"/>
        <v>0</v>
      </c>
      <c r="CL19" s="840">
        <f t="shared" si="22"/>
        <v>0</v>
      </c>
      <c r="CM19" s="840">
        <f t="shared" si="23"/>
        <v>0</v>
      </c>
      <c r="CN19" s="840">
        <f t="shared" si="24"/>
        <v>0</v>
      </c>
      <c r="CO19" s="840">
        <f t="shared" si="25"/>
        <v>0</v>
      </c>
      <c r="CP19" s="840">
        <f t="shared" si="26"/>
        <v>0</v>
      </c>
      <c r="CQ19" s="840">
        <f t="shared" si="27"/>
        <v>0</v>
      </c>
      <c r="CR19" s="840">
        <f t="shared" si="28"/>
        <v>0</v>
      </c>
      <c r="CS19" s="840">
        <f t="shared" si="29"/>
        <v>0</v>
      </c>
      <c r="CT19" s="840">
        <f t="shared" si="30"/>
        <v>0</v>
      </c>
      <c r="CU19" s="840">
        <f t="shared" si="31"/>
        <v>0</v>
      </c>
      <c r="CV19" s="840">
        <f t="shared" si="32"/>
        <v>0</v>
      </c>
      <c r="CW19" s="840">
        <f t="shared" si="33"/>
        <v>0</v>
      </c>
      <c r="CX19" s="840">
        <f t="shared" si="34"/>
        <v>0</v>
      </c>
      <c r="CY19" s="840">
        <f t="shared" si="35"/>
        <v>0</v>
      </c>
      <c r="CZ19" s="840">
        <f t="shared" si="36"/>
        <v>0</v>
      </c>
      <c r="DA19" s="840">
        <f t="shared" si="37"/>
        <v>0</v>
      </c>
      <c r="DB19" s="840">
        <f t="shared" si="38"/>
        <v>0</v>
      </c>
      <c r="DC19" s="840">
        <f t="shared" si="39"/>
        <v>0</v>
      </c>
      <c r="DD19" s="840">
        <f t="shared" si="40"/>
        <v>0</v>
      </c>
      <c r="DE19" s="840">
        <f t="shared" si="41"/>
        <v>0</v>
      </c>
      <c r="DF19" s="840">
        <f t="shared" si="42"/>
        <v>0</v>
      </c>
      <c r="DG19" s="840">
        <f t="shared" si="42"/>
        <v>0</v>
      </c>
      <c r="DH19" s="840">
        <f t="shared" si="42"/>
        <v>0</v>
      </c>
      <c r="DI19" s="840">
        <f t="shared" si="42"/>
        <v>0</v>
      </c>
      <c r="DJ19" s="840">
        <f t="shared" si="42"/>
        <v>0</v>
      </c>
      <c r="DK19" s="840">
        <f t="shared" si="42"/>
        <v>0</v>
      </c>
      <c r="DL19" s="840">
        <f t="shared" si="42"/>
        <v>0</v>
      </c>
      <c r="DM19" s="840">
        <f t="shared" si="42"/>
        <v>0</v>
      </c>
      <c r="DN19" s="840">
        <f t="shared" si="42"/>
        <v>0</v>
      </c>
      <c r="DO19" s="840">
        <f t="shared" si="42"/>
        <v>0</v>
      </c>
      <c r="DP19" s="840">
        <f t="shared" si="42"/>
        <v>0</v>
      </c>
      <c r="DQ19" s="840">
        <f t="shared" si="42"/>
        <v>0</v>
      </c>
      <c r="DR19" s="840">
        <f t="shared" si="42"/>
        <v>0</v>
      </c>
      <c r="DS19" s="840">
        <f t="shared" si="42"/>
        <v>0</v>
      </c>
      <c r="DT19" s="840">
        <f t="shared" si="42"/>
        <v>0</v>
      </c>
      <c r="DU19" s="840">
        <f t="shared" si="42"/>
        <v>0</v>
      </c>
      <c r="DV19" s="840">
        <f t="shared" si="43"/>
        <v>0</v>
      </c>
      <c r="DW19" s="840">
        <f t="shared" si="43"/>
        <v>0</v>
      </c>
      <c r="DX19" s="840">
        <f t="shared" si="43"/>
        <v>0</v>
      </c>
      <c r="DY19" s="840">
        <f t="shared" si="43"/>
        <v>0</v>
      </c>
      <c r="DZ19" s="840">
        <f t="shared" si="43"/>
        <v>0</v>
      </c>
      <c r="EA19" s="840">
        <f t="shared" si="43"/>
        <v>0</v>
      </c>
      <c r="EB19" s="840">
        <f t="shared" si="43"/>
        <v>0</v>
      </c>
      <c r="EC19" s="840">
        <f t="shared" si="44"/>
        <v>0</v>
      </c>
      <c r="ED19" s="840">
        <f t="shared" si="44"/>
        <v>0</v>
      </c>
      <c r="EE19" s="840">
        <f t="shared" si="44"/>
        <v>0</v>
      </c>
      <c r="EF19" s="840">
        <f t="shared" si="44"/>
        <v>0</v>
      </c>
      <c r="EG19" s="840">
        <f t="shared" si="44"/>
        <v>0</v>
      </c>
      <c r="EH19" s="840">
        <f t="shared" si="44"/>
        <v>0</v>
      </c>
      <c r="EI19" s="840">
        <f t="shared" si="44"/>
        <v>0</v>
      </c>
      <c r="EJ19" s="840">
        <f t="shared" si="44"/>
        <v>0</v>
      </c>
      <c r="EK19" s="840">
        <f t="shared" si="44"/>
        <v>0</v>
      </c>
      <c r="EL19" s="840">
        <f t="shared" si="44"/>
        <v>0</v>
      </c>
      <c r="EM19" s="840">
        <f t="shared" si="44"/>
        <v>0</v>
      </c>
      <c r="EN19" s="840">
        <f t="shared" si="44"/>
        <v>0</v>
      </c>
      <c r="EO19" s="840">
        <f t="shared" si="44"/>
        <v>0</v>
      </c>
      <c r="EP19" s="840">
        <f t="shared" si="44"/>
        <v>0</v>
      </c>
      <c r="EQ19" s="840">
        <f t="shared" si="44"/>
        <v>0</v>
      </c>
      <c r="ER19" s="840">
        <f t="shared" si="44"/>
        <v>0</v>
      </c>
      <c r="ES19" s="840">
        <f t="shared" si="45"/>
        <v>0</v>
      </c>
      <c r="ET19" s="840">
        <f t="shared" si="45"/>
        <v>0</v>
      </c>
      <c r="EU19" s="840">
        <f t="shared" si="45"/>
        <v>0</v>
      </c>
      <c r="EV19" s="840">
        <f t="shared" si="45"/>
        <v>0</v>
      </c>
      <c r="EW19" s="840">
        <f t="shared" si="45"/>
        <v>0</v>
      </c>
      <c r="EX19" s="840">
        <f t="shared" si="45"/>
        <v>0</v>
      </c>
      <c r="EY19" s="840">
        <f t="shared" si="45"/>
        <v>0</v>
      </c>
      <c r="EZ19" s="842">
        <f t="shared" si="46"/>
        <v>0</v>
      </c>
      <c r="FA19" s="842">
        <f t="shared" si="46"/>
        <v>0</v>
      </c>
      <c r="FB19" s="842">
        <f t="shared" si="46"/>
        <v>0</v>
      </c>
      <c r="FC19" s="842">
        <f t="shared" si="46"/>
        <v>0</v>
      </c>
      <c r="FD19" s="842">
        <f t="shared" si="46"/>
        <v>0</v>
      </c>
      <c r="FE19" s="842">
        <f t="shared" si="46"/>
        <v>0</v>
      </c>
      <c r="FF19" s="842">
        <f t="shared" si="46"/>
        <v>0</v>
      </c>
      <c r="FG19" s="842">
        <f t="shared" si="46"/>
        <v>0</v>
      </c>
      <c r="FH19" s="842">
        <f t="shared" si="46"/>
        <v>0</v>
      </c>
      <c r="FI19" s="842">
        <f t="shared" si="46"/>
        <v>0</v>
      </c>
      <c r="FJ19" s="842">
        <f t="shared" si="46"/>
        <v>0</v>
      </c>
      <c r="FK19" s="842">
        <f t="shared" si="46"/>
        <v>0</v>
      </c>
      <c r="FL19" s="842">
        <f t="shared" si="46"/>
        <v>0</v>
      </c>
      <c r="FM19" s="842">
        <f t="shared" si="46"/>
        <v>0</v>
      </c>
      <c r="FN19" s="842">
        <f t="shared" si="46"/>
        <v>0</v>
      </c>
      <c r="FO19" s="842">
        <f t="shared" si="46"/>
        <v>0</v>
      </c>
      <c r="FP19" s="842">
        <f t="shared" si="47"/>
        <v>0</v>
      </c>
      <c r="FQ19" s="842">
        <f t="shared" si="47"/>
        <v>0</v>
      </c>
      <c r="FR19" s="842">
        <f t="shared" si="47"/>
        <v>0</v>
      </c>
      <c r="FS19" s="842">
        <f t="shared" si="47"/>
        <v>0</v>
      </c>
      <c r="FT19" s="842">
        <f t="shared" si="47"/>
        <v>0</v>
      </c>
      <c r="FU19" s="842">
        <f t="shared" si="47"/>
        <v>0</v>
      </c>
      <c r="FV19" s="842">
        <f t="shared" si="47"/>
        <v>0</v>
      </c>
      <c r="FW19" s="843">
        <v>43.5</v>
      </c>
      <c r="FX19" s="848" t="s">
        <v>2236</v>
      </c>
      <c r="FY19" s="843">
        <v>1.3899999999999999E-2</v>
      </c>
      <c r="FZ19" s="844" t="s">
        <v>2232</v>
      </c>
      <c r="GC19" s="772">
        <v>2.58E-2</v>
      </c>
      <c r="GD19" s="772" t="s">
        <v>2239</v>
      </c>
    </row>
    <row r="20" spans="3:186" ht="23.25" customHeight="1">
      <c r="C20" s="1487"/>
      <c r="D20" s="1485" t="s">
        <v>68</v>
      </c>
      <c r="E20" s="1485" t="s">
        <v>2240</v>
      </c>
      <c r="F20" s="1485"/>
      <c r="G20" s="838" t="s">
        <v>2193</v>
      </c>
      <c r="H20" s="839"/>
      <c r="I20" s="839"/>
      <c r="J20" s="839"/>
      <c r="K20" s="839"/>
      <c r="L20" s="839"/>
      <c r="M20" s="839"/>
      <c r="N20" s="839"/>
      <c r="O20" s="839"/>
      <c r="P20" s="839"/>
      <c r="Q20" s="839"/>
      <c r="R20" s="839"/>
      <c r="S20" s="839"/>
      <c r="T20" s="839"/>
      <c r="U20" s="839"/>
      <c r="V20" s="839"/>
      <c r="W20" s="839"/>
      <c r="X20" s="839"/>
      <c r="Y20" s="839"/>
      <c r="Z20" s="839"/>
      <c r="AA20" s="839"/>
      <c r="AB20" s="839"/>
      <c r="AC20" s="839"/>
      <c r="AD20" s="839"/>
      <c r="AE20" s="839"/>
      <c r="AF20" s="839"/>
      <c r="AG20" s="839"/>
      <c r="AH20" s="839"/>
      <c r="AI20" s="839"/>
      <c r="AJ20" s="839"/>
      <c r="AK20" s="839"/>
      <c r="AL20" s="839"/>
      <c r="AM20" s="839"/>
      <c r="AN20" s="839"/>
      <c r="AO20" s="839"/>
      <c r="AP20" s="839"/>
      <c r="AQ20" s="839"/>
      <c r="AR20" s="839"/>
      <c r="AS20" s="839"/>
      <c r="AT20" s="839"/>
      <c r="AU20" s="839"/>
      <c r="AV20" s="839"/>
      <c r="AW20" s="839"/>
      <c r="AX20" s="839"/>
      <c r="AY20" s="839"/>
      <c r="AZ20" s="839"/>
      <c r="BA20" s="839"/>
      <c r="BB20" s="839"/>
      <c r="BC20" s="839"/>
      <c r="BD20" s="839"/>
      <c r="BE20" s="839"/>
      <c r="BF20" s="839"/>
      <c r="BG20" s="839"/>
      <c r="BH20" s="839"/>
      <c r="BI20" s="839"/>
      <c r="BJ20" s="840">
        <f t="shared" si="0"/>
        <v>0</v>
      </c>
      <c r="BK20" s="840">
        <f t="shared" si="1"/>
        <v>0</v>
      </c>
      <c r="BL20" s="840">
        <f t="shared" si="2"/>
        <v>0</v>
      </c>
      <c r="BM20" s="840">
        <f t="shared" si="3"/>
        <v>0</v>
      </c>
      <c r="BN20" s="840">
        <f t="shared" si="4"/>
        <v>0</v>
      </c>
      <c r="BO20" s="840">
        <f t="shared" si="5"/>
        <v>0</v>
      </c>
      <c r="BP20" s="840">
        <f t="shared" si="6"/>
        <v>0</v>
      </c>
      <c r="BQ20" s="840">
        <f t="shared" si="7"/>
        <v>0</v>
      </c>
      <c r="BR20" s="840">
        <f t="shared" si="8"/>
        <v>0</v>
      </c>
      <c r="BS20" s="840">
        <f t="shared" si="9"/>
        <v>0</v>
      </c>
      <c r="BT20" s="840">
        <f t="shared" si="10"/>
        <v>0</v>
      </c>
      <c r="BU20" s="840">
        <f t="shared" si="11"/>
        <v>0</v>
      </c>
      <c r="BV20" s="840">
        <f t="shared" si="12"/>
        <v>0</v>
      </c>
      <c r="BW20" s="840">
        <f t="shared" si="13"/>
        <v>0</v>
      </c>
      <c r="BX20" s="840">
        <f t="shared" si="14"/>
        <v>0</v>
      </c>
      <c r="BY20" s="840">
        <f t="shared" si="15"/>
        <v>0</v>
      </c>
      <c r="BZ20" s="840">
        <f t="shared" si="16"/>
        <v>0</v>
      </c>
      <c r="CA20" s="840">
        <f t="shared" si="48"/>
        <v>0</v>
      </c>
      <c r="CB20" s="840">
        <f t="shared" si="17"/>
        <v>0</v>
      </c>
      <c r="CC20" s="840">
        <f t="shared" si="17"/>
        <v>0</v>
      </c>
      <c r="CD20" s="840">
        <f t="shared" si="17"/>
        <v>0</v>
      </c>
      <c r="CE20" s="840">
        <f t="shared" si="17"/>
        <v>0</v>
      </c>
      <c r="CF20" s="840">
        <f t="shared" si="17"/>
        <v>0</v>
      </c>
      <c r="CG20" s="840">
        <f t="shared" si="18"/>
        <v>1000</v>
      </c>
      <c r="CH20" s="841" t="s">
        <v>194</v>
      </c>
      <c r="CI20" s="840">
        <f t="shared" si="19"/>
        <v>0</v>
      </c>
      <c r="CJ20" s="840">
        <f t="shared" si="20"/>
        <v>0</v>
      </c>
      <c r="CK20" s="840">
        <f t="shared" si="21"/>
        <v>0</v>
      </c>
      <c r="CL20" s="840">
        <f t="shared" si="22"/>
        <v>0</v>
      </c>
      <c r="CM20" s="840">
        <f t="shared" si="23"/>
        <v>0</v>
      </c>
      <c r="CN20" s="840">
        <f t="shared" si="24"/>
        <v>0</v>
      </c>
      <c r="CO20" s="840">
        <f t="shared" si="25"/>
        <v>0</v>
      </c>
      <c r="CP20" s="840">
        <f t="shared" si="26"/>
        <v>0</v>
      </c>
      <c r="CQ20" s="840">
        <f t="shared" si="27"/>
        <v>0</v>
      </c>
      <c r="CR20" s="840">
        <f t="shared" si="28"/>
        <v>0</v>
      </c>
      <c r="CS20" s="840">
        <f t="shared" si="29"/>
        <v>0</v>
      </c>
      <c r="CT20" s="840">
        <f t="shared" si="30"/>
        <v>0</v>
      </c>
      <c r="CU20" s="840">
        <f t="shared" si="31"/>
        <v>0</v>
      </c>
      <c r="CV20" s="840">
        <f t="shared" si="32"/>
        <v>0</v>
      </c>
      <c r="CW20" s="840">
        <f t="shared" si="33"/>
        <v>0</v>
      </c>
      <c r="CX20" s="840">
        <f t="shared" si="34"/>
        <v>0</v>
      </c>
      <c r="CY20" s="840">
        <f t="shared" si="35"/>
        <v>0</v>
      </c>
      <c r="CZ20" s="840">
        <f t="shared" si="36"/>
        <v>0</v>
      </c>
      <c r="DA20" s="840">
        <f t="shared" si="37"/>
        <v>0</v>
      </c>
      <c r="DB20" s="840">
        <f t="shared" si="38"/>
        <v>0</v>
      </c>
      <c r="DC20" s="840">
        <f t="shared" si="39"/>
        <v>0</v>
      </c>
      <c r="DD20" s="840">
        <f t="shared" si="40"/>
        <v>0</v>
      </c>
      <c r="DE20" s="840">
        <f t="shared" si="41"/>
        <v>0</v>
      </c>
      <c r="DF20" s="840">
        <f t="shared" si="42"/>
        <v>0</v>
      </c>
      <c r="DG20" s="840">
        <f t="shared" si="42"/>
        <v>0</v>
      </c>
      <c r="DH20" s="840">
        <f t="shared" si="42"/>
        <v>0</v>
      </c>
      <c r="DI20" s="840">
        <f t="shared" si="42"/>
        <v>0</v>
      </c>
      <c r="DJ20" s="840">
        <f t="shared" si="42"/>
        <v>0</v>
      </c>
      <c r="DK20" s="840">
        <f t="shared" si="42"/>
        <v>0</v>
      </c>
      <c r="DL20" s="840">
        <f t="shared" si="42"/>
        <v>0</v>
      </c>
      <c r="DM20" s="840">
        <f t="shared" si="42"/>
        <v>0</v>
      </c>
      <c r="DN20" s="840">
        <f t="shared" si="42"/>
        <v>0</v>
      </c>
      <c r="DO20" s="840">
        <f t="shared" si="42"/>
        <v>0</v>
      </c>
      <c r="DP20" s="840">
        <f t="shared" si="42"/>
        <v>0</v>
      </c>
      <c r="DQ20" s="840">
        <f t="shared" si="42"/>
        <v>0</v>
      </c>
      <c r="DR20" s="840">
        <f t="shared" si="42"/>
        <v>0</v>
      </c>
      <c r="DS20" s="840">
        <f t="shared" si="42"/>
        <v>0</v>
      </c>
      <c r="DT20" s="840">
        <f t="shared" si="42"/>
        <v>0</v>
      </c>
      <c r="DU20" s="840">
        <f t="shared" si="42"/>
        <v>0</v>
      </c>
      <c r="DV20" s="840">
        <f t="shared" si="43"/>
        <v>0</v>
      </c>
      <c r="DW20" s="840">
        <f t="shared" si="43"/>
        <v>0</v>
      </c>
      <c r="DX20" s="840">
        <f t="shared" si="43"/>
        <v>0</v>
      </c>
      <c r="DY20" s="840">
        <f t="shared" si="43"/>
        <v>0</v>
      </c>
      <c r="DZ20" s="840">
        <f t="shared" si="43"/>
        <v>0</v>
      </c>
      <c r="EA20" s="840">
        <f t="shared" si="43"/>
        <v>0</v>
      </c>
      <c r="EB20" s="840">
        <f t="shared" si="43"/>
        <v>0</v>
      </c>
      <c r="EC20" s="840">
        <f t="shared" si="44"/>
        <v>0</v>
      </c>
      <c r="ED20" s="840">
        <f t="shared" si="44"/>
        <v>0</v>
      </c>
      <c r="EE20" s="840">
        <f t="shared" si="44"/>
        <v>0</v>
      </c>
      <c r="EF20" s="840">
        <f t="shared" si="44"/>
        <v>0</v>
      </c>
      <c r="EG20" s="840">
        <f t="shared" si="44"/>
        <v>0</v>
      </c>
      <c r="EH20" s="840">
        <f t="shared" si="44"/>
        <v>0</v>
      </c>
      <c r="EI20" s="840">
        <f t="shared" si="44"/>
        <v>0</v>
      </c>
      <c r="EJ20" s="840">
        <f t="shared" si="44"/>
        <v>0</v>
      </c>
      <c r="EK20" s="840">
        <f t="shared" si="44"/>
        <v>0</v>
      </c>
      <c r="EL20" s="840">
        <f t="shared" si="44"/>
        <v>0</v>
      </c>
      <c r="EM20" s="840">
        <f t="shared" si="44"/>
        <v>0</v>
      </c>
      <c r="EN20" s="840">
        <f t="shared" si="44"/>
        <v>0</v>
      </c>
      <c r="EO20" s="840">
        <f t="shared" si="44"/>
        <v>0</v>
      </c>
      <c r="EP20" s="840">
        <f t="shared" si="44"/>
        <v>0</v>
      </c>
      <c r="EQ20" s="840">
        <f t="shared" si="44"/>
        <v>0</v>
      </c>
      <c r="ER20" s="840">
        <f t="shared" si="44"/>
        <v>0</v>
      </c>
      <c r="ES20" s="840">
        <f t="shared" si="45"/>
        <v>0</v>
      </c>
      <c r="ET20" s="840">
        <f t="shared" si="45"/>
        <v>0</v>
      </c>
      <c r="EU20" s="840">
        <f t="shared" si="45"/>
        <v>0</v>
      </c>
      <c r="EV20" s="840">
        <f t="shared" si="45"/>
        <v>0</v>
      </c>
      <c r="EW20" s="840">
        <f t="shared" si="45"/>
        <v>0</v>
      </c>
      <c r="EX20" s="840">
        <f t="shared" si="45"/>
        <v>0</v>
      </c>
      <c r="EY20" s="840">
        <f t="shared" si="45"/>
        <v>0</v>
      </c>
      <c r="EZ20" s="842">
        <f t="shared" si="46"/>
        <v>0</v>
      </c>
      <c r="FA20" s="842">
        <f t="shared" si="46"/>
        <v>0</v>
      </c>
      <c r="FB20" s="842">
        <f t="shared" si="46"/>
        <v>0</v>
      </c>
      <c r="FC20" s="842">
        <f t="shared" si="46"/>
        <v>0</v>
      </c>
      <c r="FD20" s="842">
        <f t="shared" si="46"/>
        <v>0</v>
      </c>
      <c r="FE20" s="842">
        <f t="shared" si="46"/>
        <v>0</v>
      </c>
      <c r="FF20" s="842">
        <f t="shared" si="46"/>
        <v>0</v>
      </c>
      <c r="FG20" s="842">
        <f t="shared" si="46"/>
        <v>0</v>
      </c>
      <c r="FH20" s="842">
        <f t="shared" si="46"/>
        <v>0</v>
      </c>
      <c r="FI20" s="842">
        <f t="shared" si="46"/>
        <v>0</v>
      </c>
      <c r="FJ20" s="842">
        <f t="shared" si="46"/>
        <v>0</v>
      </c>
      <c r="FK20" s="842">
        <f t="shared" si="46"/>
        <v>0</v>
      </c>
      <c r="FL20" s="842">
        <f t="shared" si="46"/>
        <v>0</v>
      </c>
      <c r="FM20" s="842">
        <f t="shared" si="46"/>
        <v>0</v>
      </c>
      <c r="FN20" s="842">
        <f t="shared" si="46"/>
        <v>0</v>
      </c>
      <c r="FO20" s="842">
        <f t="shared" si="46"/>
        <v>0</v>
      </c>
      <c r="FP20" s="842">
        <f t="shared" si="47"/>
        <v>0</v>
      </c>
      <c r="FQ20" s="842">
        <f t="shared" si="47"/>
        <v>0</v>
      </c>
      <c r="FR20" s="842">
        <f t="shared" si="47"/>
        <v>0</v>
      </c>
      <c r="FS20" s="842">
        <f t="shared" si="47"/>
        <v>0</v>
      </c>
      <c r="FT20" s="842">
        <f t="shared" si="47"/>
        <v>0</v>
      </c>
      <c r="FU20" s="842">
        <f t="shared" si="47"/>
        <v>0</v>
      </c>
      <c r="FV20" s="842">
        <f t="shared" si="47"/>
        <v>0</v>
      </c>
      <c r="FW20" s="850">
        <v>29</v>
      </c>
      <c r="FX20" s="788" t="s">
        <v>179</v>
      </c>
      <c r="FY20" s="843">
        <v>2.4500000000000001E-2</v>
      </c>
      <c r="FZ20" s="844" t="s">
        <v>2232</v>
      </c>
    </row>
    <row r="21" spans="3:186" ht="23.25" customHeight="1">
      <c r="C21" s="1487"/>
      <c r="D21" s="1485"/>
      <c r="E21" s="1485" t="s">
        <v>2241</v>
      </c>
      <c r="F21" s="1485"/>
      <c r="G21" s="838" t="s">
        <v>2193</v>
      </c>
      <c r="H21" s="839"/>
      <c r="I21" s="839"/>
      <c r="J21" s="839"/>
      <c r="K21" s="839"/>
      <c r="L21" s="839"/>
      <c r="M21" s="839"/>
      <c r="N21" s="839"/>
      <c r="O21" s="839"/>
      <c r="P21" s="839"/>
      <c r="Q21" s="839"/>
      <c r="R21" s="839"/>
      <c r="S21" s="839"/>
      <c r="T21" s="839"/>
      <c r="U21" s="839"/>
      <c r="V21" s="839"/>
      <c r="W21" s="839"/>
      <c r="X21" s="839"/>
      <c r="Y21" s="839"/>
      <c r="Z21" s="839"/>
      <c r="AA21" s="839"/>
      <c r="AB21" s="839"/>
      <c r="AC21" s="839"/>
      <c r="AD21" s="839"/>
      <c r="AE21" s="839"/>
      <c r="AF21" s="839"/>
      <c r="AG21" s="839"/>
      <c r="AH21" s="839"/>
      <c r="AI21" s="839"/>
      <c r="AJ21" s="839"/>
      <c r="AK21" s="839"/>
      <c r="AL21" s="839"/>
      <c r="AM21" s="839"/>
      <c r="AN21" s="839"/>
      <c r="AO21" s="839"/>
      <c r="AP21" s="839"/>
      <c r="AQ21" s="839"/>
      <c r="AR21" s="839"/>
      <c r="AS21" s="839"/>
      <c r="AT21" s="839"/>
      <c r="AU21" s="839"/>
      <c r="AV21" s="839"/>
      <c r="AW21" s="839"/>
      <c r="AX21" s="839"/>
      <c r="AY21" s="839"/>
      <c r="AZ21" s="839"/>
      <c r="BA21" s="839"/>
      <c r="BB21" s="839"/>
      <c r="BC21" s="839"/>
      <c r="BD21" s="839"/>
      <c r="BE21" s="839"/>
      <c r="BF21" s="839"/>
      <c r="BG21" s="839"/>
      <c r="BH21" s="839"/>
      <c r="BI21" s="839"/>
      <c r="BJ21" s="840">
        <f t="shared" si="0"/>
        <v>0</v>
      </c>
      <c r="BK21" s="840">
        <f t="shared" si="1"/>
        <v>0</v>
      </c>
      <c r="BL21" s="840">
        <f t="shared" si="2"/>
        <v>0</v>
      </c>
      <c r="BM21" s="840">
        <f t="shared" si="3"/>
        <v>0</v>
      </c>
      <c r="BN21" s="840">
        <f t="shared" si="4"/>
        <v>0</v>
      </c>
      <c r="BO21" s="840">
        <f t="shared" si="5"/>
        <v>0</v>
      </c>
      <c r="BP21" s="840">
        <f t="shared" si="6"/>
        <v>0</v>
      </c>
      <c r="BQ21" s="840">
        <f t="shared" si="7"/>
        <v>0</v>
      </c>
      <c r="BR21" s="840">
        <f t="shared" si="8"/>
        <v>0</v>
      </c>
      <c r="BS21" s="840">
        <f t="shared" si="9"/>
        <v>0</v>
      </c>
      <c r="BT21" s="840">
        <f t="shared" si="10"/>
        <v>0</v>
      </c>
      <c r="BU21" s="840">
        <f t="shared" si="11"/>
        <v>0</v>
      </c>
      <c r="BV21" s="840">
        <f t="shared" si="12"/>
        <v>0</v>
      </c>
      <c r="BW21" s="840">
        <f t="shared" si="13"/>
        <v>0</v>
      </c>
      <c r="BX21" s="840">
        <f t="shared" si="14"/>
        <v>0</v>
      </c>
      <c r="BY21" s="840">
        <f t="shared" si="15"/>
        <v>0</v>
      </c>
      <c r="BZ21" s="840">
        <f t="shared" si="16"/>
        <v>0</v>
      </c>
      <c r="CA21" s="840">
        <f t="shared" si="48"/>
        <v>0</v>
      </c>
      <c r="CB21" s="840">
        <f t="shared" si="17"/>
        <v>0</v>
      </c>
      <c r="CC21" s="840">
        <f t="shared" si="17"/>
        <v>0</v>
      </c>
      <c r="CD21" s="840">
        <f t="shared" si="17"/>
        <v>0</v>
      </c>
      <c r="CE21" s="840">
        <f t="shared" si="17"/>
        <v>0</v>
      </c>
      <c r="CF21" s="840">
        <f t="shared" si="17"/>
        <v>0</v>
      </c>
      <c r="CG21" s="840">
        <f t="shared" si="18"/>
        <v>1000</v>
      </c>
      <c r="CH21" s="841" t="s">
        <v>194</v>
      </c>
      <c r="CI21" s="840">
        <f t="shared" si="19"/>
        <v>0</v>
      </c>
      <c r="CJ21" s="840">
        <f t="shared" si="20"/>
        <v>0</v>
      </c>
      <c r="CK21" s="840">
        <f t="shared" si="21"/>
        <v>0</v>
      </c>
      <c r="CL21" s="840">
        <f t="shared" si="22"/>
        <v>0</v>
      </c>
      <c r="CM21" s="840">
        <f t="shared" si="23"/>
        <v>0</v>
      </c>
      <c r="CN21" s="840">
        <f t="shared" si="24"/>
        <v>0</v>
      </c>
      <c r="CO21" s="840">
        <f t="shared" si="25"/>
        <v>0</v>
      </c>
      <c r="CP21" s="840">
        <f t="shared" si="26"/>
        <v>0</v>
      </c>
      <c r="CQ21" s="840">
        <f t="shared" si="27"/>
        <v>0</v>
      </c>
      <c r="CR21" s="840">
        <f t="shared" si="28"/>
        <v>0</v>
      </c>
      <c r="CS21" s="840">
        <f t="shared" si="29"/>
        <v>0</v>
      </c>
      <c r="CT21" s="840">
        <f t="shared" si="30"/>
        <v>0</v>
      </c>
      <c r="CU21" s="840">
        <f t="shared" si="31"/>
        <v>0</v>
      </c>
      <c r="CV21" s="840">
        <f t="shared" si="32"/>
        <v>0</v>
      </c>
      <c r="CW21" s="840">
        <f t="shared" si="33"/>
        <v>0</v>
      </c>
      <c r="CX21" s="840">
        <f t="shared" si="34"/>
        <v>0</v>
      </c>
      <c r="CY21" s="840">
        <f t="shared" si="35"/>
        <v>0</v>
      </c>
      <c r="CZ21" s="840">
        <f t="shared" si="36"/>
        <v>0</v>
      </c>
      <c r="DA21" s="840">
        <f t="shared" si="37"/>
        <v>0</v>
      </c>
      <c r="DB21" s="840">
        <f t="shared" si="38"/>
        <v>0</v>
      </c>
      <c r="DC21" s="840">
        <f t="shared" si="39"/>
        <v>0</v>
      </c>
      <c r="DD21" s="840">
        <f t="shared" si="40"/>
        <v>0</v>
      </c>
      <c r="DE21" s="840">
        <f t="shared" si="41"/>
        <v>0</v>
      </c>
      <c r="DF21" s="840">
        <f t="shared" si="42"/>
        <v>0</v>
      </c>
      <c r="DG21" s="840">
        <f t="shared" si="42"/>
        <v>0</v>
      </c>
      <c r="DH21" s="840">
        <f t="shared" si="42"/>
        <v>0</v>
      </c>
      <c r="DI21" s="840">
        <f t="shared" si="42"/>
        <v>0</v>
      </c>
      <c r="DJ21" s="840">
        <f t="shared" si="42"/>
        <v>0</v>
      </c>
      <c r="DK21" s="840">
        <f t="shared" si="42"/>
        <v>0</v>
      </c>
      <c r="DL21" s="840">
        <f t="shared" si="42"/>
        <v>0</v>
      </c>
      <c r="DM21" s="840">
        <f t="shared" si="42"/>
        <v>0</v>
      </c>
      <c r="DN21" s="840">
        <f t="shared" si="42"/>
        <v>0</v>
      </c>
      <c r="DO21" s="840">
        <f t="shared" si="42"/>
        <v>0</v>
      </c>
      <c r="DP21" s="840">
        <f t="shared" si="42"/>
        <v>0</v>
      </c>
      <c r="DQ21" s="840">
        <f t="shared" si="42"/>
        <v>0</v>
      </c>
      <c r="DR21" s="840">
        <f t="shared" si="42"/>
        <v>0</v>
      </c>
      <c r="DS21" s="840">
        <f t="shared" si="42"/>
        <v>0</v>
      </c>
      <c r="DT21" s="840">
        <f t="shared" si="42"/>
        <v>0</v>
      </c>
      <c r="DU21" s="840">
        <f t="shared" ref="DU21:DU34" si="49">CX21*$FW21</f>
        <v>0</v>
      </c>
      <c r="DV21" s="840">
        <f t="shared" si="43"/>
        <v>0</v>
      </c>
      <c r="DW21" s="840">
        <f t="shared" si="43"/>
        <v>0</v>
      </c>
      <c r="DX21" s="840">
        <f t="shared" si="43"/>
        <v>0</v>
      </c>
      <c r="DY21" s="840">
        <f t="shared" si="43"/>
        <v>0</v>
      </c>
      <c r="DZ21" s="840">
        <f t="shared" si="43"/>
        <v>0</v>
      </c>
      <c r="EA21" s="840">
        <f t="shared" si="43"/>
        <v>0</v>
      </c>
      <c r="EB21" s="840">
        <f t="shared" si="43"/>
        <v>0</v>
      </c>
      <c r="EC21" s="840">
        <f t="shared" si="44"/>
        <v>0</v>
      </c>
      <c r="ED21" s="840">
        <f t="shared" si="44"/>
        <v>0</v>
      </c>
      <c r="EE21" s="840">
        <f t="shared" si="44"/>
        <v>0</v>
      </c>
      <c r="EF21" s="840">
        <f t="shared" si="44"/>
        <v>0</v>
      </c>
      <c r="EG21" s="840">
        <f t="shared" si="44"/>
        <v>0</v>
      </c>
      <c r="EH21" s="840">
        <f t="shared" si="44"/>
        <v>0</v>
      </c>
      <c r="EI21" s="840">
        <f t="shared" si="44"/>
        <v>0</v>
      </c>
      <c r="EJ21" s="840">
        <f t="shared" si="44"/>
        <v>0</v>
      </c>
      <c r="EK21" s="840">
        <f t="shared" si="44"/>
        <v>0</v>
      </c>
      <c r="EL21" s="840">
        <f t="shared" si="44"/>
        <v>0</v>
      </c>
      <c r="EM21" s="840">
        <f t="shared" si="44"/>
        <v>0</v>
      </c>
      <c r="EN21" s="840">
        <f t="shared" si="44"/>
        <v>0</v>
      </c>
      <c r="EO21" s="840">
        <f t="shared" si="44"/>
        <v>0</v>
      </c>
      <c r="EP21" s="840">
        <f t="shared" si="44"/>
        <v>0</v>
      </c>
      <c r="EQ21" s="840">
        <f t="shared" si="44"/>
        <v>0</v>
      </c>
      <c r="ER21" s="840">
        <f t="shared" ref="ER21:ER34" si="50">DU21*$GC$19</f>
        <v>0</v>
      </c>
      <c r="ES21" s="840">
        <f t="shared" si="45"/>
        <v>0</v>
      </c>
      <c r="ET21" s="840">
        <f t="shared" si="45"/>
        <v>0</v>
      </c>
      <c r="EU21" s="840">
        <f t="shared" si="45"/>
        <v>0</v>
      </c>
      <c r="EV21" s="840">
        <f t="shared" si="45"/>
        <v>0</v>
      </c>
      <c r="EW21" s="840">
        <f t="shared" si="45"/>
        <v>0</v>
      </c>
      <c r="EX21" s="840">
        <f t="shared" si="45"/>
        <v>0</v>
      </c>
      <c r="EY21" s="840">
        <f t="shared" si="45"/>
        <v>0</v>
      </c>
      <c r="EZ21" s="842">
        <f t="shared" si="46"/>
        <v>0</v>
      </c>
      <c r="FA21" s="842">
        <f t="shared" si="46"/>
        <v>0</v>
      </c>
      <c r="FB21" s="842">
        <f t="shared" si="46"/>
        <v>0</v>
      </c>
      <c r="FC21" s="842">
        <f t="shared" si="46"/>
        <v>0</v>
      </c>
      <c r="FD21" s="842">
        <f t="shared" si="46"/>
        <v>0</v>
      </c>
      <c r="FE21" s="842">
        <f t="shared" si="46"/>
        <v>0</v>
      </c>
      <c r="FF21" s="842">
        <f t="shared" si="46"/>
        <v>0</v>
      </c>
      <c r="FG21" s="842">
        <f t="shared" si="46"/>
        <v>0</v>
      </c>
      <c r="FH21" s="842">
        <f t="shared" si="46"/>
        <v>0</v>
      </c>
      <c r="FI21" s="842">
        <f t="shared" si="46"/>
        <v>0</v>
      </c>
      <c r="FJ21" s="842">
        <f t="shared" si="46"/>
        <v>0</v>
      </c>
      <c r="FK21" s="842">
        <f t="shared" si="46"/>
        <v>0</v>
      </c>
      <c r="FL21" s="842">
        <f t="shared" si="46"/>
        <v>0</v>
      </c>
      <c r="FM21" s="842">
        <f t="shared" si="46"/>
        <v>0</v>
      </c>
      <c r="FN21" s="842">
        <f t="shared" si="46"/>
        <v>0</v>
      </c>
      <c r="FO21" s="842">
        <f t="shared" ref="FO21:FO34" si="51">DU21*$FY21*44/12</f>
        <v>0</v>
      </c>
      <c r="FP21" s="842">
        <f t="shared" si="47"/>
        <v>0</v>
      </c>
      <c r="FQ21" s="842">
        <f t="shared" si="47"/>
        <v>0</v>
      </c>
      <c r="FR21" s="842">
        <f t="shared" si="47"/>
        <v>0</v>
      </c>
      <c r="FS21" s="842">
        <f t="shared" si="47"/>
        <v>0</v>
      </c>
      <c r="FT21" s="842">
        <f t="shared" si="47"/>
        <v>0</v>
      </c>
      <c r="FU21" s="842">
        <f t="shared" si="47"/>
        <v>0</v>
      </c>
      <c r="FV21" s="842">
        <f t="shared" si="47"/>
        <v>0</v>
      </c>
      <c r="FW21" s="843">
        <v>25.7</v>
      </c>
      <c r="FX21" s="788" t="s">
        <v>179</v>
      </c>
      <c r="FY21" s="843">
        <v>2.47E-2</v>
      </c>
      <c r="FZ21" s="844" t="s">
        <v>2232</v>
      </c>
    </row>
    <row r="22" spans="3:186" ht="23.25" customHeight="1">
      <c r="C22" s="1487"/>
      <c r="D22" s="1485"/>
      <c r="E22" s="1485" t="s">
        <v>1636</v>
      </c>
      <c r="F22" s="1485"/>
      <c r="G22" s="838" t="s">
        <v>2193</v>
      </c>
      <c r="H22" s="839"/>
      <c r="I22" s="839"/>
      <c r="J22" s="839"/>
      <c r="K22" s="839"/>
      <c r="L22" s="839"/>
      <c r="M22" s="839"/>
      <c r="N22" s="839"/>
      <c r="O22" s="839"/>
      <c r="P22" s="839"/>
      <c r="Q22" s="839"/>
      <c r="R22" s="839"/>
      <c r="S22" s="839"/>
      <c r="T22" s="839"/>
      <c r="U22" s="839"/>
      <c r="V22" s="839"/>
      <c r="W22" s="839"/>
      <c r="X22" s="839"/>
      <c r="Y22" s="839"/>
      <c r="Z22" s="839"/>
      <c r="AA22" s="839"/>
      <c r="AB22" s="839"/>
      <c r="AC22" s="839"/>
      <c r="AD22" s="839"/>
      <c r="AE22" s="839"/>
      <c r="AF22" s="839"/>
      <c r="AG22" s="839"/>
      <c r="AH22" s="839"/>
      <c r="AI22" s="839"/>
      <c r="AJ22" s="839"/>
      <c r="AK22" s="839"/>
      <c r="AL22" s="839"/>
      <c r="AM22" s="839"/>
      <c r="AN22" s="839"/>
      <c r="AO22" s="839"/>
      <c r="AP22" s="839"/>
      <c r="AQ22" s="839"/>
      <c r="AR22" s="839"/>
      <c r="AS22" s="839"/>
      <c r="AT22" s="839"/>
      <c r="AU22" s="839"/>
      <c r="AV22" s="839"/>
      <c r="AW22" s="839"/>
      <c r="AX22" s="839"/>
      <c r="AY22" s="839"/>
      <c r="AZ22" s="839"/>
      <c r="BA22" s="839"/>
      <c r="BB22" s="839"/>
      <c r="BC22" s="839"/>
      <c r="BD22" s="839"/>
      <c r="BE22" s="839"/>
      <c r="BF22" s="839"/>
      <c r="BG22" s="839"/>
      <c r="BH22" s="839"/>
      <c r="BI22" s="839"/>
      <c r="BJ22" s="840">
        <f t="shared" si="0"/>
        <v>0</v>
      </c>
      <c r="BK22" s="840">
        <f t="shared" si="1"/>
        <v>0</v>
      </c>
      <c r="BL22" s="840">
        <f t="shared" si="2"/>
        <v>0</v>
      </c>
      <c r="BM22" s="840">
        <f t="shared" si="3"/>
        <v>0</v>
      </c>
      <c r="BN22" s="840">
        <f t="shared" si="4"/>
        <v>0</v>
      </c>
      <c r="BO22" s="840">
        <f t="shared" si="5"/>
        <v>0</v>
      </c>
      <c r="BP22" s="840">
        <f t="shared" si="6"/>
        <v>0</v>
      </c>
      <c r="BQ22" s="840">
        <f t="shared" si="7"/>
        <v>0</v>
      </c>
      <c r="BR22" s="840">
        <f t="shared" si="8"/>
        <v>0</v>
      </c>
      <c r="BS22" s="840">
        <f t="shared" si="9"/>
        <v>0</v>
      </c>
      <c r="BT22" s="840">
        <f t="shared" si="10"/>
        <v>0</v>
      </c>
      <c r="BU22" s="840">
        <f t="shared" si="11"/>
        <v>0</v>
      </c>
      <c r="BV22" s="840">
        <f t="shared" si="12"/>
        <v>0</v>
      </c>
      <c r="BW22" s="840">
        <f t="shared" si="13"/>
        <v>0</v>
      </c>
      <c r="BX22" s="840">
        <f t="shared" si="14"/>
        <v>0</v>
      </c>
      <c r="BY22" s="840">
        <f t="shared" si="15"/>
        <v>0</v>
      </c>
      <c r="BZ22" s="840">
        <f t="shared" si="16"/>
        <v>0</v>
      </c>
      <c r="CA22" s="840">
        <f t="shared" si="48"/>
        <v>0</v>
      </c>
      <c r="CB22" s="840">
        <f t="shared" si="48"/>
        <v>0</v>
      </c>
      <c r="CC22" s="840">
        <f t="shared" si="48"/>
        <v>0</v>
      </c>
      <c r="CD22" s="840">
        <f t="shared" si="48"/>
        <v>0</v>
      </c>
      <c r="CE22" s="840">
        <f t="shared" si="48"/>
        <v>0</v>
      </c>
      <c r="CF22" s="840">
        <f t="shared" si="48"/>
        <v>0</v>
      </c>
      <c r="CG22" s="840">
        <f t="shared" si="18"/>
        <v>1000</v>
      </c>
      <c r="CH22" s="841" t="s">
        <v>194</v>
      </c>
      <c r="CI22" s="840">
        <f t="shared" si="19"/>
        <v>0</v>
      </c>
      <c r="CJ22" s="840">
        <f t="shared" si="20"/>
        <v>0</v>
      </c>
      <c r="CK22" s="840">
        <f t="shared" si="21"/>
        <v>0</v>
      </c>
      <c r="CL22" s="840">
        <f t="shared" si="22"/>
        <v>0</v>
      </c>
      <c r="CM22" s="840">
        <f t="shared" si="23"/>
        <v>0</v>
      </c>
      <c r="CN22" s="840">
        <f t="shared" si="24"/>
        <v>0</v>
      </c>
      <c r="CO22" s="840">
        <f t="shared" si="25"/>
        <v>0</v>
      </c>
      <c r="CP22" s="840">
        <f t="shared" si="26"/>
        <v>0</v>
      </c>
      <c r="CQ22" s="840">
        <f t="shared" si="27"/>
        <v>0</v>
      </c>
      <c r="CR22" s="840">
        <f t="shared" si="28"/>
        <v>0</v>
      </c>
      <c r="CS22" s="840">
        <f t="shared" si="29"/>
        <v>0</v>
      </c>
      <c r="CT22" s="840">
        <f t="shared" si="30"/>
        <v>0</v>
      </c>
      <c r="CU22" s="840">
        <f t="shared" si="31"/>
        <v>0</v>
      </c>
      <c r="CV22" s="840">
        <f t="shared" si="32"/>
        <v>0</v>
      </c>
      <c r="CW22" s="840">
        <f t="shared" si="33"/>
        <v>0</v>
      </c>
      <c r="CX22" s="840">
        <f t="shared" si="34"/>
        <v>0</v>
      </c>
      <c r="CY22" s="840">
        <f t="shared" si="35"/>
        <v>0</v>
      </c>
      <c r="CZ22" s="840">
        <f t="shared" si="36"/>
        <v>0</v>
      </c>
      <c r="DA22" s="840">
        <f t="shared" si="37"/>
        <v>0</v>
      </c>
      <c r="DB22" s="840">
        <f t="shared" si="38"/>
        <v>0</v>
      </c>
      <c r="DC22" s="840">
        <f t="shared" si="39"/>
        <v>0</v>
      </c>
      <c r="DD22" s="840">
        <f t="shared" si="40"/>
        <v>0</v>
      </c>
      <c r="DE22" s="840">
        <f t="shared" si="41"/>
        <v>0</v>
      </c>
      <c r="DF22" s="840">
        <f t="shared" ref="DF22:DT34" si="52">CI22*$FW22</f>
        <v>0</v>
      </c>
      <c r="DG22" s="840">
        <f t="shared" si="52"/>
        <v>0</v>
      </c>
      <c r="DH22" s="840">
        <f t="shared" si="52"/>
        <v>0</v>
      </c>
      <c r="DI22" s="840">
        <f t="shared" si="52"/>
        <v>0</v>
      </c>
      <c r="DJ22" s="840">
        <f t="shared" si="52"/>
        <v>0</v>
      </c>
      <c r="DK22" s="840">
        <f t="shared" si="52"/>
        <v>0</v>
      </c>
      <c r="DL22" s="840">
        <f t="shared" si="52"/>
        <v>0</v>
      </c>
      <c r="DM22" s="840">
        <f t="shared" si="52"/>
        <v>0</v>
      </c>
      <c r="DN22" s="840">
        <f t="shared" si="52"/>
        <v>0</v>
      </c>
      <c r="DO22" s="840">
        <f t="shared" si="52"/>
        <v>0</v>
      </c>
      <c r="DP22" s="840">
        <f t="shared" si="52"/>
        <v>0</v>
      </c>
      <c r="DQ22" s="840">
        <f t="shared" si="52"/>
        <v>0</v>
      </c>
      <c r="DR22" s="840">
        <f t="shared" si="52"/>
        <v>0</v>
      </c>
      <c r="DS22" s="840">
        <f t="shared" si="52"/>
        <v>0</v>
      </c>
      <c r="DT22" s="840">
        <f t="shared" si="52"/>
        <v>0</v>
      </c>
      <c r="DU22" s="840">
        <f t="shared" si="49"/>
        <v>0</v>
      </c>
      <c r="DV22" s="840">
        <f t="shared" si="43"/>
        <v>0</v>
      </c>
      <c r="DW22" s="840">
        <f t="shared" si="43"/>
        <v>0</v>
      </c>
      <c r="DX22" s="840">
        <f t="shared" si="43"/>
        <v>0</v>
      </c>
      <c r="DY22" s="840">
        <f t="shared" si="43"/>
        <v>0</v>
      </c>
      <c r="DZ22" s="840">
        <f t="shared" si="43"/>
        <v>0</v>
      </c>
      <c r="EA22" s="840">
        <f t="shared" si="43"/>
        <v>0</v>
      </c>
      <c r="EB22" s="840">
        <f t="shared" si="43"/>
        <v>0</v>
      </c>
      <c r="EC22" s="840">
        <f t="shared" ref="EC22:EQ34" si="53">DF22*$GC$19</f>
        <v>0</v>
      </c>
      <c r="ED22" s="840">
        <f t="shared" si="53"/>
        <v>0</v>
      </c>
      <c r="EE22" s="840">
        <f t="shared" si="53"/>
        <v>0</v>
      </c>
      <c r="EF22" s="840">
        <f t="shared" si="53"/>
        <v>0</v>
      </c>
      <c r="EG22" s="840">
        <f t="shared" si="53"/>
        <v>0</v>
      </c>
      <c r="EH22" s="840">
        <f t="shared" si="53"/>
        <v>0</v>
      </c>
      <c r="EI22" s="840">
        <f t="shared" si="53"/>
        <v>0</v>
      </c>
      <c r="EJ22" s="840">
        <f t="shared" si="53"/>
        <v>0</v>
      </c>
      <c r="EK22" s="840">
        <f t="shared" si="53"/>
        <v>0</v>
      </c>
      <c r="EL22" s="840">
        <f t="shared" si="53"/>
        <v>0</v>
      </c>
      <c r="EM22" s="840">
        <f t="shared" si="53"/>
        <v>0</v>
      </c>
      <c r="EN22" s="840">
        <f t="shared" si="53"/>
        <v>0</v>
      </c>
      <c r="EO22" s="840">
        <f t="shared" si="53"/>
        <v>0</v>
      </c>
      <c r="EP22" s="840">
        <f t="shared" si="53"/>
        <v>0</v>
      </c>
      <c r="EQ22" s="840">
        <f t="shared" si="53"/>
        <v>0</v>
      </c>
      <c r="ER22" s="840">
        <f t="shared" si="50"/>
        <v>0</v>
      </c>
      <c r="ES22" s="840">
        <f t="shared" si="45"/>
        <v>0</v>
      </c>
      <c r="ET22" s="840">
        <f t="shared" si="45"/>
        <v>0</v>
      </c>
      <c r="EU22" s="840">
        <f t="shared" si="45"/>
        <v>0</v>
      </c>
      <c r="EV22" s="840">
        <f t="shared" si="45"/>
        <v>0</v>
      </c>
      <c r="EW22" s="840">
        <f t="shared" si="45"/>
        <v>0</v>
      </c>
      <c r="EX22" s="840">
        <f t="shared" si="45"/>
        <v>0</v>
      </c>
      <c r="EY22" s="840">
        <f t="shared" si="45"/>
        <v>0</v>
      </c>
      <c r="EZ22" s="842">
        <f t="shared" ref="EZ22:FN34" si="54">DF22*$FY22*44/12</f>
        <v>0</v>
      </c>
      <c r="FA22" s="842">
        <f t="shared" si="54"/>
        <v>0</v>
      </c>
      <c r="FB22" s="842">
        <f t="shared" si="54"/>
        <v>0</v>
      </c>
      <c r="FC22" s="842">
        <f t="shared" si="54"/>
        <v>0</v>
      </c>
      <c r="FD22" s="842">
        <f t="shared" si="54"/>
        <v>0</v>
      </c>
      <c r="FE22" s="842">
        <f t="shared" si="54"/>
        <v>0</v>
      </c>
      <c r="FF22" s="842">
        <f t="shared" si="54"/>
        <v>0</v>
      </c>
      <c r="FG22" s="842">
        <f t="shared" si="54"/>
        <v>0</v>
      </c>
      <c r="FH22" s="842">
        <f t="shared" si="54"/>
        <v>0</v>
      </c>
      <c r="FI22" s="842">
        <f t="shared" si="54"/>
        <v>0</v>
      </c>
      <c r="FJ22" s="842">
        <f t="shared" si="54"/>
        <v>0</v>
      </c>
      <c r="FK22" s="842">
        <f t="shared" si="54"/>
        <v>0</v>
      </c>
      <c r="FL22" s="842">
        <f t="shared" si="54"/>
        <v>0</v>
      </c>
      <c r="FM22" s="842">
        <f t="shared" si="54"/>
        <v>0</v>
      </c>
      <c r="FN22" s="842">
        <f t="shared" si="54"/>
        <v>0</v>
      </c>
      <c r="FO22" s="842">
        <f t="shared" si="51"/>
        <v>0</v>
      </c>
      <c r="FP22" s="842">
        <f t="shared" si="47"/>
        <v>0</v>
      </c>
      <c r="FQ22" s="842">
        <f t="shared" si="47"/>
        <v>0</v>
      </c>
      <c r="FR22" s="842">
        <f t="shared" si="47"/>
        <v>0</v>
      </c>
      <c r="FS22" s="842">
        <f t="shared" si="47"/>
        <v>0</v>
      </c>
      <c r="FT22" s="842">
        <f t="shared" si="47"/>
        <v>0</v>
      </c>
      <c r="FU22" s="842">
        <f t="shared" si="47"/>
        <v>0</v>
      </c>
      <c r="FV22" s="842">
        <f t="shared" si="47"/>
        <v>0</v>
      </c>
      <c r="FW22" s="843">
        <v>26.9</v>
      </c>
      <c r="FX22" s="788" t="s">
        <v>179</v>
      </c>
      <c r="FY22" s="843">
        <v>2.5499999999999998E-2</v>
      </c>
      <c r="FZ22" s="844" t="s">
        <v>2232</v>
      </c>
    </row>
    <row r="23" spans="3:186" ht="23.25" customHeight="1">
      <c r="C23" s="1487"/>
      <c r="D23" s="1485" t="s">
        <v>27</v>
      </c>
      <c r="E23" s="1485"/>
      <c r="F23" s="1485"/>
      <c r="G23" s="838" t="s">
        <v>2193</v>
      </c>
      <c r="H23" s="839"/>
      <c r="I23" s="839"/>
      <c r="J23" s="839"/>
      <c r="K23" s="839"/>
      <c r="L23" s="839"/>
      <c r="M23" s="839"/>
      <c r="N23" s="839"/>
      <c r="O23" s="839"/>
      <c r="P23" s="839"/>
      <c r="Q23" s="839"/>
      <c r="R23" s="839"/>
      <c r="S23" s="839"/>
      <c r="T23" s="839"/>
      <c r="U23" s="839"/>
      <c r="V23" s="839"/>
      <c r="W23" s="839"/>
      <c r="X23" s="839"/>
      <c r="Y23" s="839"/>
      <c r="Z23" s="839"/>
      <c r="AA23" s="839"/>
      <c r="AB23" s="839"/>
      <c r="AC23" s="839"/>
      <c r="AD23" s="839"/>
      <c r="AE23" s="839"/>
      <c r="AF23" s="839"/>
      <c r="AG23" s="839"/>
      <c r="AH23" s="839"/>
      <c r="AI23" s="839"/>
      <c r="AJ23" s="839"/>
      <c r="AK23" s="839"/>
      <c r="AL23" s="839"/>
      <c r="AM23" s="839"/>
      <c r="AN23" s="839"/>
      <c r="AO23" s="839"/>
      <c r="AP23" s="839"/>
      <c r="AQ23" s="839"/>
      <c r="AR23" s="839"/>
      <c r="AS23" s="839"/>
      <c r="AT23" s="839"/>
      <c r="AU23" s="839"/>
      <c r="AV23" s="839"/>
      <c r="AW23" s="839"/>
      <c r="AX23" s="839"/>
      <c r="AY23" s="839"/>
      <c r="AZ23" s="839"/>
      <c r="BA23" s="839"/>
      <c r="BB23" s="839"/>
      <c r="BC23" s="839"/>
      <c r="BD23" s="839"/>
      <c r="BE23" s="839"/>
      <c r="BF23" s="839"/>
      <c r="BG23" s="839"/>
      <c r="BH23" s="839"/>
      <c r="BI23" s="839"/>
      <c r="BJ23" s="840">
        <f t="shared" si="0"/>
        <v>0</v>
      </c>
      <c r="BK23" s="840">
        <f t="shared" si="1"/>
        <v>0</v>
      </c>
      <c r="BL23" s="840">
        <f t="shared" si="2"/>
        <v>0</v>
      </c>
      <c r="BM23" s="840">
        <f t="shared" si="3"/>
        <v>0</v>
      </c>
      <c r="BN23" s="840">
        <f t="shared" si="4"/>
        <v>0</v>
      </c>
      <c r="BO23" s="840">
        <f t="shared" si="5"/>
        <v>0</v>
      </c>
      <c r="BP23" s="840">
        <f t="shared" si="6"/>
        <v>0</v>
      </c>
      <c r="BQ23" s="840">
        <f t="shared" si="7"/>
        <v>0</v>
      </c>
      <c r="BR23" s="840">
        <f t="shared" si="8"/>
        <v>0</v>
      </c>
      <c r="BS23" s="840">
        <f t="shared" si="9"/>
        <v>0</v>
      </c>
      <c r="BT23" s="840">
        <f t="shared" si="10"/>
        <v>0</v>
      </c>
      <c r="BU23" s="840">
        <f t="shared" si="11"/>
        <v>0</v>
      </c>
      <c r="BV23" s="840">
        <f t="shared" si="12"/>
        <v>0</v>
      </c>
      <c r="BW23" s="840">
        <f t="shared" si="13"/>
        <v>0</v>
      </c>
      <c r="BX23" s="840">
        <f t="shared" si="14"/>
        <v>0</v>
      </c>
      <c r="BY23" s="840">
        <f t="shared" si="15"/>
        <v>0</v>
      </c>
      <c r="BZ23" s="840">
        <f t="shared" si="16"/>
        <v>0</v>
      </c>
      <c r="CA23" s="840">
        <f t="shared" si="48"/>
        <v>0</v>
      </c>
      <c r="CB23" s="840">
        <f t="shared" si="48"/>
        <v>0</v>
      </c>
      <c r="CC23" s="840">
        <f t="shared" si="48"/>
        <v>0</v>
      </c>
      <c r="CD23" s="840">
        <f t="shared" si="48"/>
        <v>0</v>
      </c>
      <c r="CE23" s="840">
        <f t="shared" si="48"/>
        <v>0</v>
      </c>
      <c r="CF23" s="840">
        <f t="shared" si="48"/>
        <v>0</v>
      </c>
      <c r="CG23" s="840">
        <f t="shared" si="18"/>
        <v>1000</v>
      </c>
      <c r="CH23" s="841" t="s">
        <v>194</v>
      </c>
      <c r="CI23" s="840">
        <f t="shared" si="19"/>
        <v>0</v>
      </c>
      <c r="CJ23" s="840">
        <f t="shared" si="20"/>
        <v>0</v>
      </c>
      <c r="CK23" s="840">
        <f t="shared" si="21"/>
        <v>0</v>
      </c>
      <c r="CL23" s="840">
        <f t="shared" si="22"/>
        <v>0</v>
      </c>
      <c r="CM23" s="840">
        <f t="shared" si="23"/>
        <v>0</v>
      </c>
      <c r="CN23" s="840">
        <f t="shared" si="24"/>
        <v>0</v>
      </c>
      <c r="CO23" s="840">
        <f t="shared" si="25"/>
        <v>0</v>
      </c>
      <c r="CP23" s="840">
        <f t="shared" si="26"/>
        <v>0</v>
      </c>
      <c r="CQ23" s="840">
        <f t="shared" si="27"/>
        <v>0</v>
      </c>
      <c r="CR23" s="840">
        <f t="shared" si="28"/>
        <v>0</v>
      </c>
      <c r="CS23" s="840">
        <f t="shared" si="29"/>
        <v>0</v>
      </c>
      <c r="CT23" s="840">
        <f t="shared" si="30"/>
        <v>0</v>
      </c>
      <c r="CU23" s="840">
        <f t="shared" si="31"/>
        <v>0</v>
      </c>
      <c r="CV23" s="840">
        <f t="shared" si="32"/>
        <v>0</v>
      </c>
      <c r="CW23" s="840">
        <f t="shared" si="33"/>
        <v>0</v>
      </c>
      <c r="CX23" s="840">
        <f t="shared" si="34"/>
        <v>0</v>
      </c>
      <c r="CY23" s="840">
        <f t="shared" si="35"/>
        <v>0</v>
      </c>
      <c r="CZ23" s="840">
        <f t="shared" si="36"/>
        <v>0</v>
      </c>
      <c r="DA23" s="840">
        <f t="shared" si="37"/>
        <v>0</v>
      </c>
      <c r="DB23" s="840">
        <f t="shared" si="38"/>
        <v>0</v>
      </c>
      <c r="DC23" s="840">
        <f t="shared" si="39"/>
        <v>0</v>
      </c>
      <c r="DD23" s="840">
        <f t="shared" si="40"/>
        <v>0</v>
      </c>
      <c r="DE23" s="840">
        <f t="shared" si="41"/>
        <v>0</v>
      </c>
      <c r="DF23" s="840">
        <f t="shared" si="52"/>
        <v>0</v>
      </c>
      <c r="DG23" s="840">
        <f t="shared" si="52"/>
        <v>0</v>
      </c>
      <c r="DH23" s="840">
        <f t="shared" si="52"/>
        <v>0</v>
      </c>
      <c r="DI23" s="840">
        <f t="shared" si="52"/>
        <v>0</v>
      </c>
      <c r="DJ23" s="840">
        <f t="shared" si="52"/>
        <v>0</v>
      </c>
      <c r="DK23" s="840">
        <f t="shared" si="52"/>
        <v>0</v>
      </c>
      <c r="DL23" s="840">
        <f t="shared" si="52"/>
        <v>0</v>
      </c>
      <c r="DM23" s="840">
        <f t="shared" si="52"/>
        <v>0</v>
      </c>
      <c r="DN23" s="840">
        <f t="shared" si="52"/>
        <v>0</v>
      </c>
      <c r="DO23" s="840">
        <f t="shared" si="52"/>
        <v>0</v>
      </c>
      <c r="DP23" s="840">
        <f t="shared" si="52"/>
        <v>0</v>
      </c>
      <c r="DQ23" s="840">
        <f t="shared" si="52"/>
        <v>0</v>
      </c>
      <c r="DR23" s="840">
        <f t="shared" si="52"/>
        <v>0</v>
      </c>
      <c r="DS23" s="840">
        <f t="shared" si="52"/>
        <v>0</v>
      </c>
      <c r="DT23" s="840">
        <f t="shared" si="52"/>
        <v>0</v>
      </c>
      <c r="DU23" s="840">
        <f t="shared" si="49"/>
        <v>0</v>
      </c>
      <c r="DV23" s="840">
        <f t="shared" si="43"/>
        <v>0</v>
      </c>
      <c r="DW23" s="840">
        <f t="shared" si="43"/>
        <v>0</v>
      </c>
      <c r="DX23" s="840">
        <f t="shared" si="43"/>
        <v>0</v>
      </c>
      <c r="DY23" s="840">
        <f t="shared" si="43"/>
        <v>0</v>
      </c>
      <c r="DZ23" s="840">
        <f t="shared" si="43"/>
        <v>0</v>
      </c>
      <c r="EA23" s="840">
        <f t="shared" si="43"/>
        <v>0</v>
      </c>
      <c r="EB23" s="840">
        <f t="shared" si="43"/>
        <v>0</v>
      </c>
      <c r="EC23" s="840">
        <f t="shared" si="53"/>
        <v>0</v>
      </c>
      <c r="ED23" s="840">
        <f t="shared" si="53"/>
        <v>0</v>
      </c>
      <c r="EE23" s="840">
        <f t="shared" si="53"/>
        <v>0</v>
      </c>
      <c r="EF23" s="840">
        <f t="shared" si="53"/>
        <v>0</v>
      </c>
      <c r="EG23" s="840">
        <f t="shared" si="53"/>
        <v>0</v>
      </c>
      <c r="EH23" s="840">
        <f t="shared" si="53"/>
        <v>0</v>
      </c>
      <c r="EI23" s="840">
        <f t="shared" si="53"/>
        <v>0</v>
      </c>
      <c r="EJ23" s="840">
        <f t="shared" si="53"/>
        <v>0</v>
      </c>
      <c r="EK23" s="840">
        <f t="shared" si="53"/>
        <v>0</v>
      </c>
      <c r="EL23" s="840">
        <f t="shared" si="53"/>
        <v>0</v>
      </c>
      <c r="EM23" s="840">
        <f t="shared" si="53"/>
        <v>0</v>
      </c>
      <c r="EN23" s="840">
        <f t="shared" si="53"/>
        <v>0</v>
      </c>
      <c r="EO23" s="840">
        <f t="shared" si="53"/>
        <v>0</v>
      </c>
      <c r="EP23" s="840">
        <f t="shared" si="53"/>
        <v>0</v>
      </c>
      <c r="EQ23" s="840">
        <f t="shared" si="53"/>
        <v>0</v>
      </c>
      <c r="ER23" s="840">
        <f t="shared" si="50"/>
        <v>0</v>
      </c>
      <c r="ES23" s="840">
        <f t="shared" si="45"/>
        <v>0</v>
      </c>
      <c r="ET23" s="840">
        <f t="shared" si="45"/>
        <v>0</v>
      </c>
      <c r="EU23" s="840">
        <f t="shared" si="45"/>
        <v>0</v>
      </c>
      <c r="EV23" s="840">
        <f t="shared" si="45"/>
        <v>0</v>
      </c>
      <c r="EW23" s="840">
        <f t="shared" si="45"/>
        <v>0</v>
      </c>
      <c r="EX23" s="840">
        <f t="shared" si="45"/>
        <v>0</v>
      </c>
      <c r="EY23" s="840">
        <f t="shared" si="45"/>
        <v>0</v>
      </c>
      <c r="EZ23" s="842">
        <f t="shared" si="54"/>
        <v>0</v>
      </c>
      <c r="FA23" s="842">
        <f t="shared" si="54"/>
        <v>0</v>
      </c>
      <c r="FB23" s="842">
        <f t="shared" si="54"/>
        <v>0</v>
      </c>
      <c r="FC23" s="842">
        <f t="shared" si="54"/>
        <v>0</v>
      </c>
      <c r="FD23" s="842">
        <f t="shared" si="54"/>
        <v>0</v>
      </c>
      <c r="FE23" s="842">
        <f t="shared" si="54"/>
        <v>0</v>
      </c>
      <c r="FF23" s="842">
        <f t="shared" si="54"/>
        <v>0</v>
      </c>
      <c r="FG23" s="842">
        <f t="shared" si="54"/>
        <v>0</v>
      </c>
      <c r="FH23" s="842">
        <f t="shared" si="54"/>
        <v>0</v>
      </c>
      <c r="FI23" s="842">
        <f t="shared" si="54"/>
        <v>0</v>
      </c>
      <c r="FJ23" s="842">
        <f t="shared" si="54"/>
        <v>0</v>
      </c>
      <c r="FK23" s="842">
        <f t="shared" si="54"/>
        <v>0</v>
      </c>
      <c r="FL23" s="842">
        <f t="shared" si="54"/>
        <v>0</v>
      </c>
      <c r="FM23" s="842">
        <f t="shared" si="54"/>
        <v>0</v>
      </c>
      <c r="FN23" s="842">
        <f t="shared" si="54"/>
        <v>0</v>
      </c>
      <c r="FO23" s="842">
        <f t="shared" si="51"/>
        <v>0</v>
      </c>
      <c r="FP23" s="842">
        <f t="shared" si="47"/>
        <v>0</v>
      </c>
      <c r="FQ23" s="842">
        <f t="shared" si="47"/>
        <v>0</v>
      </c>
      <c r="FR23" s="842">
        <f t="shared" si="47"/>
        <v>0</v>
      </c>
      <c r="FS23" s="842">
        <f t="shared" si="47"/>
        <v>0</v>
      </c>
      <c r="FT23" s="842">
        <f t="shared" si="47"/>
        <v>0</v>
      </c>
      <c r="FU23" s="842">
        <f t="shared" si="47"/>
        <v>0</v>
      </c>
      <c r="FV23" s="842">
        <f t="shared" si="47"/>
        <v>0</v>
      </c>
      <c r="FW23" s="843">
        <v>29.4</v>
      </c>
      <c r="FX23" s="788" t="s">
        <v>179</v>
      </c>
      <c r="FY23" s="843">
        <v>2.9399999999999999E-2</v>
      </c>
      <c r="FZ23" s="844" t="s">
        <v>2232</v>
      </c>
    </row>
    <row r="24" spans="3:186" ht="23.25" customHeight="1">
      <c r="C24" s="1487"/>
      <c r="D24" s="1485" t="s">
        <v>28</v>
      </c>
      <c r="E24" s="1485"/>
      <c r="F24" s="1485"/>
      <c r="G24" s="838" t="s">
        <v>2193</v>
      </c>
      <c r="H24" s="839"/>
      <c r="I24" s="839"/>
      <c r="J24" s="839"/>
      <c r="K24" s="839"/>
      <c r="L24" s="839"/>
      <c r="M24" s="839"/>
      <c r="N24" s="839"/>
      <c r="O24" s="839"/>
      <c r="P24" s="839"/>
      <c r="Q24" s="839"/>
      <c r="R24" s="839"/>
      <c r="S24" s="839"/>
      <c r="T24" s="839"/>
      <c r="U24" s="839"/>
      <c r="V24" s="839"/>
      <c r="W24" s="839"/>
      <c r="X24" s="839"/>
      <c r="Y24" s="839"/>
      <c r="Z24" s="839"/>
      <c r="AA24" s="839"/>
      <c r="AB24" s="839"/>
      <c r="AC24" s="839"/>
      <c r="AD24" s="839"/>
      <c r="AE24" s="839"/>
      <c r="AF24" s="839"/>
      <c r="AG24" s="839"/>
      <c r="AH24" s="839"/>
      <c r="AI24" s="839"/>
      <c r="AJ24" s="839"/>
      <c r="AK24" s="839"/>
      <c r="AL24" s="839"/>
      <c r="AM24" s="839"/>
      <c r="AN24" s="839"/>
      <c r="AO24" s="839"/>
      <c r="AP24" s="839"/>
      <c r="AQ24" s="839"/>
      <c r="AR24" s="839"/>
      <c r="AS24" s="839"/>
      <c r="AT24" s="839"/>
      <c r="AU24" s="839"/>
      <c r="AV24" s="839"/>
      <c r="AW24" s="839"/>
      <c r="AX24" s="839"/>
      <c r="AY24" s="839"/>
      <c r="AZ24" s="839"/>
      <c r="BA24" s="839"/>
      <c r="BB24" s="839"/>
      <c r="BC24" s="839"/>
      <c r="BD24" s="839"/>
      <c r="BE24" s="839"/>
      <c r="BF24" s="839"/>
      <c r="BG24" s="839"/>
      <c r="BH24" s="839"/>
      <c r="BI24" s="839"/>
      <c r="BJ24" s="840">
        <f t="shared" si="0"/>
        <v>0</v>
      </c>
      <c r="BK24" s="840">
        <f t="shared" si="1"/>
        <v>0</v>
      </c>
      <c r="BL24" s="840">
        <f t="shared" si="2"/>
        <v>0</v>
      </c>
      <c r="BM24" s="840">
        <f t="shared" si="3"/>
        <v>0</v>
      </c>
      <c r="BN24" s="840">
        <f t="shared" si="4"/>
        <v>0</v>
      </c>
      <c r="BO24" s="840">
        <f t="shared" si="5"/>
        <v>0</v>
      </c>
      <c r="BP24" s="840">
        <f t="shared" si="6"/>
        <v>0</v>
      </c>
      <c r="BQ24" s="840">
        <f t="shared" si="7"/>
        <v>0</v>
      </c>
      <c r="BR24" s="840">
        <f t="shared" si="8"/>
        <v>0</v>
      </c>
      <c r="BS24" s="840">
        <f t="shared" si="9"/>
        <v>0</v>
      </c>
      <c r="BT24" s="840">
        <f t="shared" si="10"/>
        <v>0</v>
      </c>
      <c r="BU24" s="840">
        <f t="shared" si="11"/>
        <v>0</v>
      </c>
      <c r="BV24" s="840">
        <f t="shared" si="12"/>
        <v>0</v>
      </c>
      <c r="BW24" s="840">
        <f t="shared" si="13"/>
        <v>0</v>
      </c>
      <c r="BX24" s="840">
        <f t="shared" si="14"/>
        <v>0</v>
      </c>
      <c r="BY24" s="840">
        <f t="shared" si="15"/>
        <v>0</v>
      </c>
      <c r="BZ24" s="840">
        <f t="shared" si="16"/>
        <v>0</v>
      </c>
      <c r="CA24" s="840">
        <f t="shared" si="48"/>
        <v>0</v>
      </c>
      <c r="CB24" s="840">
        <f t="shared" si="48"/>
        <v>0</v>
      </c>
      <c r="CC24" s="840">
        <f t="shared" si="48"/>
        <v>0</v>
      </c>
      <c r="CD24" s="840">
        <f t="shared" si="48"/>
        <v>0</v>
      </c>
      <c r="CE24" s="840">
        <f t="shared" si="48"/>
        <v>0</v>
      </c>
      <c r="CF24" s="840">
        <f t="shared" si="48"/>
        <v>0</v>
      </c>
      <c r="CG24" s="840">
        <f t="shared" si="18"/>
        <v>1000</v>
      </c>
      <c r="CH24" s="841" t="s">
        <v>194</v>
      </c>
      <c r="CI24" s="840">
        <f t="shared" si="19"/>
        <v>0</v>
      </c>
      <c r="CJ24" s="840">
        <f t="shared" si="20"/>
        <v>0</v>
      </c>
      <c r="CK24" s="840">
        <f t="shared" si="21"/>
        <v>0</v>
      </c>
      <c r="CL24" s="840">
        <f t="shared" si="22"/>
        <v>0</v>
      </c>
      <c r="CM24" s="840">
        <f t="shared" si="23"/>
        <v>0</v>
      </c>
      <c r="CN24" s="840">
        <f t="shared" si="24"/>
        <v>0</v>
      </c>
      <c r="CO24" s="840">
        <f t="shared" si="25"/>
        <v>0</v>
      </c>
      <c r="CP24" s="840">
        <f t="shared" si="26"/>
        <v>0</v>
      </c>
      <c r="CQ24" s="840">
        <f t="shared" si="27"/>
        <v>0</v>
      </c>
      <c r="CR24" s="840">
        <f t="shared" si="28"/>
        <v>0</v>
      </c>
      <c r="CS24" s="840">
        <f t="shared" si="29"/>
        <v>0</v>
      </c>
      <c r="CT24" s="840">
        <f t="shared" si="30"/>
        <v>0</v>
      </c>
      <c r="CU24" s="840">
        <f t="shared" si="31"/>
        <v>0</v>
      </c>
      <c r="CV24" s="840">
        <f t="shared" si="32"/>
        <v>0</v>
      </c>
      <c r="CW24" s="840">
        <f t="shared" si="33"/>
        <v>0</v>
      </c>
      <c r="CX24" s="840">
        <f t="shared" si="34"/>
        <v>0</v>
      </c>
      <c r="CY24" s="840">
        <f t="shared" si="35"/>
        <v>0</v>
      </c>
      <c r="CZ24" s="840">
        <f t="shared" si="36"/>
        <v>0</v>
      </c>
      <c r="DA24" s="840">
        <f t="shared" si="37"/>
        <v>0</v>
      </c>
      <c r="DB24" s="840">
        <f t="shared" si="38"/>
        <v>0</v>
      </c>
      <c r="DC24" s="840">
        <f t="shared" si="39"/>
        <v>0</v>
      </c>
      <c r="DD24" s="840">
        <f t="shared" si="40"/>
        <v>0</v>
      </c>
      <c r="DE24" s="840">
        <f t="shared" si="41"/>
        <v>0</v>
      </c>
      <c r="DF24" s="840">
        <f t="shared" si="52"/>
        <v>0</v>
      </c>
      <c r="DG24" s="840">
        <f t="shared" si="52"/>
        <v>0</v>
      </c>
      <c r="DH24" s="840">
        <f t="shared" si="52"/>
        <v>0</v>
      </c>
      <c r="DI24" s="840">
        <f t="shared" si="52"/>
        <v>0</v>
      </c>
      <c r="DJ24" s="840">
        <f t="shared" si="52"/>
        <v>0</v>
      </c>
      <c r="DK24" s="840">
        <f t="shared" si="52"/>
        <v>0</v>
      </c>
      <c r="DL24" s="840">
        <f t="shared" si="52"/>
        <v>0</v>
      </c>
      <c r="DM24" s="840">
        <f t="shared" si="52"/>
        <v>0</v>
      </c>
      <c r="DN24" s="840">
        <f t="shared" si="52"/>
        <v>0</v>
      </c>
      <c r="DO24" s="840">
        <f t="shared" si="52"/>
        <v>0</v>
      </c>
      <c r="DP24" s="840">
        <f t="shared" si="52"/>
        <v>0</v>
      </c>
      <c r="DQ24" s="840">
        <f t="shared" si="52"/>
        <v>0</v>
      </c>
      <c r="DR24" s="840">
        <f t="shared" si="52"/>
        <v>0</v>
      </c>
      <c r="DS24" s="840">
        <f t="shared" si="52"/>
        <v>0</v>
      </c>
      <c r="DT24" s="840">
        <f t="shared" si="52"/>
        <v>0</v>
      </c>
      <c r="DU24" s="840">
        <f t="shared" si="49"/>
        <v>0</v>
      </c>
      <c r="DV24" s="840">
        <f t="shared" si="43"/>
        <v>0</v>
      </c>
      <c r="DW24" s="840">
        <f t="shared" si="43"/>
        <v>0</v>
      </c>
      <c r="DX24" s="840">
        <f t="shared" si="43"/>
        <v>0</v>
      </c>
      <c r="DY24" s="840">
        <f t="shared" si="43"/>
        <v>0</v>
      </c>
      <c r="DZ24" s="840">
        <f t="shared" si="43"/>
        <v>0</v>
      </c>
      <c r="EA24" s="840">
        <f t="shared" si="43"/>
        <v>0</v>
      </c>
      <c r="EB24" s="840">
        <f t="shared" si="43"/>
        <v>0</v>
      </c>
      <c r="EC24" s="840">
        <f t="shared" si="53"/>
        <v>0</v>
      </c>
      <c r="ED24" s="840">
        <f t="shared" si="53"/>
        <v>0</v>
      </c>
      <c r="EE24" s="840">
        <f t="shared" si="53"/>
        <v>0</v>
      </c>
      <c r="EF24" s="840">
        <f t="shared" si="53"/>
        <v>0</v>
      </c>
      <c r="EG24" s="840">
        <f t="shared" si="53"/>
        <v>0</v>
      </c>
      <c r="EH24" s="840">
        <f t="shared" si="53"/>
        <v>0</v>
      </c>
      <c r="EI24" s="840">
        <f t="shared" si="53"/>
        <v>0</v>
      </c>
      <c r="EJ24" s="840">
        <f t="shared" si="53"/>
        <v>0</v>
      </c>
      <c r="EK24" s="840">
        <f t="shared" si="53"/>
        <v>0</v>
      </c>
      <c r="EL24" s="840">
        <f t="shared" si="53"/>
        <v>0</v>
      </c>
      <c r="EM24" s="840">
        <f t="shared" si="53"/>
        <v>0</v>
      </c>
      <c r="EN24" s="840">
        <f t="shared" si="53"/>
        <v>0</v>
      </c>
      <c r="EO24" s="840">
        <f t="shared" si="53"/>
        <v>0</v>
      </c>
      <c r="EP24" s="840">
        <f t="shared" si="53"/>
        <v>0</v>
      </c>
      <c r="EQ24" s="840">
        <f t="shared" si="53"/>
        <v>0</v>
      </c>
      <c r="ER24" s="840">
        <f t="shared" si="50"/>
        <v>0</v>
      </c>
      <c r="ES24" s="840">
        <f t="shared" si="45"/>
        <v>0</v>
      </c>
      <c r="ET24" s="840">
        <f t="shared" si="45"/>
        <v>0</v>
      </c>
      <c r="EU24" s="840">
        <f t="shared" si="45"/>
        <v>0</v>
      </c>
      <c r="EV24" s="840">
        <f t="shared" si="45"/>
        <v>0</v>
      </c>
      <c r="EW24" s="840">
        <f t="shared" si="45"/>
        <v>0</v>
      </c>
      <c r="EX24" s="840">
        <f t="shared" si="45"/>
        <v>0</v>
      </c>
      <c r="EY24" s="840">
        <f t="shared" si="45"/>
        <v>0</v>
      </c>
      <c r="EZ24" s="842">
        <f t="shared" si="54"/>
        <v>0</v>
      </c>
      <c r="FA24" s="842">
        <f t="shared" si="54"/>
        <v>0</v>
      </c>
      <c r="FB24" s="842">
        <f t="shared" si="54"/>
        <v>0</v>
      </c>
      <c r="FC24" s="842">
        <f t="shared" si="54"/>
        <v>0</v>
      </c>
      <c r="FD24" s="842">
        <f t="shared" si="54"/>
        <v>0</v>
      </c>
      <c r="FE24" s="842">
        <f t="shared" si="54"/>
        <v>0</v>
      </c>
      <c r="FF24" s="842">
        <f t="shared" si="54"/>
        <v>0</v>
      </c>
      <c r="FG24" s="842">
        <f t="shared" si="54"/>
        <v>0</v>
      </c>
      <c r="FH24" s="842">
        <f t="shared" si="54"/>
        <v>0</v>
      </c>
      <c r="FI24" s="842">
        <f t="shared" si="54"/>
        <v>0</v>
      </c>
      <c r="FJ24" s="842">
        <f t="shared" si="54"/>
        <v>0</v>
      </c>
      <c r="FK24" s="842">
        <f t="shared" si="54"/>
        <v>0</v>
      </c>
      <c r="FL24" s="842">
        <f t="shared" si="54"/>
        <v>0</v>
      </c>
      <c r="FM24" s="842">
        <f t="shared" si="54"/>
        <v>0</v>
      </c>
      <c r="FN24" s="842">
        <f t="shared" si="54"/>
        <v>0</v>
      </c>
      <c r="FO24" s="842">
        <f t="shared" si="51"/>
        <v>0</v>
      </c>
      <c r="FP24" s="842">
        <f t="shared" si="47"/>
        <v>0</v>
      </c>
      <c r="FQ24" s="842">
        <f t="shared" si="47"/>
        <v>0</v>
      </c>
      <c r="FR24" s="842">
        <f t="shared" si="47"/>
        <v>0</v>
      </c>
      <c r="FS24" s="842">
        <f t="shared" si="47"/>
        <v>0</v>
      </c>
      <c r="FT24" s="842">
        <f t="shared" si="47"/>
        <v>0</v>
      </c>
      <c r="FU24" s="842">
        <f t="shared" si="47"/>
        <v>0</v>
      </c>
      <c r="FV24" s="842">
        <f t="shared" si="47"/>
        <v>0</v>
      </c>
      <c r="FW24" s="843">
        <v>37.299999999999997</v>
      </c>
      <c r="FX24" s="788" t="s">
        <v>179</v>
      </c>
      <c r="FY24" s="843">
        <v>2.0899999999999998E-2</v>
      </c>
      <c r="FZ24" s="844" t="s">
        <v>2232</v>
      </c>
    </row>
    <row r="25" spans="3:186" ht="23.25" customHeight="1">
      <c r="C25" s="1487"/>
      <c r="D25" s="1485" t="s">
        <v>29</v>
      </c>
      <c r="E25" s="1485"/>
      <c r="F25" s="1485"/>
      <c r="G25" s="849" t="s">
        <v>2242</v>
      </c>
      <c r="H25" s="839"/>
      <c r="I25" s="839"/>
      <c r="J25" s="839"/>
      <c r="K25" s="839"/>
      <c r="L25" s="840">
        <f>'１．ガス単位換算_～R6建物系'!AG42</f>
        <v>0</v>
      </c>
      <c r="M25" s="840">
        <f>'１．ガス単位換算_～R6建物系'!AH42</f>
        <v>0</v>
      </c>
      <c r="N25" s="840">
        <f>'１．ガス単位換算_～R6建物系'!AI42</f>
        <v>0</v>
      </c>
      <c r="O25" s="840">
        <f>'１．ガス単位換算_～R6建物系'!AJ42</f>
        <v>0</v>
      </c>
      <c r="P25" s="840">
        <f>'１．ガス単位換算_～R6建物系'!AK42</f>
        <v>0</v>
      </c>
      <c r="Q25" s="840">
        <f>'１．ガス単位換算_～R6建物系'!AL42</f>
        <v>0</v>
      </c>
      <c r="R25" s="840">
        <f>'１．ガス単位換算_～R6建物系'!AM42</f>
        <v>0</v>
      </c>
      <c r="S25" s="840">
        <f>'１．ガス単位換算_～R6建物系'!AN42</f>
        <v>0</v>
      </c>
      <c r="T25" s="840">
        <f>'１．ガス単位換算_～R6建物系'!AO42</f>
        <v>0</v>
      </c>
      <c r="U25" s="840">
        <f>'１．ガス単位換算_～R6建物系'!AP42</f>
        <v>0</v>
      </c>
      <c r="V25" s="840">
        <f>'１．ガス単位換算_～R6建物系'!AQ42</f>
        <v>0</v>
      </c>
      <c r="W25" s="840">
        <f>'１．ガス単位換算_～R6建物系'!AR42</f>
        <v>0</v>
      </c>
      <c r="X25" s="840">
        <f>'１．ガス単位換算_～R6建物系'!AS42</f>
        <v>0</v>
      </c>
      <c r="Y25" s="840">
        <f>'１．ガス単位換算_～R6建物系'!AT42</f>
        <v>0</v>
      </c>
      <c r="Z25" s="840">
        <f>'１．ガス単位換算_～R6建物系'!AU42</f>
        <v>0</v>
      </c>
      <c r="AA25" s="840">
        <f>'１．ガス単位換算_～R6建物系'!AV42</f>
        <v>0</v>
      </c>
      <c r="AB25" s="840">
        <f>'１．ガス単位換算_～R6建物系'!AW42</f>
        <v>0</v>
      </c>
      <c r="AC25" s="840">
        <f>'１．ガス単位換算_～R6建物系'!AX42</f>
        <v>0</v>
      </c>
      <c r="AD25" s="840">
        <f>'１．ガス単位換算_～R6建物系'!AY42</f>
        <v>0</v>
      </c>
      <c r="AE25" s="840">
        <f>'１．ガス単位換算_～R6建物系'!AZ42</f>
        <v>0</v>
      </c>
      <c r="AF25" s="840">
        <f>'１．ガス単位換算_～R6建物系'!BA42</f>
        <v>0</v>
      </c>
      <c r="AG25" s="840">
        <f>'１．ガス単位換算_～R6建物系'!BB42</f>
        <v>0</v>
      </c>
      <c r="AH25" s="840">
        <f>'１．ガス単位換算_～R6建物系'!BC42</f>
        <v>0</v>
      </c>
      <c r="AI25" s="839"/>
      <c r="AJ25" s="839"/>
      <c r="AK25" s="839"/>
      <c r="AL25" s="839"/>
      <c r="AM25" s="839"/>
      <c r="AN25" s="839"/>
      <c r="AO25" s="839"/>
      <c r="AP25" s="839"/>
      <c r="AQ25" s="839"/>
      <c r="AR25" s="839"/>
      <c r="AS25" s="839"/>
      <c r="AT25" s="839"/>
      <c r="AU25" s="839"/>
      <c r="AV25" s="839"/>
      <c r="AW25" s="839"/>
      <c r="AX25" s="839"/>
      <c r="AY25" s="839"/>
      <c r="AZ25" s="839"/>
      <c r="BA25" s="839"/>
      <c r="BB25" s="839"/>
      <c r="BC25" s="839"/>
      <c r="BD25" s="839"/>
      <c r="BE25" s="839"/>
      <c r="BF25" s="839"/>
      <c r="BG25" s="839"/>
      <c r="BH25" s="839"/>
      <c r="BI25" s="839"/>
      <c r="BJ25" s="840">
        <f t="shared" si="0"/>
        <v>0</v>
      </c>
      <c r="BK25" s="840">
        <f t="shared" si="1"/>
        <v>0</v>
      </c>
      <c r="BL25" s="840">
        <f t="shared" si="2"/>
        <v>0</v>
      </c>
      <c r="BM25" s="840">
        <f t="shared" si="3"/>
        <v>0</v>
      </c>
      <c r="BN25" s="840">
        <f t="shared" si="4"/>
        <v>0</v>
      </c>
      <c r="BO25" s="840">
        <f t="shared" si="5"/>
        <v>0</v>
      </c>
      <c r="BP25" s="840">
        <f t="shared" si="6"/>
        <v>0</v>
      </c>
      <c r="BQ25" s="840">
        <f t="shared" si="7"/>
        <v>0</v>
      </c>
      <c r="BR25" s="840">
        <f t="shared" si="8"/>
        <v>0</v>
      </c>
      <c r="BS25" s="840">
        <f t="shared" si="9"/>
        <v>0</v>
      </c>
      <c r="BT25" s="840">
        <f t="shared" si="10"/>
        <v>0</v>
      </c>
      <c r="BU25" s="840">
        <f t="shared" si="11"/>
        <v>0</v>
      </c>
      <c r="BV25" s="840">
        <f t="shared" si="12"/>
        <v>0</v>
      </c>
      <c r="BW25" s="840">
        <f t="shared" si="13"/>
        <v>0</v>
      </c>
      <c r="BX25" s="840">
        <f t="shared" si="14"/>
        <v>0</v>
      </c>
      <c r="BY25" s="840">
        <f t="shared" si="15"/>
        <v>0</v>
      </c>
      <c r="BZ25" s="840">
        <f t="shared" si="16"/>
        <v>0</v>
      </c>
      <c r="CA25" s="840">
        <f t="shared" si="48"/>
        <v>0</v>
      </c>
      <c r="CB25" s="840">
        <f t="shared" si="48"/>
        <v>0</v>
      </c>
      <c r="CC25" s="840">
        <f t="shared" si="48"/>
        <v>0</v>
      </c>
      <c r="CD25" s="840">
        <f t="shared" si="48"/>
        <v>0</v>
      </c>
      <c r="CE25" s="840">
        <f t="shared" si="48"/>
        <v>0</v>
      </c>
      <c r="CF25" s="840">
        <f t="shared" si="48"/>
        <v>0</v>
      </c>
      <c r="CG25" s="840">
        <f t="shared" si="18"/>
        <v>1</v>
      </c>
      <c r="CH25" s="847" t="s">
        <v>2235</v>
      </c>
      <c r="CI25" s="840">
        <f t="shared" si="19"/>
        <v>0</v>
      </c>
      <c r="CJ25" s="840">
        <f t="shared" si="20"/>
        <v>0</v>
      </c>
      <c r="CK25" s="840">
        <f t="shared" si="21"/>
        <v>0</v>
      </c>
      <c r="CL25" s="840">
        <f t="shared" si="22"/>
        <v>0</v>
      </c>
      <c r="CM25" s="840">
        <f t="shared" si="23"/>
        <v>0</v>
      </c>
      <c r="CN25" s="840">
        <f t="shared" si="24"/>
        <v>0</v>
      </c>
      <c r="CO25" s="840">
        <f t="shared" si="25"/>
        <v>0</v>
      </c>
      <c r="CP25" s="840">
        <f t="shared" si="26"/>
        <v>0</v>
      </c>
      <c r="CQ25" s="840">
        <f t="shared" si="27"/>
        <v>0</v>
      </c>
      <c r="CR25" s="840">
        <f t="shared" si="28"/>
        <v>0</v>
      </c>
      <c r="CS25" s="840">
        <f t="shared" si="29"/>
        <v>0</v>
      </c>
      <c r="CT25" s="840">
        <f t="shared" si="30"/>
        <v>0</v>
      </c>
      <c r="CU25" s="840">
        <f t="shared" si="31"/>
        <v>0</v>
      </c>
      <c r="CV25" s="840">
        <f t="shared" si="32"/>
        <v>0</v>
      </c>
      <c r="CW25" s="840">
        <f t="shared" si="33"/>
        <v>0</v>
      </c>
      <c r="CX25" s="840">
        <f t="shared" si="34"/>
        <v>0</v>
      </c>
      <c r="CY25" s="840">
        <f t="shared" si="35"/>
        <v>0</v>
      </c>
      <c r="CZ25" s="840">
        <f t="shared" si="36"/>
        <v>0</v>
      </c>
      <c r="DA25" s="840">
        <f t="shared" si="37"/>
        <v>0</v>
      </c>
      <c r="DB25" s="840">
        <f t="shared" si="38"/>
        <v>0</v>
      </c>
      <c r="DC25" s="840">
        <f t="shared" si="39"/>
        <v>0</v>
      </c>
      <c r="DD25" s="840">
        <f t="shared" si="40"/>
        <v>0</v>
      </c>
      <c r="DE25" s="840">
        <f t="shared" si="41"/>
        <v>0</v>
      </c>
      <c r="DF25" s="840">
        <f t="shared" si="52"/>
        <v>0</v>
      </c>
      <c r="DG25" s="840">
        <f t="shared" si="52"/>
        <v>0</v>
      </c>
      <c r="DH25" s="840">
        <f t="shared" si="52"/>
        <v>0</v>
      </c>
      <c r="DI25" s="840">
        <f t="shared" si="52"/>
        <v>0</v>
      </c>
      <c r="DJ25" s="840">
        <f t="shared" si="52"/>
        <v>0</v>
      </c>
      <c r="DK25" s="840">
        <f t="shared" si="52"/>
        <v>0</v>
      </c>
      <c r="DL25" s="840">
        <f t="shared" si="52"/>
        <v>0</v>
      </c>
      <c r="DM25" s="840">
        <f t="shared" si="52"/>
        <v>0</v>
      </c>
      <c r="DN25" s="840">
        <f t="shared" si="52"/>
        <v>0</v>
      </c>
      <c r="DO25" s="840">
        <f t="shared" si="52"/>
        <v>0</v>
      </c>
      <c r="DP25" s="840">
        <f t="shared" si="52"/>
        <v>0</v>
      </c>
      <c r="DQ25" s="840">
        <f t="shared" si="52"/>
        <v>0</v>
      </c>
      <c r="DR25" s="840">
        <f t="shared" si="52"/>
        <v>0</v>
      </c>
      <c r="DS25" s="840">
        <f t="shared" si="52"/>
        <v>0</v>
      </c>
      <c r="DT25" s="840">
        <f t="shared" si="52"/>
        <v>0</v>
      </c>
      <c r="DU25" s="840">
        <f t="shared" si="49"/>
        <v>0</v>
      </c>
      <c r="DV25" s="840">
        <f t="shared" si="43"/>
        <v>0</v>
      </c>
      <c r="DW25" s="840">
        <f t="shared" si="43"/>
        <v>0</v>
      </c>
      <c r="DX25" s="840">
        <f t="shared" si="43"/>
        <v>0</v>
      </c>
      <c r="DY25" s="840">
        <f t="shared" si="43"/>
        <v>0</v>
      </c>
      <c r="DZ25" s="840">
        <f t="shared" si="43"/>
        <v>0</v>
      </c>
      <c r="EA25" s="840">
        <f t="shared" si="43"/>
        <v>0</v>
      </c>
      <c r="EB25" s="840">
        <f t="shared" si="43"/>
        <v>0</v>
      </c>
      <c r="EC25" s="840">
        <f t="shared" si="53"/>
        <v>0</v>
      </c>
      <c r="ED25" s="840">
        <f t="shared" si="53"/>
        <v>0</v>
      </c>
      <c r="EE25" s="840">
        <f t="shared" si="53"/>
        <v>0</v>
      </c>
      <c r="EF25" s="840">
        <f t="shared" si="53"/>
        <v>0</v>
      </c>
      <c r="EG25" s="840">
        <f t="shared" si="53"/>
        <v>0</v>
      </c>
      <c r="EH25" s="840">
        <f t="shared" si="53"/>
        <v>0</v>
      </c>
      <c r="EI25" s="840">
        <f t="shared" si="53"/>
        <v>0</v>
      </c>
      <c r="EJ25" s="840">
        <f t="shared" si="53"/>
        <v>0</v>
      </c>
      <c r="EK25" s="840">
        <f t="shared" si="53"/>
        <v>0</v>
      </c>
      <c r="EL25" s="840">
        <f t="shared" si="53"/>
        <v>0</v>
      </c>
      <c r="EM25" s="840">
        <f t="shared" si="53"/>
        <v>0</v>
      </c>
      <c r="EN25" s="840">
        <f t="shared" si="53"/>
        <v>0</v>
      </c>
      <c r="EO25" s="840">
        <f t="shared" si="53"/>
        <v>0</v>
      </c>
      <c r="EP25" s="840">
        <f t="shared" si="53"/>
        <v>0</v>
      </c>
      <c r="EQ25" s="840">
        <f t="shared" si="53"/>
        <v>0</v>
      </c>
      <c r="ER25" s="840">
        <f t="shared" si="50"/>
        <v>0</v>
      </c>
      <c r="ES25" s="840">
        <f t="shared" si="45"/>
        <v>0</v>
      </c>
      <c r="ET25" s="840">
        <f t="shared" si="45"/>
        <v>0</v>
      </c>
      <c r="EU25" s="840">
        <f t="shared" si="45"/>
        <v>0</v>
      </c>
      <c r="EV25" s="840">
        <f t="shared" si="45"/>
        <v>0</v>
      </c>
      <c r="EW25" s="840">
        <f t="shared" si="45"/>
        <v>0</v>
      </c>
      <c r="EX25" s="840">
        <f t="shared" si="45"/>
        <v>0</v>
      </c>
      <c r="EY25" s="840">
        <f t="shared" si="45"/>
        <v>0</v>
      </c>
      <c r="EZ25" s="842">
        <f t="shared" si="54"/>
        <v>0</v>
      </c>
      <c r="FA25" s="842">
        <f t="shared" si="54"/>
        <v>0</v>
      </c>
      <c r="FB25" s="842">
        <f t="shared" si="54"/>
        <v>0</v>
      </c>
      <c r="FC25" s="842">
        <f t="shared" si="54"/>
        <v>0</v>
      </c>
      <c r="FD25" s="842">
        <f t="shared" si="54"/>
        <v>0</v>
      </c>
      <c r="FE25" s="842">
        <f t="shared" si="54"/>
        <v>0</v>
      </c>
      <c r="FF25" s="842">
        <f t="shared" si="54"/>
        <v>0</v>
      </c>
      <c r="FG25" s="842">
        <f t="shared" si="54"/>
        <v>0</v>
      </c>
      <c r="FH25" s="842">
        <f t="shared" si="54"/>
        <v>0</v>
      </c>
      <c r="FI25" s="842">
        <f t="shared" si="54"/>
        <v>0</v>
      </c>
      <c r="FJ25" s="842">
        <f t="shared" si="54"/>
        <v>0</v>
      </c>
      <c r="FK25" s="842">
        <f t="shared" si="54"/>
        <v>0</v>
      </c>
      <c r="FL25" s="842">
        <f t="shared" si="54"/>
        <v>0</v>
      </c>
      <c r="FM25" s="842">
        <f t="shared" si="54"/>
        <v>0</v>
      </c>
      <c r="FN25" s="842">
        <f t="shared" si="54"/>
        <v>0</v>
      </c>
      <c r="FO25" s="842">
        <f t="shared" si="51"/>
        <v>0</v>
      </c>
      <c r="FP25" s="842">
        <f t="shared" si="47"/>
        <v>0</v>
      </c>
      <c r="FQ25" s="842">
        <f t="shared" si="47"/>
        <v>0</v>
      </c>
      <c r="FR25" s="842">
        <f t="shared" si="47"/>
        <v>0</v>
      </c>
      <c r="FS25" s="842">
        <f t="shared" si="47"/>
        <v>0</v>
      </c>
      <c r="FT25" s="842">
        <f t="shared" si="47"/>
        <v>0</v>
      </c>
      <c r="FU25" s="842">
        <f t="shared" si="47"/>
        <v>0</v>
      </c>
      <c r="FV25" s="842">
        <f t="shared" si="47"/>
        <v>0</v>
      </c>
      <c r="FW25" s="843">
        <v>21.1</v>
      </c>
      <c r="FX25" s="848" t="s">
        <v>2236</v>
      </c>
      <c r="FY25" s="843">
        <v>1.0999999999999999E-2</v>
      </c>
      <c r="FZ25" s="844" t="s">
        <v>2232</v>
      </c>
    </row>
    <row r="26" spans="3:186" ht="23.25" customHeight="1">
      <c r="C26" s="1487"/>
      <c r="D26" s="1485" t="s">
        <v>1637</v>
      </c>
      <c r="E26" s="1485"/>
      <c r="F26" s="1485"/>
      <c r="G26" s="849" t="s">
        <v>2242</v>
      </c>
      <c r="H26" s="839"/>
      <c r="I26" s="839"/>
      <c r="J26" s="839"/>
      <c r="K26" s="839"/>
      <c r="L26" s="840">
        <f>'１．ガス単位換算_～R6建物系'!AG45</f>
        <v>0</v>
      </c>
      <c r="M26" s="840">
        <f>'１．ガス単位換算_～R6建物系'!AH45</f>
        <v>0</v>
      </c>
      <c r="N26" s="840">
        <f>'１．ガス単位換算_～R6建物系'!AI45</f>
        <v>0</v>
      </c>
      <c r="O26" s="840">
        <f>'１．ガス単位換算_～R6建物系'!AJ45</f>
        <v>0</v>
      </c>
      <c r="P26" s="840">
        <f>'１．ガス単位換算_～R6建物系'!AK45</f>
        <v>0</v>
      </c>
      <c r="Q26" s="840">
        <f>'１．ガス単位換算_～R6建物系'!AL45</f>
        <v>0</v>
      </c>
      <c r="R26" s="840">
        <f>'１．ガス単位換算_～R6建物系'!AM45</f>
        <v>0</v>
      </c>
      <c r="S26" s="840">
        <f>'１．ガス単位換算_～R6建物系'!AN45</f>
        <v>0</v>
      </c>
      <c r="T26" s="840">
        <f>'１．ガス単位換算_～R6建物系'!AO45</f>
        <v>0</v>
      </c>
      <c r="U26" s="840">
        <f>'１．ガス単位換算_～R6建物系'!AP45</f>
        <v>0</v>
      </c>
      <c r="V26" s="840">
        <f>'１．ガス単位換算_～R6建物系'!AQ45</f>
        <v>0</v>
      </c>
      <c r="W26" s="840">
        <f>'１．ガス単位換算_～R6建物系'!AR45</f>
        <v>0</v>
      </c>
      <c r="X26" s="840">
        <f>'１．ガス単位換算_～R6建物系'!AS45</f>
        <v>0</v>
      </c>
      <c r="Y26" s="840">
        <f>'１．ガス単位換算_～R6建物系'!AT45</f>
        <v>0</v>
      </c>
      <c r="Z26" s="840">
        <f>'１．ガス単位換算_～R6建物系'!AU45</f>
        <v>0</v>
      </c>
      <c r="AA26" s="840">
        <f>'１．ガス単位換算_～R6建物系'!AV45</f>
        <v>0</v>
      </c>
      <c r="AB26" s="840">
        <f>'１．ガス単位換算_～R6建物系'!AW45</f>
        <v>0</v>
      </c>
      <c r="AC26" s="840">
        <f>'１．ガス単位換算_～R6建物系'!AX45</f>
        <v>0</v>
      </c>
      <c r="AD26" s="840">
        <f>'１．ガス単位換算_～R6建物系'!AY45</f>
        <v>0</v>
      </c>
      <c r="AE26" s="840">
        <f>'１．ガス単位換算_～R6建物系'!AZ45</f>
        <v>0</v>
      </c>
      <c r="AF26" s="840">
        <f>'１．ガス単位換算_～R6建物系'!BA45</f>
        <v>0</v>
      </c>
      <c r="AG26" s="840">
        <f>'１．ガス単位換算_～R6建物系'!BB45</f>
        <v>0</v>
      </c>
      <c r="AH26" s="840">
        <f>'１．ガス単位換算_～R6建物系'!BC45</f>
        <v>0</v>
      </c>
      <c r="AI26" s="839"/>
      <c r="AJ26" s="839"/>
      <c r="AK26" s="839"/>
      <c r="AL26" s="839"/>
      <c r="AM26" s="839"/>
      <c r="AN26" s="839"/>
      <c r="AO26" s="839"/>
      <c r="AP26" s="839"/>
      <c r="AQ26" s="839"/>
      <c r="AR26" s="839"/>
      <c r="AS26" s="839"/>
      <c r="AT26" s="839"/>
      <c r="AU26" s="839"/>
      <c r="AV26" s="839"/>
      <c r="AW26" s="839"/>
      <c r="AX26" s="839"/>
      <c r="AY26" s="839"/>
      <c r="AZ26" s="839"/>
      <c r="BA26" s="839"/>
      <c r="BB26" s="839"/>
      <c r="BC26" s="839"/>
      <c r="BD26" s="839"/>
      <c r="BE26" s="839"/>
      <c r="BF26" s="839"/>
      <c r="BG26" s="839"/>
      <c r="BH26" s="839"/>
      <c r="BI26" s="839"/>
      <c r="BJ26" s="840">
        <f t="shared" si="0"/>
        <v>0</v>
      </c>
      <c r="BK26" s="840">
        <f t="shared" si="1"/>
        <v>0</v>
      </c>
      <c r="BL26" s="840">
        <f t="shared" si="2"/>
        <v>0</v>
      </c>
      <c r="BM26" s="840">
        <f t="shared" si="3"/>
        <v>0</v>
      </c>
      <c r="BN26" s="840">
        <f t="shared" si="4"/>
        <v>0</v>
      </c>
      <c r="BO26" s="840">
        <f t="shared" si="5"/>
        <v>0</v>
      </c>
      <c r="BP26" s="840">
        <f t="shared" si="6"/>
        <v>0</v>
      </c>
      <c r="BQ26" s="840">
        <f t="shared" si="7"/>
        <v>0</v>
      </c>
      <c r="BR26" s="840">
        <f t="shared" si="8"/>
        <v>0</v>
      </c>
      <c r="BS26" s="840">
        <f t="shared" si="9"/>
        <v>0</v>
      </c>
      <c r="BT26" s="840">
        <f t="shared" si="10"/>
        <v>0</v>
      </c>
      <c r="BU26" s="840">
        <f t="shared" si="11"/>
        <v>0</v>
      </c>
      <c r="BV26" s="840">
        <f t="shared" si="12"/>
        <v>0</v>
      </c>
      <c r="BW26" s="840">
        <f t="shared" si="13"/>
        <v>0</v>
      </c>
      <c r="BX26" s="840">
        <f t="shared" si="14"/>
        <v>0</v>
      </c>
      <c r="BY26" s="840">
        <f t="shared" si="15"/>
        <v>0</v>
      </c>
      <c r="BZ26" s="840">
        <f t="shared" si="16"/>
        <v>0</v>
      </c>
      <c r="CA26" s="840">
        <f t="shared" si="48"/>
        <v>0</v>
      </c>
      <c r="CB26" s="840">
        <f t="shared" si="48"/>
        <v>0</v>
      </c>
      <c r="CC26" s="840">
        <f t="shared" si="48"/>
        <v>0</v>
      </c>
      <c r="CD26" s="840">
        <f t="shared" si="48"/>
        <v>0</v>
      </c>
      <c r="CE26" s="840">
        <f t="shared" si="48"/>
        <v>0</v>
      </c>
      <c r="CF26" s="840">
        <f t="shared" si="48"/>
        <v>0</v>
      </c>
      <c r="CG26" s="840">
        <f t="shared" si="18"/>
        <v>1</v>
      </c>
      <c r="CH26" s="847" t="s">
        <v>2235</v>
      </c>
      <c r="CI26" s="840">
        <f t="shared" si="19"/>
        <v>0</v>
      </c>
      <c r="CJ26" s="840">
        <f t="shared" si="20"/>
        <v>0</v>
      </c>
      <c r="CK26" s="840">
        <f t="shared" si="21"/>
        <v>0</v>
      </c>
      <c r="CL26" s="840">
        <f t="shared" si="22"/>
        <v>0</v>
      </c>
      <c r="CM26" s="840">
        <f t="shared" si="23"/>
        <v>0</v>
      </c>
      <c r="CN26" s="840">
        <f t="shared" si="24"/>
        <v>0</v>
      </c>
      <c r="CO26" s="840">
        <f t="shared" si="25"/>
        <v>0</v>
      </c>
      <c r="CP26" s="840">
        <f t="shared" si="26"/>
        <v>0</v>
      </c>
      <c r="CQ26" s="840">
        <f t="shared" si="27"/>
        <v>0</v>
      </c>
      <c r="CR26" s="840">
        <f t="shared" si="28"/>
        <v>0</v>
      </c>
      <c r="CS26" s="840">
        <f t="shared" si="29"/>
        <v>0</v>
      </c>
      <c r="CT26" s="840">
        <f t="shared" si="30"/>
        <v>0</v>
      </c>
      <c r="CU26" s="840">
        <f t="shared" si="31"/>
        <v>0</v>
      </c>
      <c r="CV26" s="840">
        <f t="shared" si="32"/>
        <v>0</v>
      </c>
      <c r="CW26" s="840">
        <f t="shared" si="33"/>
        <v>0</v>
      </c>
      <c r="CX26" s="840">
        <f t="shared" si="34"/>
        <v>0</v>
      </c>
      <c r="CY26" s="840">
        <f t="shared" si="35"/>
        <v>0</v>
      </c>
      <c r="CZ26" s="840">
        <f t="shared" si="36"/>
        <v>0</v>
      </c>
      <c r="DA26" s="840">
        <f t="shared" si="37"/>
        <v>0</v>
      </c>
      <c r="DB26" s="840">
        <f t="shared" si="38"/>
        <v>0</v>
      </c>
      <c r="DC26" s="840">
        <f t="shared" si="39"/>
        <v>0</v>
      </c>
      <c r="DD26" s="840">
        <f t="shared" si="40"/>
        <v>0</v>
      </c>
      <c r="DE26" s="840">
        <f t="shared" si="41"/>
        <v>0</v>
      </c>
      <c r="DF26" s="840">
        <f t="shared" si="52"/>
        <v>0</v>
      </c>
      <c r="DG26" s="840">
        <f t="shared" si="52"/>
        <v>0</v>
      </c>
      <c r="DH26" s="840">
        <f t="shared" si="52"/>
        <v>0</v>
      </c>
      <c r="DI26" s="840">
        <f t="shared" si="52"/>
        <v>0</v>
      </c>
      <c r="DJ26" s="840">
        <f t="shared" si="52"/>
        <v>0</v>
      </c>
      <c r="DK26" s="840">
        <f t="shared" si="52"/>
        <v>0</v>
      </c>
      <c r="DL26" s="840">
        <f t="shared" si="52"/>
        <v>0</v>
      </c>
      <c r="DM26" s="840">
        <f t="shared" si="52"/>
        <v>0</v>
      </c>
      <c r="DN26" s="840">
        <f t="shared" si="52"/>
        <v>0</v>
      </c>
      <c r="DO26" s="840">
        <f t="shared" si="52"/>
        <v>0</v>
      </c>
      <c r="DP26" s="840">
        <f t="shared" si="52"/>
        <v>0</v>
      </c>
      <c r="DQ26" s="840">
        <f t="shared" si="52"/>
        <v>0</v>
      </c>
      <c r="DR26" s="840">
        <f t="shared" si="52"/>
        <v>0</v>
      </c>
      <c r="DS26" s="840">
        <f t="shared" si="52"/>
        <v>0</v>
      </c>
      <c r="DT26" s="840">
        <f t="shared" si="52"/>
        <v>0</v>
      </c>
      <c r="DU26" s="840">
        <f t="shared" si="49"/>
        <v>0</v>
      </c>
      <c r="DV26" s="840">
        <f t="shared" si="43"/>
        <v>0</v>
      </c>
      <c r="DW26" s="840">
        <f t="shared" si="43"/>
        <v>0</v>
      </c>
      <c r="DX26" s="840">
        <f t="shared" si="43"/>
        <v>0</v>
      </c>
      <c r="DY26" s="840">
        <f t="shared" si="43"/>
        <v>0</v>
      </c>
      <c r="DZ26" s="840">
        <f t="shared" si="43"/>
        <v>0</v>
      </c>
      <c r="EA26" s="840">
        <f t="shared" si="43"/>
        <v>0</v>
      </c>
      <c r="EB26" s="840">
        <f t="shared" si="43"/>
        <v>0</v>
      </c>
      <c r="EC26" s="840">
        <f t="shared" si="53"/>
        <v>0</v>
      </c>
      <c r="ED26" s="840">
        <f t="shared" si="53"/>
        <v>0</v>
      </c>
      <c r="EE26" s="840">
        <f t="shared" si="53"/>
        <v>0</v>
      </c>
      <c r="EF26" s="840">
        <f t="shared" si="53"/>
        <v>0</v>
      </c>
      <c r="EG26" s="840">
        <f t="shared" si="53"/>
        <v>0</v>
      </c>
      <c r="EH26" s="840">
        <f t="shared" si="53"/>
        <v>0</v>
      </c>
      <c r="EI26" s="840">
        <f t="shared" si="53"/>
        <v>0</v>
      </c>
      <c r="EJ26" s="840">
        <f t="shared" si="53"/>
        <v>0</v>
      </c>
      <c r="EK26" s="840">
        <f t="shared" si="53"/>
        <v>0</v>
      </c>
      <c r="EL26" s="840">
        <f t="shared" si="53"/>
        <v>0</v>
      </c>
      <c r="EM26" s="840">
        <f t="shared" si="53"/>
        <v>0</v>
      </c>
      <c r="EN26" s="840">
        <f t="shared" si="53"/>
        <v>0</v>
      </c>
      <c r="EO26" s="840">
        <f t="shared" si="53"/>
        <v>0</v>
      </c>
      <c r="EP26" s="840">
        <f t="shared" si="53"/>
        <v>0</v>
      </c>
      <c r="EQ26" s="840">
        <f t="shared" si="53"/>
        <v>0</v>
      </c>
      <c r="ER26" s="840">
        <f t="shared" si="50"/>
        <v>0</v>
      </c>
      <c r="ES26" s="840">
        <f t="shared" si="45"/>
        <v>0</v>
      </c>
      <c r="ET26" s="840">
        <f t="shared" si="45"/>
        <v>0</v>
      </c>
      <c r="EU26" s="840">
        <f t="shared" si="45"/>
        <v>0</v>
      </c>
      <c r="EV26" s="840">
        <f t="shared" si="45"/>
        <v>0</v>
      </c>
      <c r="EW26" s="840">
        <f t="shared" si="45"/>
        <v>0</v>
      </c>
      <c r="EX26" s="840">
        <f t="shared" si="45"/>
        <v>0</v>
      </c>
      <c r="EY26" s="840">
        <f t="shared" si="45"/>
        <v>0</v>
      </c>
      <c r="EZ26" s="842">
        <f t="shared" si="54"/>
        <v>0</v>
      </c>
      <c r="FA26" s="842">
        <f t="shared" si="54"/>
        <v>0</v>
      </c>
      <c r="FB26" s="842">
        <f t="shared" si="54"/>
        <v>0</v>
      </c>
      <c r="FC26" s="842">
        <f t="shared" si="54"/>
        <v>0</v>
      </c>
      <c r="FD26" s="842">
        <f t="shared" si="54"/>
        <v>0</v>
      </c>
      <c r="FE26" s="842">
        <f t="shared" si="54"/>
        <v>0</v>
      </c>
      <c r="FF26" s="842">
        <f t="shared" si="54"/>
        <v>0</v>
      </c>
      <c r="FG26" s="842">
        <f t="shared" si="54"/>
        <v>0</v>
      </c>
      <c r="FH26" s="842">
        <f t="shared" si="54"/>
        <v>0</v>
      </c>
      <c r="FI26" s="842">
        <f t="shared" si="54"/>
        <v>0</v>
      </c>
      <c r="FJ26" s="842">
        <f t="shared" si="54"/>
        <v>0</v>
      </c>
      <c r="FK26" s="842">
        <f t="shared" si="54"/>
        <v>0</v>
      </c>
      <c r="FL26" s="842">
        <f t="shared" si="54"/>
        <v>0</v>
      </c>
      <c r="FM26" s="842">
        <f t="shared" si="54"/>
        <v>0</v>
      </c>
      <c r="FN26" s="842">
        <f t="shared" si="54"/>
        <v>0</v>
      </c>
      <c r="FO26" s="842">
        <f t="shared" si="51"/>
        <v>0</v>
      </c>
      <c r="FP26" s="842">
        <f t="shared" si="47"/>
        <v>0</v>
      </c>
      <c r="FQ26" s="842">
        <f t="shared" si="47"/>
        <v>0</v>
      </c>
      <c r="FR26" s="842">
        <f t="shared" si="47"/>
        <v>0</v>
      </c>
      <c r="FS26" s="842">
        <f t="shared" si="47"/>
        <v>0</v>
      </c>
      <c r="FT26" s="842">
        <f t="shared" si="47"/>
        <v>0</v>
      </c>
      <c r="FU26" s="842">
        <f t="shared" si="47"/>
        <v>0</v>
      </c>
      <c r="FV26" s="842">
        <f t="shared" si="47"/>
        <v>0</v>
      </c>
      <c r="FW26" s="843">
        <v>3.41</v>
      </c>
      <c r="FX26" s="848" t="s">
        <v>2236</v>
      </c>
      <c r="FY26" s="851">
        <v>2.63E-2</v>
      </c>
      <c r="FZ26" s="844" t="s">
        <v>2232</v>
      </c>
    </row>
    <row r="27" spans="3:186" ht="23.25" customHeight="1">
      <c r="C27" s="1487"/>
      <c r="D27" s="1485" t="s">
        <v>30</v>
      </c>
      <c r="E27" s="1485"/>
      <c r="F27" s="1485"/>
      <c r="G27" s="849" t="s">
        <v>2242</v>
      </c>
      <c r="H27" s="839"/>
      <c r="I27" s="839"/>
      <c r="J27" s="839"/>
      <c r="K27" s="839"/>
      <c r="L27" s="840">
        <f>'１．ガス単位換算_～R6建物系'!AG48</f>
        <v>0</v>
      </c>
      <c r="M27" s="840">
        <f>'１．ガス単位換算_～R6建物系'!AH48</f>
        <v>0</v>
      </c>
      <c r="N27" s="840">
        <f>'１．ガス単位換算_～R6建物系'!AI48</f>
        <v>0</v>
      </c>
      <c r="O27" s="840">
        <f>'１．ガス単位換算_～R6建物系'!AJ48</f>
        <v>0</v>
      </c>
      <c r="P27" s="840">
        <f>'１．ガス単位換算_～R6建物系'!AK48</f>
        <v>0</v>
      </c>
      <c r="Q27" s="840">
        <f>'１．ガス単位換算_～R6建物系'!AL48</f>
        <v>0</v>
      </c>
      <c r="R27" s="840">
        <f>'１．ガス単位換算_～R6建物系'!AM48</f>
        <v>0</v>
      </c>
      <c r="S27" s="840">
        <f>'１．ガス単位換算_～R6建物系'!AN48</f>
        <v>0</v>
      </c>
      <c r="T27" s="840">
        <f>'１．ガス単位換算_～R6建物系'!AO48</f>
        <v>0</v>
      </c>
      <c r="U27" s="840">
        <f>'１．ガス単位換算_～R6建物系'!AP48</f>
        <v>0</v>
      </c>
      <c r="V27" s="840">
        <f>'１．ガス単位換算_～R6建物系'!AQ48</f>
        <v>0</v>
      </c>
      <c r="W27" s="840">
        <f>'１．ガス単位換算_～R6建物系'!AR48</f>
        <v>0</v>
      </c>
      <c r="X27" s="840">
        <f>'１．ガス単位換算_～R6建物系'!AS48</f>
        <v>0</v>
      </c>
      <c r="Y27" s="840">
        <f>'１．ガス単位換算_～R6建物系'!AT48</f>
        <v>0</v>
      </c>
      <c r="Z27" s="840">
        <f>'１．ガス単位換算_～R6建物系'!AU48</f>
        <v>0</v>
      </c>
      <c r="AA27" s="840">
        <f>'１．ガス単位換算_～R6建物系'!AV48</f>
        <v>0</v>
      </c>
      <c r="AB27" s="840">
        <f>'１．ガス単位換算_～R6建物系'!AW48</f>
        <v>0</v>
      </c>
      <c r="AC27" s="840">
        <f>'１．ガス単位換算_～R6建物系'!AX48</f>
        <v>0</v>
      </c>
      <c r="AD27" s="840">
        <f>'１．ガス単位換算_～R6建物系'!AY48</f>
        <v>0</v>
      </c>
      <c r="AE27" s="840">
        <f>'１．ガス単位換算_～R6建物系'!AZ48</f>
        <v>0</v>
      </c>
      <c r="AF27" s="840">
        <f>'１．ガス単位換算_～R6建物系'!BA48</f>
        <v>0</v>
      </c>
      <c r="AG27" s="840">
        <f>'１．ガス単位換算_～R6建物系'!BB48</f>
        <v>0</v>
      </c>
      <c r="AH27" s="840">
        <f>'１．ガス単位換算_～R6建物系'!BC48</f>
        <v>0</v>
      </c>
      <c r="AI27" s="839"/>
      <c r="AJ27" s="839"/>
      <c r="AK27" s="839"/>
      <c r="AL27" s="839"/>
      <c r="AM27" s="839"/>
      <c r="AN27" s="839"/>
      <c r="AO27" s="839"/>
      <c r="AP27" s="839"/>
      <c r="AQ27" s="839"/>
      <c r="AR27" s="839"/>
      <c r="AS27" s="839"/>
      <c r="AT27" s="839"/>
      <c r="AU27" s="839"/>
      <c r="AV27" s="839"/>
      <c r="AW27" s="839"/>
      <c r="AX27" s="839"/>
      <c r="AY27" s="839"/>
      <c r="AZ27" s="839"/>
      <c r="BA27" s="839"/>
      <c r="BB27" s="839"/>
      <c r="BC27" s="839"/>
      <c r="BD27" s="839"/>
      <c r="BE27" s="839"/>
      <c r="BF27" s="839"/>
      <c r="BG27" s="839"/>
      <c r="BH27" s="839"/>
      <c r="BI27" s="839"/>
      <c r="BJ27" s="840">
        <f t="shared" si="0"/>
        <v>0</v>
      </c>
      <c r="BK27" s="840">
        <f t="shared" si="1"/>
        <v>0</v>
      </c>
      <c r="BL27" s="840">
        <f t="shared" si="2"/>
        <v>0</v>
      </c>
      <c r="BM27" s="840">
        <f t="shared" si="3"/>
        <v>0</v>
      </c>
      <c r="BN27" s="840">
        <f t="shared" si="4"/>
        <v>0</v>
      </c>
      <c r="BO27" s="840">
        <f t="shared" si="5"/>
        <v>0</v>
      </c>
      <c r="BP27" s="840">
        <f t="shared" si="6"/>
        <v>0</v>
      </c>
      <c r="BQ27" s="840">
        <f t="shared" si="7"/>
        <v>0</v>
      </c>
      <c r="BR27" s="840">
        <f t="shared" si="8"/>
        <v>0</v>
      </c>
      <c r="BS27" s="840">
        <f t="shared" si="9"/>
        <v>0</v>
      </c>
      <c r="BT27" s="840">
        <f t="shared" si="10"/>
        <v>0</v>
      </c>
      <c r="BU27" s="840">
        <f t="shared" si="11"/>
        <v>0</v>
      </c>
      <c r="BV27" s="840">
        <f t="shared" si="12"/>
        <v>0</v>
      </c>
      <c r="BW27" s="840">
        <f t="shared" si="13"/>
        <v>0</v>
      </c>
      <c r="BX27" s="840">
        <f t="shared" si="14"/>
        <v>0</v>
      </c>
      <c r="BY27" s="840">
        <f t="shared" si="15"/>
        <v>0</v>
      </c>
      <c r="BZ27" s="840">
        <f t="shared" si="16"/>
        <v>0</v>
      </c>
      <c r="CA27" s="840">
        <f t="shared" si="48"/>
        <v>0</v>
      </c>
      <c r="CB27" s="840">
        <f t="shared" si="48"/>
        <v>0</v>
      </c>
      <c r="CC27" s="840">
        <f t="shared" si="48"/>
        <v>0</v>
      </c>
      <c r="CD27" s="840">
        <f t="shared" si="48"/>
        <v>0</v>
      </c>
      <c r="CE27" s="840">
        <f t="shared" si="48"/>
        <v>0</v>
      </c>
      <c r="CF27" s="840">
        <f t="shared" si="48"/>
        <v>0</v>
      </c>
      <c r="CG27" s="840">
        <f t="shared" si="18"/>
        <v>1</v>
      </c>
      <c r="CH27" s="847" t="s">
        <v>2235</v>
      </c>
      <c r="CI27" s="840">
        <f t="shared" si="19"/>
        <v>0</v>
      </c>
      <c r="CJ27" s="840">
        <f t="shared" si="20"/>
        <v>0</v>
      </c>
      <c r="CK27" s="840">
        <f t="shared" si="21"/>
        <v>0</v>
      </c>
      <c r="CL27" s="840">
        <f t="shared" si="22"/>
        <v>0</v>
      </c>
      <c r="CM27" s="840">
        <f t="shared" si="23"/>
        <v>0</v>
      </c>
      <c r="CN27" s="840">
        <f t="shared" si="24"/>
        <v>0</v>
      </c>
      <c r="CO27" s="840">
        <f t="shared" si="25"/>
        <v>0</v>
      </c>
      <c r="CP27" s="840">
        <f t="shared" si="26"/>
        <v>0</v>
      </c>
      <c r="CQ27" s="840">
        <f t="shared" si="27"/>
        <v>0</v>
      </c>
      <c r="CR27" s="840">
        <f t="shared" si="28"/>
        <v>0</v>
      </c>
      <c r="CS27" s="840">
        <f t="shared" si="29"/>
        <v>0</v>
      </c>
      <c r="CT27" s="840">
        <f t="shared" si="30"/>
        <v>0</v>
      </c>
      <c r="CU27" s="840">
        <f t="shared" si="31"/>
        <v>0</v>
      </c>
      <c r="CV27" s="840">
        <f t="shared" si="32"/>
        <v>0</v>
      </c>
      <c r="CW27" s="840">
        <f t="shared" si="33"/>
        <v>0</v>
      </c>
      <c r="CX27" s="840">
        <f t="shared" si="34"/>
        <v>0</v>
      </c>
      <c r="CY27" s="840">
        <f t="shared" si="35"/>
        <v>0</v>
      </c>
      <c r="CZ27" s="840">
        <f t="shared" si="36"/>
        <v>0</v>
      </c>
      <c r="DA27" s="840">
        <f t="shared" si="37"/>
        <v>0</v>
      </c>
      <c r="DB27" s="840">
        <f t="shared" si="38"/>
        <v>0</v>
      </c>
      <c r="DC27" s="840">
        <f t="shared" si="39"/>
        <v>0</v>
      </c>
      <c r="DD27" s="840">
        <f t="shared" si="40"/>
        <v>0</v>
      </c>
      <c r="DE27" s="840">
        <f t="shared" si="41"/>
        <v>0</v>
      </c>
      <c r="DF27" s="840">
        <f t="shared" si="52"/>
        <v>0</v>
      </c>
      <c r="DG27" s="840">
        <f t="shared" si="52"/>
        <v>0</v>
      </c>
      <c r="DH27" s="840">
        <f t="shared" si="52"/>
        <v>0</v>
      </c>
      <c r="DI27" s="840">
        <f t="shared" si="52"/>
        <v>0</v>
      </c>
      <c r="DJ27" s="840">
        <f t="shared" si="52"/>
        <v>0</v>
      </c>
      <c r="DK27" s="840">
        <f t="shared" si="52"/>
        <v>0</v>
      </c>
      <c r="DL27" s="840">
        <f t="shared" si="52"/>
        <v>0</v>
      </c>
      <c r="DM27" s="840">
        <f t="shared" si="52"/>
        <v>0</v>
      </c>
      <c r="DN27" s="840">
        <f t="shared" si="52"/>
        <v>0</v>
      </c>
      <c r="DO27" s="840">
        <f t="shared" si="52"/>
        <v>0</v>
      </c>
      <c r="DP27" s="840">
        <f t="shared" si="52"/>
        <v>0</v>
      </c>
      <c r="DQ27" s="840">
        <f t="shared" si="52"/>
        <v>0</v>
      </c>
      <c r="DR27" s="840">
        <f t="shared" si="52"/>
        <v>0</v>
      </c>
      <c r="DS27" s="840">
        <f t="shared" si="52"/>
        <v>0</v>
      </c>
      <c r="DT27" s="840">
        <f t="shared" si="52"/>
        <v>0</v>
      </c>
      <c r="DU27" s="840">
        <f t="shared" si="49"/>
        <v>0</v>
      </c>
      <c r="DV27" s="840">
        <f t="shared" si="43"/>
        <v>0</v>
      </c>
      <c r="DW27" s="840">
        <f t="shared" si="43"/>
        <v>0</v>
      </c>
      <c r="DX27" s="840">
        <f t="shared" si="43"/>
        <v>0</v>
      </c>
      <c r="DY27" s="840">
        <f t="shared" si="43"/>
        <v>0</v>
      </c>
      <c r="DZ27" s="840">
        <f t="shared" si="43"/>
        <v>0</v>
      </c>
      <c r="EA27" s="840">
        <f t="shared" si="43"/>
        <v>0</v>
      </c>
      <c r="EB27" s="840">
        <f t="shared" si="43"/>
        <v>0</v>
      </c>
      <c r="EC27" s="840">
        <f t="shared" si="53"/>
        <v>0</v>
      </c>
      <c r="ED27" s="840">
        <f t="shared" si="53"/>
        <v>0</v>
      </c>
      <c r="EE27" s="840">
        <f t="shared" si="53"/>
        <v>0</v>
      </c>
      <c r="EF27" s="840">
        <f t="shared" si="53"/>
        <v>0</v>
      </c>
      <c r="EG27" s="840">
        <f t="shared" si="53"/>
        <v>0</v>
      </c>
      <c r="EH27" s="840">
        <f t="shared" si="53"/>
        <v>0</v>
      </c>
      <c r="EI27" s="840">
        <f t="shared" si="53"/>
        <v>0</v>
      </c>
      <c r="EJ27" s="840">
        <f t="shared" si="53"/>
        <v>0</v>
      </c>
      <c r="EK27" s="840">
        <f t="shared" si="53"/>
        <v>0</v>
      </c>
      <c r="EL27" s="840">
        <f t="shared" si="53"/>
        <v>0</v>
      </c>
      <c r="EM27" s="840">
        <f t="shared" si="53"/>
        <v>0</v>
      </c>
      <c r="EN27" s="840">
        <f t="shared" si="53"/>
        <v>0</v>
      </c>
      <c r="EO27" s="840">
        <f t="shared" si="53"/>
        <v>0</v>
      </c>
      <c r="EP27" s="840">
        <f t="shared" si="53"/>
        <v>0</v>
      </c>
      <c r="EQ27" s="840">
        <f t="shared" si="53"/>
        <v>0</v>
      </c>
      <c r="ER27" s="840">
        <f t="shared" si="50"/>
        <v>0</v>
      </c>
      <c r="ES27" s="840">
        <f t="shared" si="45"/>
        <v>0</v>
      </c>
      <c r="ET27" s="840">
        <f t="shared" si="45"/>
        <v>0</v>
      </c>
      <c r="EU27" s="840">
        <f t="shared" si="45"/>
        <v>0</v>
      </c>
      <c r="EV27" s="840">
        <f t="shared" si="45"/>
        <v>0</v>
      </c>
      <c r="EW27" s="840">
        <f t="shared" si="45"/>
        <v>0</v>
      </c>
      <c r="EX27" s="840">
        <f t="shared" si="45"/>
        <v>0</v>
      </c>
      <c r="EY27" s="840">
        <f t="shared" si="45"/>
        <v>0</v>
      </c>
      <c r="EZ27" s="842">
        <f t="shared" si="54"/>
        <v>0</v>
      </c>
      <c r="FA27" s="842">
        <f t="shared" si="54"/>
        <v>0</v>
      </c>
      <c r="FB27" s="842">
        <f t="shared" si="54"/>
        <v>0</v>
      </c>
      <c r="FC27" s="842">
        <f t="shared" si="54"/>
        <v>0</v>
      </c>
      <c r="FD27" s="842">
        <f t="shared" si="54"/>
        <v>0</v>
      </c>
      <c r="FE27" s="842">
        <f t="shared" si="54"/>
        <v>0</v>
      </c>
      <c r="FF27" s="842">
        <f t="shared" si="54"/>
        <v>0</v>
      </c>
      <c r="FG27" s="842">
        <f t="shared" si="54"/>
        <v>0</v>
      </c>
      <c r="FH27" s="842">
        <f t="shared" si="54"/>
        <v>0</v>
      </c>
      <c r="FI27" s="842">
        <f t="shared" si="54"/>
        <v>0</v>
      </c>
      <c r="FJ27" s="842">
        <f t="shared" si="54"/>
        <v>0</v>
      </c>
      <c r="FK27" s="842">
        <f t="shared" si="54"/>
        <v>0</v>
      </c>
      <c r="FL27" s="842">
        <f t="shared" si="54"/>
        <v>0</v>
      </c>
      <c r="FM27" s="842">
        <f t="shared" si="54"/>
        <v>0</v>
      </c>
      <c r="FN27" s="842">
        <f t="shared" si="54"/>
        <v>0</v>
      </c>
      <c r="FO27" s="842">
        <f t="shared" si="51"/>
        <v>0</v>
      </c>
      <c r="FP27" s="842">
        <f t="shared" si="47"/>
        <v>0</v>
      </c>
      <c r="FQ27" s="842">
        <f t="shared" si="47"/>
        <v>0</v>
      </c>
      <c r="FR27" s="842">
        <f t="shared" si="47"/>
        <v>0</v>
      </c>
      <c r="FS27" s="842">
        <f t="shared" si="47"/>
        <v>0</v>
      </c>
      <c r="FT27" s="842">
        <f t="shared" si="47"/>
        <v>0</v>
      </c>
      <c r="FU27" s="842">
        <f t="shared" si="47"/>
        <v>0</v>
      </c>
      <c r="FV27" s="842">
        <f t="shared" si="47"/>
        <v>0</v>
      </c>
      <c r="FW27" s="843">
        <v>8.41</v>
      </c>
      <c r="FX27" s="848" t="s">
        <v>2236</v>
      </c>
      <c r="FY27" s="843">
        <v>3.8399999999999997E-2</v>
      </c>
      <c r="FZ27" s="844" t="s">
        <v>2232</v>
      </c>
    </row>
    <row r="28" spans="3:186" ht="23.25" customHeight="1">
      <c r="C28" s="1487"/>
      <c r="D28" s="1485" t="s">
        <v>31</v>
      </c>
      <c r="E28" s="1424" t="s">
        <v>2243</v>
      </c>
      <c r="F28" s="781" t="s">
        <v>2152</v>
      </c>
      <c r="G28" s="849" t="s">
        <v>2242</v>
      </c>
      <c r="H28" s="839"/>
      <c r="I28" s="839"/>
      <c r="J28" s="839"/>
      <c r="K28" s="839"/>
      <c r="L28" s="852"/>
      <c r="M28" s="852"/>
      <c r="N28" s="852"/>
      <c r="O28" s="840">
        <f>'１．ガス単位換算_～R6建物系'!AJ9</f>
        <v>0</v>
      </c>
      <c r="P28" s="840">
        <f>'１．ガス単位換算_～R6建物系'!AK9</f>
        <v>0</v>
      </c>
      <c r="Q28" s="840">
        <f>'１．ガス単位換算_～R6建物系'!AL9</f>
        <v>0</v>
      </c>
      <c r="R28" s="840">
        <f>'１．ガス単位換算_～R6建物系'!AM9</f>
        <v>0</v>
      </c>
      <c r="S28" s="840">
        <f>'１．ガス単位換算_～R6建物系'!AN9</f>
        <v>0</v>
      </c>
      <c r="T28" s="840">
        <f>'１．ガス単位換算_～R6建物系'!AO9</f>
        <v>0</v>
      </c>
      <c r="U28" s="840">
        <f>'１．ガス単位換算_～R6建物系'!AP9</f>
        <v>0</v>
      </c>
      <c r="V28" s="840">
        <f>'１．ガス単位換算_～R6建物系'!AQ9</f>
        <v>0</v>
      </c>
      <c r="W28" s="840">
        <f>'１．ガス単位換算_～R6建物系'!AR9</f>
        <v>0</v>
      </c>
      <c r="X28" s="840">
        <f>'１．ガス単位換算_～R6建物系'!AS9</f>
        <v>0</v>
      </c>
      <c r="Y28" s="840">
        <f>'１．ガス単位換算_～R6建物系'!AT9</f>
        <v>0</v>
      </c>
      <c r="Z28" s="840">
        <f>'１．ガス単位換算_～R6建物系'!AU9</f>
        <v>0</v>
      </c>
      <c r="AA28" s="840">
        <f>'１．ガス単位換算_～R6建物系'!AV9</f>
        <v>0</v>
      </c>
      <c r="AB28" s="840">
        <f>'１．ガス単位換算_～R6建物系'!AW9</f>
        <v>0</v>
      </c>
      <c r="AC28" s="840">
        <f>'１．ガス単位換算_～R6建物系'!AX9</f>
        <v>0</v>
      </c>
      <c r="AD28" s="840">
        <f>'１．ガス単位換算_～R6建物系'!AY9</f>
        <v>0</v>
      </c>
      <c r="AE28" s="840">
        <f>'１．ガス単位換算_～R6建物系'!AZ9</f>
        <v>0</v>
      </c>
      <c r="AF28" s="840">
        <f>'１．ガス単位換算_～R6建物系'!BA9</f>
        <v>0</v>
      </c>
      <c r="AG28" s="840">
        <f>'１．ガス単位換算_～R6建物系'!BB9</f>
        <v>0</v>
      </c>
      <c r="AH28" s="840">
        <f>'１．ガス単位換算_～R6建物系'!BC9</f>
        <v>0</v>
      </c>
      <c r="AI28" s="839"/>
      <c r="AJ28" s="839"/>
      <c r="AK28" s="839"/>
      <c r="AL28" s="839"/>
      <c r="AM28" s="852"/>
      <c r="AN28" s="852"/>
      <c r="AO28" s="852"/>
      <c r="AP28" s="839"/>
      <c r="AQ28" s="839"/>
      <c r="AR28" s="839"/>
      <c r="AS28" s="839"/>
      <c r="AT28" s="839"/>
      <c r="AU28" s="839"/>
      <c r="AV28" s="839"/>
      <c r="AW28" s="839"/>
      <c r="AX28" s="839"/>
      <c r="AY28" s="839"/>
      <c r="AZ28" s="839"/>
      <c r="BA28" s="839"/>
      <c r="BB28" s="839"/>
      <c r="BC28" s="839"/>
      <c r="BD28" s="839"/>
      <c r="BE28" s="839"/>
      <c r="BF28" s="839"/>
      <c r="BG28" s="839"/>
      <c r="BH28" s="839"/>
      <c r="BI28" s="839"/>
      <c r="BJ28" s="840">
        <f t="shared" si="0"/>
        <v>0</v>
      </c>
      <c r="BK28" s="840">
        <f t="shared" si="1"/>
        <v>0</v>
      </c>
      <c r="BL28" s="840">
        <f t="shared" si="2"/>
        <v>0</v>
      </c>
      <c r="BM28" s="840">
        <f t="shared" si="3"/>
        <v>0</v>
      </c>
      <c r="BN28" s="840">
        <f t="shared" si="4"/>
        <v>0</v>
      </c>
      <c r="BO28" s="840">
        <f t="shared" si="5"/>
        <v>0</v>
      </c>
      <c r="BP28" s="840">
        <f t="shared" si="6"/>
        <v>0</v>
      </c>
      <c r="BQ28" s="840">
        <f t="shared" si="7"/>
        <v>0</v>
      </c>
      <c r="BR28" s="840">
        <f t="shared" si="8"/>
        <v>0</v>
      </c>
      <c r="BS28" s="840">
        <f t="shared" si="9"/>
        <v>0</v>
      </c>
      <c r="BT28" s="840">
        <f t="shared" si="10"/>
        <v>0</v>
      </c>
      <c r="BU28" s="840">
        <f t="shared" si="11"/>
        <v>0</v>
      </c>
      <c r="BV28" s="840">
        <f t="shared" si="12"/>
        <v>0</v>
      </c>
      <c r="BW28" s="840">
        <f t="shared" si="13"/>
        <v>0</v>
      </c>
      <c r="BX28" s="840">
        <f t="shared" si="14"/>
        <v>0</v>
      </c>
      <c r="BY28" s="840">
        <f t="shared" si="15"/>
        <v>0</v>
      </c>
      <c r="BZ28" s="840">
        <f t="shared" si="16"/>
        <v>0</v>
      </c>
      <c r="CA28" s="840">
        <f t="shared" si="48"/>
        <v>0</v>
      </c>
      <c r="CB28" s="840">
        <f t="shared" si="48"/>
        <v>0</v>
      </c>
      <c r="CC28" s="840">
        <f t="shared" si="48"/>
        <v>0</v>
      </c>
      <c r="CD28" s="840">
        <f t="shared" si="48"/>
        <v>0</v>
      </c>
      <c r="CE28" s="840">
        <f t="shared" si="48"/>
        <v>0</v>
      </c>
      <c r="CF28" s="840">
        <f t="shared" si="48"/>
        <v>0</v>
      </c>
      <c r="CG28" s="840">
        <f t="shared" si="18"/>
        <v>1</v>
      </c>
      <c r="CH28" s="847" t="s">
        <v>2235</v>
      </c>
      <c r="CI28" s="840">
        <f t="shared" si="19"/>
        <v>0</v>
      </c>
      <c r="CJ28" s="840">
        <f t="shared" si="20"/>
        <v>0</v>
      </c>
      <c r="CK28" s="840">
        <f t="shared" si="21"/>
        <v>0</v>
      </c>
      <c r="CL28" s="840">
        <f t="shared" si="22"/>
        <v>0</v>
      </c>
      <c r="CM28" s="840">
        <f t="shared" si="23"/>
        <v>0</v>
      </c>
      <c r="CN28" s="840">
        <f t="shared" si="24"/>
        <v>0</v>
      </c>
      <c r="CO28" s="840">
        <f t="shared" si="25"/>
        <v>0</v>
      </c>
      <c r="CP28" s="840">
        <f t="shared" si="26"/>
        <v>0</v>
      </c>
      <c r="CQ28" s="840">
        <f t="shared" si="27"/>
        <v>0</v>
      </c>
      <c r="CR28" s="840">
        <f t="shared" si="28"/>
        <v>0</v>
      </c>
      <c r="CS28" s="840">
        <f t="shared" si="29"/>
        <v>0</v>
      </c>
      <c r="CT28" s="840">
        <f t="shared" si="30"/>
        <v>0</v>
      </c>
      <c r="CU28" s="840">
        <f t="shared" si="31"/>
        <v>0</v>
      </c>
      <c r="CV28" s="840">
        <f t="shared" si="32"/>
        <v>0</v>
      </c>
      <c r="CW28" s="840">
        <f t="shared" si="33"/>
        <v>0</v>
      </c>
      <c r="CX28" s="840">
        <f t="shared" si="34"/>
        <v>0</v>
      </c>
      <c r="CY28" s="840">
        <f t="shared" si="35"/>
        <v>0</v>
      </c>
      <c r="CZ28" s="840">
        <f t="shared" si="36"/>
        <v>0</v>
      </c>
      <c r="DA28" s="840">
        <f t="shared" si="37"/>
        <v>0</v>
      </c>
      <c r="DB28" s="840">
        <f t="shared" si="38"/>
        <v>0</v>
      </c>
      <c r="DC28" s="840">
        <f t="shared" si="39"/>
        <v>0</v>
      </c>
      <c r="DD28" s="840">
        <f t="shared" si="40"/>
        <v>0</v>
      </c>
      <c r="DE28" s="840">
        <f t="shared" si="41"/>
        <v>0</v>
      </c>
      <c r="DF28" s="840">
        <f t="shared" si="52"/>
        <v>0</v>
      </c>
      <c r="DG28" s="840">
        <f t="shared" si="52"/>
        <v>0</v>
      </c>
      <c r="DH28" s="840">
        <f t="shared" si="52"/>
        <v>0</v>
      </c>
      <c r="DI28" s="840">
        <f t="shared" si="52"/>
        <v>0</v>
      </c>
      <c r="DJ28" s="840">
        <f t="shared" si="52"/>
        <v>0</v>
      </c>
      <c r="DK28" s="840">
        <f t="shared" si="52"/>
        <v>0</v>
      </c>
      <c r="DL28" s="840">
        <f t="shared" si="52"/>
        <v>0</v>
      </c>
      <c r="DM28" s="840">
        <f t="shared" si="52"/>
        <v>0</v>
      </c>
      <c r="DN28" s="840">
        <f t="shared" si="52"/>
        <v>0</v>
      </c>
      <c r="DO28" s="840">
        <f t="shared" si="52"/>
        <v>0</v>
      </c>
      <c r="DP28" s="840">
        <f t="shared" si="52"/>
        <v>0</v>
      </c>
      <c r="DQ28" s="840">
        <f t="shared" si="52"/>
        <v>0</v>
      </c>
      <c r="DR28" s="840">
        <f t="shared" si="52"/>
        <v>0</v>
      </c>
      <c r="DS28" s="840">
        <f t="shared" si="52"/>
        <v>0</v>
      </c>
      <c r="DT28" s="840">
        <f t="shared" si="52"/>
        <v>0</v>
      </c>
      <c r="DU28" s="840">
        <f t="shared" si="49"/>
        <v>0</v>
      </c>
      <c r="DV28" s="840">
        <f t="shared" si="43"/>
        <v>0</v>
      </c>
      <c r="DW28" s="840">
        <f t="shared" si="43"/>
        <v>0</v>
      </c>
      <c r="DX28" s="840">
        <f t="shared" si="43"/>
        <v>0</v>
      </c>
      <c r="DY28" s="840">
        <f t="shared" si="43"/>
        <v>0</v>
      </c>
      <c r="DZ28" s="840">
        <f t="shared" si="43"/>
        <v>0</v>
      </c>
      <c r="EA28" s="840">
        <f t="shared" si="43"/>
        <v>0</v>
      </c>
      <c r="EB28" s="840">
        <f t="shared" si="43"/>
        <v>0</v>
      </c>
      <c r="EC28" s="840">
        <f t="shared" si="53"/>
        <v>0</v>
      </c>
      <c r="ED28" s="840">
        <f t="shared" si="53"/>
        <v>0</v>
      </c>
      <c r="EE28" s="840">
        <f t="shared" si="53"/>
        <v>0</v>
      </c>
      <c r="EF28" s="840">
        <f t="shared" si="53"/>
        <v>0</v>
      </c>
      <c r="EG28" s="840">
        <f t="shared" si="53"/>
        <v>0</v>
      </c>
      <c r="EH28" s="840">
        <f t="shared" si="53"/>
        <v>0</v>
      </c>
      <c r="EI28" s="840">
        <f t="shared" si="53"/>
        <v>0</v>
      </c>
      <c r="EJ28" s="840">
        <f t="shared" si="53"/>
        <v>0</v>
      </c>
      <c r="EK28" s="840">
        <f t="shared" si="53"/>
        <v>0</v>
      </c>
      <c r="EL28" s="840">
        <f t="shared" si="53"/>
        <v>0</v>
      </c>
      <c r="EM28" s="840">
        <f t="shared" si="53"/>
        <v>0</v>
      </c>
      <c r="EN28" s="840">
        <f t="shared" si="53"/>
        <v>0</v>
      </c>
      <c r="EO28" s="840">
        <f t="shared" si="53"/>
        <v>0</v>
      </c>
      <c r="EP28" s="840">
        <f t="shared" si="53"/>
        <v>0</v>
      </c>
      <c r="EQ28" s="840">
        <f t="shared" si="53"/>
        <v>0</v>
      </c>
      <c r="ER28" s="840">
        <f t="shared" si="50"/>
        <v>0</v>
      </c>
      <c r="ES28" s="840">
        <f t="shared" si="45"/>
        <v>0</v>
      </c>
      <c r="ET28" s="840">
        <f t="shared" si="45"/>
        <v>0</v>
      </c>
      <c r="EU28" s="840">
        <f t="shared" si="45"/>
        <v>0</v>
      </c>
      <c r="EV28" s="840">
        <f t="shared" si="45"/>
        <v>0</v>
      </c>
      <c r="EW28" s="840">
        <f t="shared" si="45"/>
        <v>0</v>
      </c>
      <c r="EX28" s="840">
        <f t="shared" si="45"/>
        <v>0</v>
      </c>
      <c r="EY28" s="840">
        <f t="shared" si="45"/>
        <v>0</v>
      </c>
      <c r="EZ28" s="842">
        <f t="shared" si="54"/>
        <v>0</v>
      </c>
      <c r="FA28" s="842">
        <f t="shared" si="54"/>
        <v>0</v>
      </c>
      <c r="FB28" s="842">
        <f t="shared" si="54"/>
        <v>0</v>
      </c>
      <c r="FC28" s="842">
        <f t="shared" si="54"/>
        <v>0</v>
      </c>
      <c r="FD28" s="842">
        <f t="shared" si="54"/>
        <v>0</v>
      </c>
      <c r="FE28" s="842">
        <f t="shared" si="54"/>
        <v>0</v>
      </c>
      <c r="FF28" s="842">
        <f t="shared" si="54"/>
        <v>0</v>
      </c>
      <c r="FG28" s="842">
        <f t="shared" si="54"/>
        <v>0</v>
      </c>
      <c r="FH28" s="842">
        <f t="shared" si="54"/>
        <v>0</v>
      </c>
      <c r="FI28" s="842">
        <f t="shared" si="54"/>
        <v>0</v>
      </c>
      <c r="FJ28" s="842">
        <f t="shared" si="54"/>
        <v>0</v>
      </c>
      <c r="FK28" s="842">
        <f t="shared" si="54"/>
        <v>0</v>
      </c>
      <c r="FL28" s="842">
        <f t="shared" si="54"/>
        <v>0</v>
      </c>
      <c r="FM28" s="842">
        <f t="shared" si="54"/>
        <v>0</v>
      </c>
      <c r="FN28" s="842">
        <f t="shared" si="54"/>
        <v>0</v>
      </c>
      <c r="FO28" s="842">
        <f t="shared" si="51"/>
        <v>0</v>
      </c>
      <c r="FP28" s="842">
        <f t="shared" si="47"/>
        <v>0</v>
      </c>
      <c r="FQ28" s="842">
        <f t="shared" si="47"/>
        <v>0</v>
      </c>
      <c r="FR28" s="842">
        <f t="shared" si="47"/>
        <v>0</v>
      </c>
      <c r="FS28" s="842">
        <f t="shared" si="47"/>
        <v>0</v>
      </c>
      <c r="FT28" s="842">
        <f t="shared" si="47"/>
        <v>0</v>
      </c>
      <c r="FU28" s="842">
        <f t="shared" si="47"/>
        <v>0</v>
      </c>
      <c r="FV28" s="842">
        <f t="shared" si="47"/>
        <v>0</v>
      </c>
      <c r="FW28" s="843">
        <v>45</v>
      </c>
      <c r="FX28" s="848" t="s">
        <v>2236</v>
      </c>
      <c r="FY28" s="843">
        <v>1.3599999999999999E-2</v>
      </c>
      <c r="FZ28" s="844" t="s">
        <v>2232</v>
      </c>
    </row>
    <row r="29" spans="3:186" ht="23.25" customHeight="1">
      <c r="C29" s="1487"/>
      <c r="D29" s="1476"/>
      <c r="E29" s="1425"/>
      <c r="F29" s="781" t="s">
        <v>2157</v>
      </c>
      <c r="G29" s="849" t="s">
        <v>2242</v>
      </c>
      <c r="H29" s="839"/>
      <c r="I29" s="839"/>
      <c r="J29" s="839"/>
      <c r="K29" s="839"/>
      <c r="L29" s="840">
        <f>'１．ガス単位換算_～R6建物系'!AG12</f>
        <v>0</v>
      </c>
      <c r="M29" s="840">
        <f>'１．ガス単位換算_～R6建物系'!AH12</f>
        <v>0</v>
      </c>
      <c r="N29" s="840">
        <f>'１．ガス単位換算_～R6建物系'!AI12</f>
        <v>0</v>
      </c>
      <c r="O29" s="840">
        <f>'１．ガス単位換算_～R6建物系'!AJ12</f>
        <v>0</v>
      </c>
      <c r="P29" s="840">
        <f>'１．ガス単位換算_～R6建物系'!AK12</f>
        <v>0</v>
      </c>
      <c r="Q29" s="840">
        <f>'１．ガス単位換算_～R6建物系'!AL12</f>
        <v>0</v>
      </c>
      <c r="R29" s="840">
        <f>'１．ガス単位換算_～R6建物系'!AM12</f>
        <v>0</v>
      </c>
      <c r="S29" s="840">
        <f>'１．ガス単位換算_～R6建物系'!AN12</f>
        <v>0</v>
      </c>
      <c r="T29" s="840">
        <f>'１．ガス単位換算_～R6建物系'!AO12</f>
        <v>0</v>
      </c>
      <c r="U29" s="840">
        <f>'１．ガス単位換算_～R6建物系'!AP12</f>
        <v>0</v>
      </c>
      <c r="V29" s="840">
        <f>'１．ガス単位換算_～R6建物系'!AQ12</f>
        <v>0</v>
      </c>
      <c r="W29" s="840">
        <f>'１．ガス単位換算_～R6建物系'!AR12</f>
        <v>0</v>
      </c>
      <c r="X29" s="840">
        <f>'１．ガス単位換算_～R6建物系'!AS12</f>
        <v>0</v>
      </c>
      <c r="Y29" s="840">
        <f>'１．ガス単位換算_～R6建物系'!AT12</f>
        <v>0</v>
      </c>
      <c r="Z29" s="840">
        <f>'１．ガス単位換算_～R6建物系'!AU12</f>
        <v>0</v>
      </c>
      <c r="AA29" s="840">
        <f>'１．ガス単位換算_～R6建物系'!AV12</f>
        <v>0</v>
      </c>
      <c r="AB29" s="840">
        <f>'１．ガス単位換算_～R6建物系'!AW12</f>
        <v>0</v>
      </c>
      <c r="AC29" s="840">
        <f>'１．ガス単位換算_～R6建物系'!AX12</f>
        <v>0</v>
      </c>
      <c r="AD29" s="840">
        <f>'１．ガス単位換算_～R6建物系'!AY12</f>
        <v>0</v>
      </c>
      <c r="AE29" s="840">
        <f>'１．ガス単位換算_～R6建物系'!AZ12</f>
        <v>0</v>
      </c>
      <c r="AF29" s="840">
        <f>'１．ガス単位換算_～R6建物系'!BA12</f>
        <v>0</v>
      </c>
      <c r="AG29" s="840">
        <f>'１．ガス単位換算_～R6建物系'!BB12</f>
        <v>0</v>
      </c>
      <c r="AH29" s="840">
        <f>'１．ガス単位換算_～R6建物系'!BC12</f>
        <v>0</v>
      </c>
      <c r="AI29" s="839"/>
      <c r="AJ29" s="839"/>
      <c r="AK29" s="839"/>
      <c r="AL29" s="839"/>
      <c r="AM29" s="839"/>
      <c r="AN29" s="839"/>
      <c r="AO29" s="839"/>
      <c r="AP29" s="839"/>
      <c r="AQ29" s="839"/>
      <c r="AR29" s="839"/>
      <c r="AS29" s="839"/>
      <c r="AT29" s="839"/>
      <c r="AU29" s="839"/>
      <c r="AV29" s="839"/>
      <c r="AW29" s="839"/>
      <c r="AX29" s="839"/>
      <c r="AY29" s="839"/>
      <c r="AZ29" s="839"/>
      <c r="BA29" s="839"/>
      <c r="BB29" s="839"/>
      <c r="BC29" s="839"/>
      <c r="BD29" s="839"/>
      <c r="BE29" s="839"/>
      <c r="BF29" s="839"/>
      <c r="BG29" s="839"/>
      <c r="BH29" s="839"/>
      <c r="BI29" s="839"/>
      <c r="BJ29" s="840">
        <f t="shared" si="0"/>
        <v>0</v>
      </c>
      <c r="BK29" s="840">
        <f t="shared" si="1"/>
        <v>0</v>
      </c>
      <c r="BL29" s="840">
        <f t="shared" si="2"/>
        <v>0</v>
      </c>
      <c r="BM29" s="840">
        <f t="shared" si="3"/>
        <v>0</v>
      </c>
      <c r="BN29" s="840">
        <f t="shared" si="4"/>
        <v>0</v>
      </c>
      <c r="BO29" s="840">
        <f t="shared" si="5"/>
        <v>0</v>
      </c>
      <c r="BP29" s="840">
        <f t="shared" si="6"/>
        <v>0</v>
      </c>
      <c r="BQ29" s="840">
        <f t="shared" si="7"/>
        <v>0</v>
      </c>
      <c r="BR29" s="840">
        <f t="shared" si="8"/>
        <v>0</v>
      </c>
      <c r="BS29" s="840">
        <f t="shared" si="9"/>
        <v>0</v>
      </c>
      <c r="BT29" s="840">
        <f t="shared" si="10"/>
        <v>0</v>
      </c>
      <c r="BU29" s="840">
        <f t="shared" si="11"/>
        <v>0</v>
      </c>
      <c r="BV29" s="840">
        <f t="shared" si="12"/>
        <v>0</v>
      </c>
      <c r="BW29" s="840">
        <f t="shared" si="13"/>
        <v>0</v>
      </c>
      <c r="BX29" s="840">
        <f t="shared" si="14"/>
        <v>0</v>
      </c>
      <c r="BY29" s="840">
        <f t="shared" si="15"/>
        <v>0</v>
      </c>
      <c r="BZ29" s="840">
        <f t="shared" si="16"/>
        <v>0</v>
      </c>
      <c r="CA29" s="840">
        <f t="shared" si="48"/>
        <v>0</v>
      </c>
      <c r="CB29" s="840">
        <f t="shared" si="48"/>
        <v>0</v>
      </c>
      <c r="CC29" s="840">
        <f t="shared" si="48"/>
        <v>0</v>
      </c>
      <c r="CD29" s="840">
        <f t="shared" si="48"/>
        <v>0</v>
      </c>
      <c r="CE29" s="840">
        <f t="shared" si="48"/>
        <v>0</v>
      </c>
      <c r="CF29" s="840">
        <f t="shared" si="48"/>
        <v>0</v>
      </c>
      <c r="CG29" s="840">
        <f t="shared" si="18"/>
        <v>1</v>
      </c>
      <c r="CH29" s="847" t="s">
        <v>2235</v>
      </c>
      <c r="CI29" s="840">
        <f t="shared" si="19"/>
        <v>0</v>
      </c>
      <c r="CJ29" s="840">
        <f t="shared" si="20"/>
        <v>0</v>
      </c>
      <c r="CK29" s="840">
        <f t="shared" si="21"/>
        <v>0</v>
      </c>
      <c r="CL29" s="840">
        <f t="shared" si="22"/>
        <v>0</v>
      </c>
      <c r="CM29" s="840">
        <f t="shared" si="23"/>
        <v>0</v>
      </c>
      <c r="CN29" s="840">
        <f t="shared" si="24"/>
        <v>0</v>
      </c>
      <c r="CO29" s="840">
        <f t="shared" si="25"/>
        <v>0</v>
      </c>
      <c r="CP29" s="840">
        <f t="shared" si="26"/>
        <v>0</v>
      </c>
      <c r="CQ29" s="840">
        <f t="shared" si="27"/>
        <v>0</v>
      </c>
      <c r="CR29" s="840">
        <f t="shared" si="28"/>
        <v>0</v>
      </c>
      <c r="CS29" s="840">
        <f t="shared" si="29"/>
        <v>0</v>
      </c>
      <c r="CT29" s="840">
        <f t="shared" si="30"/>
        <v>0</v>
      </c>
      <c r="CU29" s="840">
        <f t="shared" si="31"/>
        <v>0</v>
      </c>
      <c r="CV29" s="840">
        <f t="shared" si="32"/>
        <v>0</v>
      </c>
      <c r="CW29" s="840">
        <f t="shared" si="33"/>
        <v>0</v>
      </c>
      <c r="CX29" s="840">
        <f t="shared" si="34"/>
        <v>0</v>
      </c>
      <c r="CY29" s="840">
        <f t="shared" si="35"/>
        <v>0</v>
      </c>
      <c r="CZ29" s="840">
        <f t="shared" si="36"/>
        <v>0</v>
      </c>
      <c r="DA29" s="840">
        <f t="shared" si="37"/>
        <v>0</v>
      </c>
      <c r="DB29" s="840">
        <f t="shared" si="38"/>
        <v>0</v>
      </c>
      <c r="DC29" s="840">
        <f t="shared" si="39"/>
        <v>0</v>
      </c>
      <c r="DD29" s="840">
        <f t="shared" si="40"/>
        <v>0</v>
      </c>
      <c r="DE29" s="840">
        <f t="shared" si="41"/>
        <v>0</v>
      </c>
      <c r="DF29" s="840">
        <f t="shared" si="52"/>
        <v>0</v>
      </c>
      <c r="DG29" s="840">
        <f t="shared" si="52"/>
        <v>0</v>
      </c>
      <c r="DH29" s="840">
        <f t="shared" si="52"/>
        <v>0</v>
      </c>
      <c r="DI29" s="840">
        <f t="shared" si="52"/>
        <v>0</v>
      </c>
      <c r="DJ29" s="840">
        <f t="shared" si="52"/>
        <v>0</v>
      </c>
      <c r="DK29" s="840">
        <f t="shared" si="52"/>
        <v>0</v>
      </c>
      <c r="DL29" s="840">
        <f t="shared" si="52"/>
        <v>0</v>
      </c>
      <c r="DM29" s="840">
        <f t="shared" si="52"/>
        <v>0</v>
      </c>
      <c r="DN29" s="840">
        <f t="shared" si="52"/>
        <v>0</v>
      </c>
      <c r="DO29" s="840">
        <f t="shared" si="52"/>
        <v>0</v>
      </c>
      <c r="DP29" s="840">
        <f t="shared" si="52"/>
        <v>0</v>
      </c>
      <c r="DQ29" s="840">
        <f t="shared" si="52"/>
        <v>0</v>
      </c>
      <c r="DR29" s="840">
        <f t="shared" si="52"/>
        <v>0</v>
      </c>
      <c r="DS29" s="840">
        <f t="shared" si="52"/>
        <v>0</v>
      </c>
      <c r="DT29" s="840">
        <f t="shared" si="52"/>
        <v>0</v>
      </c>
      <c r="DU29" s="840">
        <f t="shared" si="49"/>
        <v>0</v>
      </c>
      <c r="DV29" s="840">
        <f t="shared" si="43"/>
        <v>0</v>
      </c>
      <c r="DW29" s="840">
        <f t="shared" si="43"/>
        <v>0</v>
      </c>
      <c r="DX29" s="840">
        <f t="shared" si="43"/>
        <v>0</v>
      </c>
      <c r="DY29" s="840">
        <f t="shared" si="43"/>
        <v>0</v>
      </c>
      <c r="DZ29" s="840">
        <f t="shared" si="43"/>
        <v>0</v>
      </c>
      <c r="EA29" s="840">
        <f t="shared" si="43"/>
        <v>0</v>
      </c>
      <c r="EB29" s="840">
        <f t="shared" si="43"/>
        <v>0</v>
      </c>
      <c r="EC29" s="840">
        <f t="shared" si="53"/>
        <v>0</v>
      </c>
      <c r="ED29" s="840">
        <f t="shared" si="53"/>
        <v>0</v>
      </c>
      <c r="EE29" s="840">
        <f t="shared" si="53"/>
        <v>0</v>
      </c>
      <c r="EF29" s="840">
        <f t="shared" si="53"/>
        <v>0</v>
      </c>
      <c r="EG29" s="840">
        <f t="shared" si="53"/>
        <v>0</v>
      </c>
      <c r="EH29" s="840">
        <f t="shared" si="53"/>
        <v>0</v>
      </c>
      <c r="EI29" s="840">
        <f t="shared" si="53"/>
        <v>0</v>
      </c>
      <c r="EJ29" s="840">
        <f t="shared" si="53"/>
        <v>0</v>
      </c>
      <c r="EK29" s="840">
        <f t="shared" si="53"/>
        <v>0</v>
      </c>
      <c r="EL29" s="840">
        <f t="shared" si="53"/>
        <v>0</v>
      </c>
      <c r="EM29" s="840">
        <f t="shared" si="53"/>
        <v>0</v>
      </c>
      <c r="EN29" s="840">
        <f t="shared" si="53"/>
        <v>0</v>
      </c>
      <c r="EO29" s="840">
        <f t="shared" si="53"/>
        <v>0</v>
      </c>
      <c r="EP29" s="840">
        <f t="shared" si="53"/>
        <v>0</v>
      </c>
      <c r="EQ29" s="840">
        <f t="shared" si="53"/>
        <v>0</v>
      </c>
      <c r="ER29" s="840">
        <f t="shared" si="50"/>
        <v>0</v>
      </c>
      <c r="ES29" s="840">
        <f t="shared" si="45"/>
        <v>0</v>
      </c>
      <c r="ET29" s="840">
        <f t="shared" si="45"/>
        <v>0</v>
      </c>
      <c r="EU29" s="840">
        <f t="shared" si="45"/>
        <v>0</v>
      </c>
      <c r="EV29" s="840">
        <f t="shared" si="45"/>
        <v>0</v>
      </c>
      <c r="EW29" s="840">
        <f t="shared" si="45"/>
        <v>0</v>
      </c>
      <c r="EX29" s="840">
        <f t="shared" si="45"/>
        <v>0</v>
      </c>
      <c r="EY29" s="840">
        <f t="shared" si="45"/>
        <v>0</v>
      </c>
      <c r="EZ29" s="842">
        <f t="shared" si="54"/>
        <v>0</v>
      </c>
      <c r="FA29" s="842">
        <f t="shared" si="54"/>
        <v>0</v>
      </c>
      <c r="FB29" s="842">
        <f t="shared" si="54"/>
        <v>0</v>
      </c>
      <c r="FC29" s="842">
        <f t="shared" si="54"/>
        <v>0</v>
      </c>
      <c r="FD29" s="842">
        <f t="shared" si="54"/>
        <v>0</v>
      </c>
      <c r="FE29" s="842">
        <f t="shared" si="54"/>
        <v>0</v>
      </c>
      <c r="FF29" s="842">
        <f t="shared" si="54"/>
        <v>0</v>
      </c>
      <c r="FG29" s="842">
        <f t="shared" si="54"/>
        <v>0</v>
      </c>
      <c r="FH29" s="842">
        <f t="shared" si="54"/>
        <v>0</v>
      </c>
      <c r="FI29" s="842">
        <f t="shared" si="54"/>
        <v>0</v>
      </c>
      <c r="FJ29" s="842">
        <f t="shared" si="54"/>
        <v>0</v>
      </c>
      <c r="FK29" s="842">
        <f t="shared" si="54"/>
        <v>0</v>
      </c>
      <c r="FL29" s="842">
        <f t="shared" si="54"/>
        <v>0</v>
      </c>
      <c r="FM29" s="842">
        <f t="shared" si="54"/>
        <v>0</v>
      </c>
      <c r="FN29" s="842">
        <f t="shared" si="54"/>
        <v>0</v>
      </c>
      <c r="FO29" s="842">
        <f t="shared" si="51"/>
        <v>0</v>
      </c>
      <c r="FP29" s="842">
        <f t="shared" si="47"/>
        <v>0</v>
      </c>
      <c r="FQ29" s="842">
        <f t="shared" si="47"/>
        <v>0</v>
      </c>
      <c r="FR29" s="842">
        <f t="shared" si="47"/>
        <v>0</v>
      </c>
      <c r="FS29" s="842">
        <f t="shared" si="47"/>
        <v>0</v>
      </c>
      <c r="FT29" s="842">
        <f t="shared" si="47"/>
        <v>0</v>
      </c>
      <c r="FU29" s="842">
        <f t="shared" si="47"/>
        <v>0</v>
      </c>
      <c r="FV29" s="842">
        <f t="shared" si="47"/>
        <v>0</v>
      </c>
      <c r="FW29" s="843">
        <v>43.12</v>
      </c>
      <c r="FX29" s="848" t="s">
        <v>2236</v>
      </c>
      <c r="FY29" s="843">
        <v>1.3599999999999999E-2</v>
      </c>
      <c r="FZ29" s="844" t="s">
        <v>2232</v>
      </c>
    </row>
    <row r="30" spans="3:186" ht="23.25" customHeight="1">
      <c r="C30" s="1487"/>
      <c r="D30" s="1476"/>
      <c r="E30" s="1425"/>
      <c r="F30" s="781" t="s">
        <v>2159</v>
      </c>
      <c r="G30" s="849" t="s">
        <v>2242</v>
      </c>
      <c r="H30" s="839"/>
      <c r="I30" s="839"/>
      <c r="J30" s="839"/>
      <c r="K30" s="839"/>
      <c r="L30" s="840">
        <f>'１．ガス単位換算_～R6建物系'!AG15</f>
        <v>0</v>
      </c>
      <c r="M30" s="840">
        <f>'１．ガス単位換算_～R6建物系'!AH15</f>
        <v>0</v>
      </c>
      <c r="N30" s="840">
        <f>'１．ガス単位換算_～R6建物系'!AI15</f>
        <v>0</v>
      </c>
      <c r="O30" s="840">
        <f>'１．ガス単位換算_～R6建物系'!AJ15</f>
        <v>0</v>
      </c>
      <c r="P30" s="840">
        <f>'１．ガス単位換算_～R6建物系'!AK15</f>
        <v>0</v>
      </c>
      <c r="Q30" s="840">
        <f>'１．ガス単位換算_～R6建物系'!AL15</f>
        <v>0</v>
      </c>
      <c r="R30" s="840">
        <f>'１．ガス単位換算_～R6建物系'!AM15</f>
        <v>0</v>
      </c>
      <c r="S30" s="840">
        <f>'１．ガス単位換算_～R6建物系'!AN15</f>
        <v>0</v>
      </c>
      <c r="T30" s="840">
        <f>'１．ガス単位換算_～R6建物系'!AO15</f>
        <v>0</v>
      </c>
      <c r="U30" s="840">
        <f>'１．ガス単位換算_～R6建物系'!AP15</f>
        <v>0</v>
      </c>
      <c r="V30" s="840">
        <f>'１．ガス単位換算_～R6建物系'!AQ15</f>
        <v>0</v>
      </c>
      <c r="W30" s="840">
        <f>'１．ガス単位換算_～R6建物系'!AR15</f>
        <v>0</v>
      </c>
      <c r="X30" s="840">
        <f>'１．ガス単位換算_～R6建物系'!AS15</f>
        <v>0</v>
      </c>
      <c r="Y30" s="840">
        <f>'１．ガス単位換算_～R6建物系'!AT15</f>
        <v>0</v>
      </c>
      <c r="Z30" s="840">
        <f>'１．ガス単位換算_～R6建物系'!AU15</f>
        <v>0</v>
      </c>
      <c r="AA30" s="840">
        <f>'１．ガス単位換算_～R6建物系'!AV15</f>
        <v>0</v>
      </c>
      <c r="AB30" s="840">
        <f>'１．ガス単位換算_～R6建物系'!AW15</f>
        <v>0</v>
      </c>
      <c r="AC30" s="840">
        <f>'１．ガス単位換算_～R6建物系'!AX15</f>
        <v>0</v>
      </c>
      <c r="AD30" s="840">
        <f>'１．ガス単位換算_～R6建物系'!AY15</f>
        <v>0</v>
      </c>
      <c r="AE30" s="840">
        <f>'１．ガス単位換算_～R6建物系'!AZ15</f>
        <v>0</v>
      </c>
      <c r="AF30" s="840">
        <f>'１．ガス単位換算_～R6建物系'!BA15</f>
        <v>0</v>
      </c>
      <c r="AG30" s="840">
        <f>'１．ガス単位換算_～R6建物系'!BB15</f>
        <v>0</v>
      </c>
      <c r="AH30" s="840">
        <f>'１．ガス単位換算_～R6建物系'!BC15</f>
        <v>0</v>
      </c>
      <c r="AI30" s="839"/>
      <c r="AJ30" s="839"/>
      <c r="AK30" s="839"/>
      <c r="AL30" s="839"/>
      <c r="AM30" s="839"/>
      <c r="AN30" s="839"/>
      <c r="AO30" s="839"/>
      <c r="AP30" s="839"/>
      <c r="AQ30" s="839"/>
      <c r="AR30" s="839"/>
      <c r="AS30" s="839"/>
      <c r="AT30" s="839"/>
      <c r="AU30" s="839"/>
      <c r="AV30" s="839"/>
      <c r="AW30" s="839"/>
      <c r="AX30" s="839"/>
      <c r="AY30" s="839"/>
      <c r="AZ30" s="839"/>
      <c r="BA30" s="839"/>
      <c r="BB30" s="839"/>
      <c r="BC30" s="839"/>
      <c r="BD30" s="839"/>
      <c r="BE30" s="839"/>
      <c r="BF30" s="839"/>
      <c r="BG30" s="839"/>
      <c r="BH30" s="839"/>
      <c r="BI30" s="839"/>
      <c r="BJ30" s="840">
        <f t="shared" si="0"/>
        <v>0</v>
      </c>
      <c r="BK30" s="840">
        <f t="shared" si="1"/>
        <v>0</v>
      </c>
      <c r="BL30" s="840">
        <f t="shared" si="2"/>
        <v>0</v>
      </c>
      <c r="BM30" s="840">
        <f t="shared" si="3"/>
        <v>0</v>
      </c>
      <c r="BN30" s="840">
        <f t="shared" si="4"/>
        <v>0</v>
      </c>
      <c r="BO30" s="840">
        <f t="shared" si="5"/>
        <v>0</v>
      </c>
      <c r="BP30" s="840">
        <f t="shared" si="6"/>
        <v>0</v>
      </c>
      <c r="BQ30" s="840">
        <f t="shared" si="7"/>
        <v>0</v>
      </c>
      <c r="BR30" s="840">
        <f t="shared" si="8"/>
        <v>0</v>
      </c>
      <c r="BS30" s="840">
        <f t="shared" si="9"/>
        <v>0</v>
      </c>
      <c r="BT30" s="840">
        <f t="shared" si="10"/>
        <v>0</v>
      </c>
      <c r="BU30" s="840">
        <f t="shared" si="11"/>
        <v>0</v>
      </c>
      <c r="BV30" s="840">
        <f t="shared" si="12"/>
        <v>0</v>
      </c>
      <c r="BW30" s="840">
        <f t="shared" si="13"/>
        <v>0</v>
      </c>
      <c r="BX30" s="840">
        <f t="shared" si="14"/>
        <v>0</v>
      </c>
      <c r="BY30" s="840">
        <f t="shared" si="15"/>
        <v>0</v>
      </c>
      <c r="BZ30" s="840">
        <f t="shared" si="16"/>
        <v>0</v>
      </c>
      <c r="CA30" s="840">
        <f t="shared" si="48"/>
        <v>0</v>
      </c>
      <c r="CB30" s="840">
        <f t="shared" si="48"/>
        <v>0</v>
      </c>
      <c r="CC30" s="840">
        <f t="shared" si="48"/>
        <v>0</v>
      </c>
      <c r="CD30" s="840">
        <f t="shared" si="48"/>
        <v>0</v>
      </c>
      <c r="CE30" s="840">
        <f t="shared" si="48"/>
        <v>0</v>
      </c>
      <c r="CF30" s="840">
        <f t="shared" si="48"/>
        <v>0</v>
      </c>
      <c r="CG30" s="840">
        <f t="shared" si="18"/>
        <v>1</v>
      </c>
      <c r="CH30" s="847" t="s">
        <v>2235</v>
      </c>
      <c r="CI30" s="840">
        <f t="shared" si="19"/>
        <v>0</v>
      </c>
      <c r="CJ30" s="840">
        <f t="shared" si="20"/>
        <v>0</v>
      </c>
      <c r="CK30" s="840">
        <f t="shared" si="21"/>
        <v>0</v>
      </c>
      <c r="CL30" s="840">
        <f t="shared" si="22"/>
        <v>0</v>
      </c>
      <c r="CM30" s="840">
        <f t="shared" si="23"/>
        <v>0</v>
      </c>
      <c r="CN30" s="840">
        <f t="shared" si="24"/>
        <v>0</v>
      </c>
      <c r="CO30" s="840">
        <f t="shared" si="25"/>
        <v>0</v>
      </c>
      <c r="CP30" s="840">
        <f t="shared" si="26"/>
        <v>0</v>
      </c>
      <c r="CQ30" s="840">
        <f t="shared" si="27"/>
        <v>0</v>
      </c>
      <c r="CR30" s="840">
        <f t="shared" si="28"/>
        <v>0</v>
      </c>
      <c r="CS30" s="840">
        <f t="shared" si="29"/>
        <v>0</v>
      </c>
      <c r="CT30" s="840">
        <f t="shared" si="30"/>
        <v>0</v>
      </c>
      <c r="CU30" s="840">
        <f t="shared" si="31"/>
        <v>0</v>
      </c>
      <c r="CV30" s="840">
        <f t="shared" si="32"/>
        <v>0</v>
      </c>
      <c r="CW30" s="840">
        <f t="shared" si="33"/>
        <v>0</v>
      </c>
      <c r="CX30" s="840">
        <f t="shared" si="34"/>
        <v>0</v>
      </c>
      <c r="CY30" s="840">
        <f t="shared" si="35"/>
        <v>0</v>
      </c>
      <c r="CZ30" s="840">
        <f t="shared" si="36"/>
        <v>0</v>
      </c>
      <c r="DA30" s="840">
        <f t="shared" si="37"/>
        <v>0</v>
      </c>
      <c r="DB30" s="840">
        <f t="shared" si="38"/>
        <v>0</v>
      </c>
      <c r="DC30" s="840">
        <f t="shared" si="39"/>
        <v>0</v>
      </c>
      <c r="DD30" s="840">
        <f t="shared" si="40"/>
        <v>0</v>
      </c>
      <c r="DE30" s="840">
        <f t="shared" si="41"/>
        <v>0</v>
      </c>
      <c r="DF30" s="840">
        <f t="shared" si="52"/>
        <v>0</v>
      </c>
      <c r="DG30" s="840">
        <f t="shared" si="52"/>
        <v>0</v>
      </c>
      <c r="DH30" s="840">
        <f t="shared" si="52"/>
        <v>0</v>
      </c>
      <c r="DI30" s="840">
        <f t="shared" si="52"/>
        <v>0</v>
      </c>
      <c r="DJ30" s="840">
        <f t="shared" si="52"/>
        <v>0</v>
      </c>
      <c r="DK30" s="840">
        <f t="shared" si="52"/>
        <v>0</v>
      </c>
      <c r="DL30" s="840">
        <f t="shared" si="52"/>
        <v>0</v>
      </c>
      <c r="DM30" s="840">
        <f t="shared" si="52"/>
        <v>0</v>
      </c>
      <c r="DN30" s="840">
        <f t="shared" si="52"/>
        <v>0</v>
      </c>
      <c r="DO30" s="840">
        <f t="shared" si="52"/>
        <v>0</v>
      </c>
      <c r="DP30" s="840">
        <f t="shared" si="52"/>
        <v>0</v>
      </c>
      <c r="DQ30" s="840">
        <f t="shared" si="52"/>
        <v>0</v>
      </c>
      <c r="DR30" s="840">
        <f t="shared" si="52"/>
        <v>0</v>
      </c>
      <c r="DS30" s="840">
        <f t="shared" si="52"/>
        <v>0</v>
      </c>
      <c r="DT30" s="840">
        <f t="shared" si="52"/>
        <v>0</v>
      </c>
      <c r="DU30" s="840">
        <f t="shared" si="49"/>
        <v>0</v>
      </c>
      <c r="DV30" s="840">
        <f t="shared" si="43"/>
        <v>0</v>
      </c>
      <c r="DW30" s="840">
        <f t="shared" si="43"/>
        <v>0</v>
      </c>
      <c r="DX30" s="840">
        <f t="shared" si="43"/>
        <v>0</v>
      </c>
      <c r="DY30" s="840">
        <f t="shared" si="43"/>
        <v>0</v>
      </c>
      <c r="DZ30" s="840">
        <f t="shared" si="43"/>
        <v>0</v>
      </c>
      <c r="EA30" s="840">
        <f t="shared" si="43"/>
        <v>0</v>
      </c>
      <c r="EB30" s="840">
        <f t="shared" si="43"/>
        <v>0</v>
      </c>
      <c r="EC30" s="840">
        <f t="shared" si="53"/>
        <v>0</v>
      </c>
      <c r="ED30" s="840">
        <f t="shared" si="53"/>
        <v>0</v>
      </c>
      <c r="EE30" s="840">
        <f t="shared" si="53"/>
        <v>0</v>
      </c>
      <c r="EF30" s="840">
        <f t="shared" si="53"/>
        <v>0</v>
      </c>
      <c r="EG30" s="840">
        <f t="shared" si="53"/>
        <v>0</v>
      </c>
      <c r="EH30" s="840">
        <f t="shared" si="53"/>
        <v>0</v>
      </c>
      <c r="EI30" s="840">
        <f t="shared" si="53"/>
        <v>0</v>
      </c>
      <c r="EJ30" s="840">
        <f t="shared" si="53"/>
        <v>0</v>
      </c>
      <c r="EK30" s="840">
        <f t="shared" si="53"/>
        <v>0</v>
      </c>
      <c r="EL30" s="840">
        <f t="shared" si="53"/>
        <v>0</v>
      </c>
      <c r="EM30" s="840">
        <f t="shared" si="53"/>
        <v>0</v>
      </c>
      <c r="EN30" s="840">
        <f t="shared" si="53"/>
        <v>0</v>
      </c>
      <c r="EO30" s="840">
        <f t="shared" si="53"/>
        <v>0</v>
      </c>
      <c r="EP30" s="840">
        <f t="shared" si="53"/>
        <v>0</v>
      </c>
      <c r="EQ30" s="840">
        <f t="shared" si="53"/>
        <v>0</v>
      </c>
      <c r="ER30" s="840">
        <f t="shared" si="50"/>
        <v>0</v>
      </c>
      <c r="ES30" s="840">
        <f t="shared" si="45"/>
        <v>0</v>
      </c>
      <c r="ET30" s="840">
        <f t="shared" si="45"/>
        <v>0</v>
      </c>
      <c r="EU30" s="840">
        <f t="shared" si="45"/>
        <v>0</v>
      </c>
      <c r="EV30" s="840">
        <f t="shared" si="45"/>
        <v>0</v>
      </c>
      <c r="EW30" s="840">
        <f t="shared" si="45"/>
        <v>0</v>
      </c>
      <c r="EX30" s="840">
        <f t="shared" si="45"/>
        <v>0</v>
      </c>
      <c r="EY30" s="840">
        <f t="shared" si="45"/>
        <v>0</v>
      </c>
      <c r="EZ30" s="842">
        <f t="shared" si="54"/>
        <v>0</v>
      </c>
      <c r="FA30" s="842">
        <f t="shared" si="54"/>
        <v>0</v>
      </c>
      <c r="FB30" s="842">
        <f t="shared" si="54"/>
        <v>0</v>
      </c>
      <c r="FC30" s="842">
        <f t="shared" si="54"/>
        <v>0</v>
      </c>
      <c r="FD30" s="842">
        <f t="shared" si="54"/>
        <v>0</v>
      </c>
      <c r="FE30" s="842">
        <f t="shared" si="54"/>
        <v>0</v>
      </c>
      <c r="FF30" s="842">
        <f t="shared" si="54"/>
        <v>0</v>
      </c>
      <c r="FG30" s="842">
        <f t="shared" si="54"/>
        <v>0</v>
      </c>
      <c r="FH30" s="842">
        <f t="shared" si="54"/>
        <v>0</v>
      </c>
      <c r="FI30" s="842">
        <f t="shared" si="54"/>
        <v>0</v>
      </c>
      <c r="FJ30" s="842">
        <f t="shared" si="54"/>
        <v>0</v>
      </c>
      <c r="FK30" s="842">
        <f t="shared" si="54"/>
        <v>0</v>
      </c>
      <c r="FL30" s="842">
        <f t="shared" si="54"/>
        <v>0</v>
      </c>
      <c r="FM30" s="842">
        <f t="shared" si="54"/>
        <v>0</v>
      </c>
      <c r="FN30" s="842">
        <f t="shared" si="54"/>
        <v>0</v>
      </c>
      <c r="FO30" s="842">
        <f t="shared" si="51"/>
        <v>0</v>
      </c>
      <c r="FP30" s="842">
        <f t="shared" si="47"/>
        <v>0</v>
      </c>
      <c r="FQ30" s="842">
        <f t="shared" si="47"/>
        <v>0</v>
      </c>
      <c r="FR30" s="842">
        <f t="shared" si="47"/>
        <v>0</v>
      </c>
      <c r="FS30" s="842">
        <f t="shared" si="47"/>
        <v>0</v>
      </c>
      <c r="FT30" s="842">
        <f t="shared" si="47"/>
        <v>0</v>
      </c>
      <c r="FU30" s="842">
        <f t="shared" si="47"/>
        <v>0</v>
      </c>
      <c r="FV30" s="842">
        <f t="shared" si="47"/>
        <v>0</v>
      </c>
      <c r="FW30" s="843">
        <v>46.04</v>
      </c>
      <c r="FX30" s="848" t="s">
        <v>2236</v>
      </c>
      <c r="FY30" s="843">
        <v>1.3599999999999999E-2</v>
      </c>
      <c r="FZ30" s="844" t="s">
        <v>2232</v>
      </c>
    </row>
    <row r="31" spans="3:186" ht="23.25" customHeight="1">
      <c r="C31" s="1487"/>
      <c r="D31" s="1476"/>
      <c r="E31" s="1425"/>
      <c r="F31" s="781" t="s">
        <v>2160</v>
      </c>
      <c r="G31" s="849" t="s">
        <v>2242</v>
      </c>
      <c r="H31" s="839"/>
      <c r="I31" s="839"/>
      <c r="J31" s="839"/>
      <c r="K31" s="839"/>
      <c r="L31" s="840">
        <f>'１．ガス単位換算_～R6建物系'!AG18</f>
        <v>0</v>
      </c>
      <c r="M31" s="840">
        <f>'１．ガス単位換算_～R6建物系'!AH18</f>
        <v>0</v>
      </c>
      <c r="N31" s="840">
        <f>'１．ガス単位換算_～R6建物系'!AI18</f>
        <v>0</v>
      </c>
      <c r="O31" s="840">
        <f>'１．ガス単位換算_～R6建物系'!AJ18</f>
        <v>0</v>
      </c>
      <c r="P31" s="840">
        <f>'１．ガス単位換算_～R6建物系'!AK18</f>
        <v>0</v>
      </c>
      <c r="Q31" s="840">
        <f>'１．ガス単位換算_～R6建物系'!AL18</f>
        <v>0</v>
      </c>
      <c r="R31" s="840">
        <f>'１．ガス単位換算_～R6建物系'!AM18</f>
        <v>0</v>
      </c>
      <c r="S31" s="840">
        <f>'１．ガス単位換算_～R6建物系'!AN18</f>
        <v>0</v>
      </c>
      <c r="T31" s="840">
        <f>'１．ガス単位換算_～R6建物系'!AO18</f>
        <v>0</v>
      </c>
      <c r="U31" s="840">
        <f>'１．ガス単位換算_～R6建物系'!AP18</f>
        <v>0</v>
      </c>
      <c r="V31" s="840">
        <f>'１．ガス単位換算_～R6建物系'!AQ18</f>
        <v>0</v>
      </c>
      <c r="W31" s="840">
        <f>'１．ガス単位換算_～R6建物系'!AR18</f>
        <v>0</v>
      </c>
      <c r="X31" s="840">
        <f>'１．ガス単位換算_～R6建物系'!AS18</f>
        <v>0</v>
      </c>
      <c r="Y31" s="840">
        <f>'１．ガス単位換算_～R6建物系'!AT18</f>
        <v>0</v>
      </c>
      <c r="Z31" s="840">
        <f>'１．ガス単位換算_～R6建物系'!AU18</f>
        <v>0</v>
      </c>
      <c r="AA31" s="840">
        <f>'１．ガス単位換算_～R6建物系'!AV18</f>
        <v>0</v>
      </c>
      <c r="AB31" s="840">
        <f>'１．ガス単位換算_～R6建物系'!AW18</f>
        <v>0</v>
      </c>
      <c r="AC31" s="840">
        <f>'１．ガス単位換算_～R6建物系'!AX18</f>
        <v>0</v>
      </c>
      <c r="AD31" s="840">
        <f>'１．ガス単位換算_～R6建物系'!AY18</f>
        <v>0</v>
      </c>
      <c r="AE31" s="840">
        <f>'１．ガス単位換算_～R6建物系'!AZ18</f>
        <v>0</v>
      </c>
      <c r="AF31" s="840">
        <f>'１．ガス単位換算_～R6建物系'!BA18</f>
        <v>0</v>
      </c>
      <c r="AG31" s="840">
        <f>'１．ガス単位換算_～R6建物系'!BB18</f>
        <v>0</v>
      </c>
      <c r="AH31" s="840">
        <f>'１．ガス単位換算_～R6建物系'!BC18</f>
        <v>0</v>
      </c>
      <c r="AI31" s="839"/>
      <c r="AJ31" s="839"/>
      <c r="AK31" s="839"/>
      <c r="AL31" s="839"/>
      <c r="AM31" s="839"/>
      <c r="AN31" s="839"/>
      <c r="AO31" s="839"/>
      <c r="AP31" s="839"/>
      <c r="AQ31" s="839"/>
      <c r="AR31" s="839"/>
      <c r="AS31" s="839"/>
      <c r="AT31" s="839"/>
      <c r="AU31" s="839"/>
      <c r="AV31" s="839"/>
      <c r="AW31" s="839"/>
      <c r="AX31" s="839"/>
      <c r="AY31" s="839"/>
      <c r="AZ31" s="839"/>
      <c r="BA31" s="839"/>
      <c r="BB31" s="839"/>
      <c r="BC31" s="839"/>
      <c r="BD31" s="839"/>
      <c r="BE31" s="839"/>
      <c r="BF31" s="839"/>
      <c r="BG31" s="839"/>
      <c r="BH31" s="839"/>
      <c r="BI31" s="839"/>
      <c r="BJ31" s="840">
        <f t="shared" si="0"/>
        <v>0</v>
      </c>
      <c r="BK31" s="840">
        <f t="shared" si="1"/>
        <v>0</v>
      </c>
      <c r="BL31" s="840">
        <f t="shared" si="2"/>
        <v>0</v>
      </c>
      <c r="BM31" s="840">
        <f t="shared" si="3"/>
        <v>0</v>
      </c>
      <c r="BN31" s="840">
        <f t="shared" si="4"/>
        <v>0</v>
      </c>
      <c r="BO31" s="840">
        <f t="shared" si="5"/>
        <v>0</v>
      </c>
      <c r="BP31" s="840">
        <f t="shared" si="6"/>
        <v>0</v>
      </c>
      <c r="BQ31" s="840">
        <f t="shared" si="7"/>
        <v>0</v>
      </c>
      <c r="BR31" s="840">
        <f t="shared" si="8"/>
        <v>0</v>
      </c>
      <c r="BS31" s="840">
        <f t="shared" si="9"/>
        <v>0</v>
      </c>
      <c r="BT31" s="840">
        <f t="shared" si="10"/>
        <v>0</v>
      </c>
      <c r="BU31" s="840">
        <f t="shared" si="11"/>
        <v>0</v>
      </c>
      <c r="BV31" s="840">
        <f t="shared" si="12"/>
        <v>0</v>
      </c>
      <c r="BW31" s="840">
        <f t="shared" si="13"/>
        <v>0</v>
      </c>
      <c r="BX31" s="840">
        <f t="shared" si="14"/>
        <v>0</v>
      </c>
      <c r="BY31" s="840">
        <f t="shared" si="15"/>
        <v>0</v>
      </c>
      <c r="BZ31" s="840">
        <f t="shared" si="16"/>
        <v>0</v>
      </c>
      <c r="CA31" s="840">
        <f t="shared" si="48"/>
        <v>0</v>
      </c>
      <c r="CB31" s="840">
        <f t="shared" si="48"/>
        <v>0</v>
      </c>
      <c r="CC31" s="840">
        <f t="shared" si="48"/>
        <v>0</v>
      </c>
      <c r="CD31" s="840">
        <f t="shared" si="48"/>
        <v>0</v>
      </c>
      <c r="CE31" s="840">
        <f t="shared" si="48"/>
        <v>0</v>
      </c>
      <c r="CF31" s="840">
        <f t="shared" si="48"/>
        <v>0</v>
      </c>
      <c r="CG31" s="840">
        <f t="shared" si="18"/>
        <v>1</v>
      </c>
      <c r="CH31" s="847" t="s">
        <v>2235</v>
      </c>
      <c r="CI31" s="840">
        <f t="shared" si="19"/>
        <v>0</v>
      </c>
      <c r="CJ31" s="840">
        <f t="shared" si="20"/>
        <v>0</v>
      </c>
      <c r="CK31" s="840">
        <f t="shared" si="21"/>
        <v>0</v>
      </c>
      <c r="CL31" s="840">
        <f t="shared" si="22"/>
        <v>0</v>
      </c>
      <c r="CM31" s="840">
        <f t="shared" si="23"/>
        <v>0</v>
      </c>
      <c r="CN31" s="840">
        <f t="shared" si="24"/>
        <v>0</v>
      </c>
      <c r="CO31" s="840">
        <f t="shared" si="25"/>
        <v>0</v>
      </c>
      <c r="CP31" s="840">
        <f t="shared" si="26"/>
        <v>0</v>
      </c>
      <c r="CQ31" s="840">
        <f t="shared" si="27"/>
        <v>0</v>
      </c>
      <c r="CR31" s="840">
        <f t="shared" si="28"/>
        <v>0</v>
      </c>
      <c r="CS31" s="840">
        <f t="shared" si="29"/>
        <v>0</v>
      </c>
      <c r="CT31" s="840">
        <f t="shared" si="30"/>
        <v>0</v>
      </c>
      <c r="CU31" s="840">
        <f t="shared" si="31"/>
        <v>0</v>
      </c>
      <c r="CV31" s="840">
        <f t="shared" si="32"/>
        <v>0</v>
      </c>
      <c r="CW31" s="840">
        <f t="shared" si="33"/>
        <v>0</v>
      </c>
      <c r="CX31" s="840">
        <f t="shared" si="34"/>
        <v>0</v>
      </c>
      <c r="CY31" s="840">
        <f t="shared" si="35"/>
        <v>0</v>
      </c>
      <c r="CZ31" s="840">
        <f t="shared" si="36"/>
        <v>0</v>
      </c>
      <c r="DA31" s="840">
        <f t="shared" si="37"/>
        <v>0</v>
      </c>
      <c r="DB31" s="840">
        <f t="shared" si="38"/>
        <v>0</v>
      </c>
      <c r="DC31" s="840">
        <f t="shared" si="39"/>
        <v>0</v>
      </c>
      <c r="DD31" s="840">
        <f t="shared" si="40"/>
        <v>0</v>
      </c>
      <c r="DE31" s="840">
        <f t="shared" si="41"/>
        <v>0</v>
      </c>
      <c r="DF31" s="840">
        <f t="shared" si="52"/>
        <v>0</v>
      </c>
      <c r="DG31" s="840">
        <f t="shared" si="52"/>
        <v>0</v>
      </c>
      <c r="DH31" s="840">
        <f t="shared" si="52"/>
        <v>0</v>
      </c>
      <c r="DI31" s="840">
        <f t="shared" si="52"/>
        <v>0</v>
      </c>
      <c r="DJ31" s="840">
        <f t="shared" si="52"/>
        <v>0</v>
      </c>
      <c r="DK31" s="840">
        <f t="shared" si="52"/>
        <v>0</v>
      </c>
      <c r="DL31" s="840">
        <f t="shared" si="52"/>
        <v>0</v>
      </c>
      <c r="DM31" s="840">
        <f t="shared" si="52"/>
        <v>0</v>
      </c>
      <c r="DN31" s="840">
        <f t="shared" si="52"/>
        <v>0</v>
      </c>
      <c r="DO31" s="840">
        <f t="shared" si="52"/>
        <v>0</v>
      </c>
      <c r="DP31" s="840">
        <f t="shared" si="52"/>
        <v>0</v>
      </c>
      <c r="DQ31" s="840">
        <f t="shared" si="52"/>
        <v>0</v>
      </c>
      <c r="DR31" s="840">
        <f t="shared" si="52"/>
        <v>0</v>
      </c>
      <c r="DS31" s="840">
        <f t="shared" si="52"/>
        <v>0</v>
      </c>
      <c r="DT31" s="840">
        <f t="shared" si="52"/>
        <v>0</v>
      </c>
      <c r="DU31" s="840">
        <f t="shared" si="49"/>
        <v>0</v>
      </c>
      <c r="DV31" s="840">
        <f t="shared" si="43"/>
        <v>0</v>
      </c>
      <c r="DW31" s="840">
        <f t="shared" si="43"/>
        <v>0</v>
      </c>
      <c r="DX31" s="840">
        <f t="shared" si="43"/>
        <v>0</v>
      </c>
      <c r="DY31" s="840">
        <f t="shared" si="43"/>
        <v>0</v>
      </c>
      <c r="DZ31" s="840">
        <f t="shared" si="43"/>
        <v>0</v>
      </c>
      <c r="EA31" s="840">
        <f t="shared" si="43"/>
        <v>0</v>
      </c>
      <c r="EB31" s="840">
        <f t="shared" si="43"/>
        <v>0</v>
      </c>
      <c r="EC31" s="840">
        <f t="shared" si="53"/>
        <v>0</v>
      </c>
      <c r="ED31" s="840">
        <f t="shared" si="53"/>
        <v>0</v>
      </c>
      <c r="EE31" s="840">
        <f t="shared" si="53"/>
        <v>0</v>
      </c>
      <c r="EF31" s="840">
        <f t="shared" si="53"/>
        <v>0</v>
      </c>
      <c r="EG31" s="840">
        <f t="shared" si="53"/>
        <v>0</v>
      </c>
      <c r="EH31" s="840">
        <f t="shared" si="53"/>
        <v>0</v>
      </c>
      <c r="EI31" s="840">
        <f t="shared" si="53"/>
        <v>0</v>
      </c>
      <c r="EJ31" s="840">
        <f t="shared" si="53"/>
        <v>0</v>
      </c>
      <c r="EK31" s="840">
        <f t="shared" si="53"/>
        <v>0</v>
      </c>
      <c r="EL31" s="840">
        <f t="shared" si="53"/>
        <v>0</v>
      </c>
      <c r="EM31" s="840">
        <f t="shared" si="53"/>
        <v>0</v>
      </c>
      <c r="EN31" s="840">
        <f t="shared" si="53"/>
        <v>0</v>
      </c>
      <c r="EO31" s="840">
        <f t="shared" si="53"/>
        <v>0</v>
      </c>
      <c r="EP31" s="840">
        <f t="shared" si="53"/>
        <v>0</v>
      </c>
      <c r="EQ31" s="840">
        <f t="shared" si="53"/>
        <v>0</v>
      </c>
      <c r="ER31" s="840">
        <f t="shared" si="50"/>
        <v>0</v>
      </c>
      <c r="ES31" s="840">
        <f t="shared" si="45"/>
        <v>0</v>
      </c>
      <c r="ET31" s="840">
        <f t="shared" si="45"/>
        <v>0</v>
      </c>
      <c r="EU31" s="840">
        <f t="shared" si="45"/>
        <v>0</v>
      </c>
      <c r="EV31" s="840">
        <f t="shared" si="45"/>
        <v>0</v>
      </c>
      <c r="EW31" s="840">
        <f t="shared" si="45"/>
        <v>0</v>
      </c>
      <c r="EX31" s="840">
        <f t="shared" si="45"/>
        <v>0</v>
      </c>
      <c r="EY31" s="840">
        <f t="shared" si="45"/>
        <v>0</v>
      </c>
      <c r="EZ31" s="842">
        <f t="shared" si="54"/>
        <v>0</v>
      </c>
      <c r="FA31" s="842">
        <f t="shared" si="54"/>
        <v>0</v>
      </c>
      <c r="FB31" s="842">
        <f t="shared" si="54"/>
        <v>0</v>
      </c>
      <c r="FC31" s="842">
        <f t="shared" si="54"/>
        <v>0</v>
      </c>
      <c r="FD31" s="842">
        <f t="shared" si="54"/>
        <v>0</v>
      </c>
      <c r="FE31" s="842">
        <f t="shared" si="54"/>
        <v>0</v>
      </c>
      <c r="FF31" s="842">
        <f t="shared" si="54"/>
        <v>0</v>
      </c>
      <c r="FG31" s="842">
        <f t="shared" si="54"/>
        <v>0</v>
      </c>
      <c r="FH31" s="842">
        <f t="shared" si="54"/>
        <v>0</v>
      </c>
      <c r="FI31" s="842">
        <f t="shared" si="54"/>
        <v>0</v>
      </c>
      <c r="FJ31" s="842">
        <f t="shared" si="54"/>
        <v>0</v>
      </c>
      <c r="FK31" s="842">
        <f t="shared" si="54"/>
        <v>0</v>
      </c>
      <c r="FL31" s="842">
        <f t="shared" si="54"/>
        <v>0</v>
      </c>
      <c r="FM31" s="842">
        <f t="shared" si="54"/>
        <v>0</v>
      </c>
      <c r="FN31" s="842">
        <f t="shared" si="54"/>
        <v>0</v>
      </c>
      <c r="FO31" s="842">
        <f t="shared" si="51"/>
        <v>0</v>
      </c>
      <c r="FP31" s="842">
        <f t="shared" si="47"/>
        <v>0</v>
      </c>
      <c r="FQ31" s="842">
        <f t="shared" si="47"/>
        <v>0</v>
      </c>
      <c r="FR31" s="842">
        <f t="shared" si="47"/>
        <v>0</v>
      </c>
      <c r="FS31" s="842">
        <f t="shared" si="47"/>
        <v>0</v>
      </c>
      <c r="FT31" s="842">
        <f t="shared" si="47"/>
        <v>0</v>
      </c>
      <c r="FU31" s="842">
        <f t="shared" si="47"/>
        <v>0</v>
      </c>
      <c r="FV31" s="842">
        <f t="shared" si="47"/>
        <v>0</v>
      </c>
      <c r="FW31" s="843">
        <v>41.86</v>
      </c>
      <c r="FX31" s="848" t="s">
        <v>2236</v>
      </c>
      <c r="FY31" s="843">
        <v>1.3599999999999999E-2</v>
      </c>
      <c r="FZ31" s="844" t="s">
        <v>2232</v>
      </c>
    </row>
    <row r="32" spans="3:186" ht="23.25" customHeight="1">
      <c r="C32" s="1487"/>
      <c r="D32" s="1476"/>
      <c r="E32" s="1426"/>
      <c r="F32" s="781" t="s">
        <v>2161</v>
      </c>
      <c r="G32" s="849" t="s">
        <v>2242</v>
      </c>
      <c r="H32" s="839"/>
      <c r="I32" s="839"/>
      <c r="J32" s="839"/>
      <c r="K32" s="839"/>
      <c r="L32" s="840">
        <f>'１．ガス単位換算_～R6建物系'!AG21</f>
        <v>0</v>
      </c>
      <c r="M32" s="840">
        <f>'１．ガス単位換算_～R6建物系'!AH21</f>
        <v>0</v>
      </c>
      <c r="N32" s="840">
        <f>'１．ガス単位換算_～R6建物系'!AI21</f>
        <v>0</v>
      </c>
      <c r="O32" s="840">
        <f>'１．ガス単位換算_～R6建物系'!AJ21</f>
        <v>0</v>
      </c>
      <c r="P32" s="840">
        <f>'１．ガス単位換算_～R6建物系'!AK21</f>
        <v>0</v>
      </c>
      <c r="Q32" s="840">
        <f>'１．ガス単位換算_～R6建物系'!AL21</f>
        <v>0</v>
      </c>
      <c r="R32" s="840">
        <f>'１．ガス単位換算_～R6建物系'!AM21</f>
        <v>0</v>
      </c>
      <c r="S32" s="840">
        <f>'１．ガス単位換算_～R6建物系'!AN21</f>
        <v>0</v>
      </c>
      <c r="T32" s="840">
        <f>'１．ガス単位換算_～R6建物系'!AO21</f>
        <v>0</v>
      </c>
      <c r="U32" s="840">
        <f>'１．ガス単位換算_～R6建物系'!AP21</f>
        <v>0</v>
      </c>
      <c r="V32" s="840">
        <f>'１．ガス単位換算_～R6建物系'!AQ21</f>
        <v>0</v>
      </c>
      <c r="W32" s="840">
        <f>'１．ガス単位換算_～R6建物系'!AR21</f>
        <v>0</v>
      </c>
      <c r="X32" s="840">
        <f>'１．ガス単位換算_～R6建物系'!AS21</f>
        <v>0</v>
      </c>
      <c r="Y32" s="840">
        <f>'１．ガス単位換算_～R6建物系'!AT21</f>
        <v>0</v>
      </c>
      <c r="Z32" s="840">
        <f>'１．ガス単位換算_～R6建物系'!AU21</f>
        <v>0</v>
      </c>
      <c r="AA32" s="840">
        <f>'１．ガス単位換算_～R6建物系'!AV21</f>
        <v>0</v>
      </c>
      <c r="AB32" s="840">
        <f>'１．ガス単位換算_～R6建物系'!AW21</f>
        <v>0</v>
      </c>
      <c r="AC32" s="840">
        <f>'１．ガス単位換算_～R6建物系'!AX21</f>
        <v>0</v>
      </c>
      <c r="AD32" s="840">
        <f>'１．ガス単位換算_～R6建物系'!AY21</f>
        <v>0</v>
      </c>
      <c r="AE32" s="840">
        <f>'１．ガス単位換算_～R6建物系'!AZ21</f>
        <v>0</v>
      </c>
      <c r="AF32" s="840">
        <f>'１．ガス単位換算_～R6建物系'!BA21</f>
        <v>0</v>
      </c>
      <c r="AG32" s="840">
        <f>'１．ガス単位換算_～R6建物系'!BB21</f>
        <v>0</v>
      </c>
      <c r="AH32" s="840">
        <f>'１．ガス単位換算_～R6建物系'!BC21</f>
        <v>0</v>
      </c>
      <c r="AI32" s="839"/>
      <c r="AJ32" s="839"/>
      <c r="AK32" s="839"/>
      <c r="AL32" s="839"/>
      <c r="AM32" s="839"/>
      <c r="AN32" s="839"/>
      <c r="AO32" s="839"/>
      <c r="AP32" s="839"/>
      <c r="AQ32" s="839"/>
      <c r="AR32" s="839"/>
      <c r="AS32" s="839"/>
      <c r="AT32" s="839"/>
      <c r="AU32" s="839"/>
      <c r="AV32" s="839"/>
      <c r="AW32" s="839"/>
      <c r="AX32" s="839"/>
      <c r="AY32" s="839"/>
      <c r="AZ32" s="839"/>
      <c r="BA32" s="839"/>
      <c r="BB32" s="839"/>
      <c r="BC32" s="839"/>
      <c r="BD32" s="839"/>
      <c r="BE32" s="839"/>
      <c r="BF32" s="839"/>
      <c r="BG32" s="839"/>
      <c r="BH32" s="839"/>
      <c r="BI32" s="839"/>
      <c r="BJ32" s="840">
        <f t="shared" si="0"/>
        <v>0</v>
      </c>
      <c r="BK32" s="840">
        <f t="shared" si="1"/>
        <v>0</v>
      </c>
      <c r="BL32" s="840">
        <f t="shared" si="2"/>
        <v>0</v>
      </c>
      <c r="BM32" s="840">
        <f t="shared" si="3"/>
        <v>0</v>
      </c>
      <c r="BN32" s="840">
        <f t="shared" si="4"/>
        <v>0</v>
      </c>
      <c r="BO32" s="840">
        <f t="shared" si="5"/>
        <v>0</v>
      </c>
      <c r="BP32" s="840">
        <f t="shared" si="6"/>
        <v>0</v>
      </c>
      <c r="BQ32" s="840">
        <f t="shared" si="7"/>
        <v>0</v>
      </c>
      <c r="BR32" s="840">
        <f t="shared" si="8"/>
        <v>0</v>
      </c>
      <c r="BS32" s="840">
        <f t="shared" si="9"/>
        <v>0</v>
      </c>
      <c r="BT32" s="840">
        <f t="shared" si="10"/>
        <v>0</v>
      </c>
      <c r="BU32" s="840">
        <f t="shared" si="11"/>
        <v>0</v>
      </c>
      <c r="BV32" s="840">
        <f t="shared" si="12"/>
        <v>0</v>
      </c>
      <c r="BW32" s="840">
        <f t="shared" si="13"/>
        <v>0</v>
      </c>
      <c r="BX32" s="840">
        <f t="shared" si="14"/>
        <v>0</v>
      </c>
      <c r="BY32" s="840">
        <f t="shared" si="15"/>
        <v>0</v>
      </c>
      <c r="BZ32" s="840">
        <f t="shared" si="16"/>
        <v>0</v>
      </c>
      <c r="CA32" s="840">
        <f t="shared" si="48"/>
        <v>0</v>
      </c>
      <c r="CB32" s="840">
        <f t="shared" si="48"/>
        <v>0</v>
      </c>
      <c r="CC32" s="840">
        <f t="shared" si="48"/>
        <v>0</v>
      </c>
      <c r="CD32" s="840">
        <f t="shared" si="48"/>
        <v>0</v>
      </c>
      <c r="CE32" s="840">
        <f t="shared" si="48"/>
        <v>0</v>
      </c>
      <c r="CF32" s="840">
        <f t="shared" si="48"/>
        <v>0</v>
      </c>
      <c r="CG32" s="840">
        <f t="shared" si="18"/>
        <v>1</v>
      </c>
      <c r="CH32" s="847" t="s">
        <v>2235</v>
      </c>
      <c r="CI32" s="840">
        <f t="shared" si="19"/>
        <v>0</v>
      </c>
      <c r="CJ32" s="840">
        <f t="shared" si="20"/>
        <v>0</v>
      </c>
      <c r="CK32" s="840">
        <f t="shared" si="21"/>
        <v>0</v>
      </c>
      <c r="CL32" s="840">
        <f t="shared" si="22"/>
        <v>0</v>
      </c>
      <c r="CM32" s="840">
        <f t="shared" si="23"/>
        <v>0</v>
      </c>
      <c r="CN32" s="840">
        <f t="shared" si="24"/>
        <v>0</v>
      </c>
      <c r="CO32" s="840">
        <f t="shared" si="25"/>
        <v>0</v>
      </c>
      <c r="CP32" s="840">
        <f t="shared" si="26"/>
        <v>0</v>
      </c>
      <c r="CQ32" s="840">
        <f t="shared" si="27"/>
        <v>0</v>
      </c>
      <c r="CR32" s="840">
        <f t="shared" si="28"/>
        <v>0</v>
      </c>
      <c r="CS32" s="840">
        <f t="shared" si="29"/>
        <v>0</v>
      </c>
      <c r="CT32" s="840">
        <f t="shared" si="30"/>
        <v>0</v>
      </c>
      <c r="CU32" s="840">
        <f t="shared" si="31"/>
        <v>0</v>
      </c>
      <c r="CV32" s="840">
        <f t="shared" si="32"/>
        <v>0</v>
      </c>
      <c r="CW32" s="840">
        <f t="shared" si="33"/>
        <v>0</v>
      </c>
      <c r="CX32" s="840">
        <f t="shared" si="34"/>
        <v>0</v>
      </c>
      <c r="CY32" s="840">
        <f t="shared" si="35"/>
        <v>0</v>
      </c>
      <c r="CZ32" s="840">
        <f t="shared" si="36"/>
        <v>0</v>
      </c>
      <c r="DA32" s="840">
        <f t="shared" si="37"/>
        <v>0</v>
      </c>
      <c r="DB32" s="840">
        <f t="shared" si="38"/>
        <v>0</v>
      </c>
      <c r="DC32" s="840">
        <f t="shared" si="39"/>
        <v>0</v>
      </c>
      <c r="DD32" s="840">
        <f t="shared" si="40"/>
        <v>0</v>
      </c>
      <c r="DE32" s="840">
        <f t="shared" si="41"/>
        <v>0</v>
      </c>
      <c r="DF32" s="840">
        <f t="shared" si="52"/>
        <v>0</v>
      </c>
      <c r="DG32" s="840">
        <f t="shared" si="52"/>
        <v>0</v>
      </c>
      <c r="DH32" s="840">
        <f t="shared" si="52"/>
        <v>0</v>
      </c>
      <c r="DI32" s="840">
        <f t="shared" si="52"/>
        <v>0</v>
      </c>
      <c r="DJ32" s="840">
        <f t="shared" si="52"/>
        <v>0</v>
      </c>
      <c r="DK32" s="840">
        <f t="shared" si="52"/>
        <v>0</v>
      </c>
      <c r="DL32" s="840">
        <f t="shared" si="52"/>
        <v>0</v>
      </c>
      <c r="DM32" s="840">
        <f t="shared" si="52"/>
        <v>0</v>
      </c>
      <c r="DN32" s="840">
        <f t="shared" si="52"/>
        <v>0</v>
      </c>
      <c r="DO32" s="840">
        <f t="shared" si="52"/>
        <v>0</v>
      </c>
      <c r="DP32" s="840">
        <f t="shared" si="52"/>
        <v>0</v>
      </c>
      <c r="DQ32" s="840">
        <f t="shared" si="52"/>
        <v>0</v>
      </c>
      <c r="DR32" s="840">
        <f t="shared" si="52"/>
        <v>0</v>
      </c>
      <c r="DS32" s="840">
        <f t="shared" si="52"/>
        <v>0</v>
      </c>
      <c r="DT32" s="840">
        <f t="shared" si="52"/>
        <v>0</v>
      </c>
      <c r="DU32" s="840">
        <f t="shared" si="49"/>
        <v>0</v>
      </c>
      <c r="DV32" s="840">
        <f t="shared" si="43"/>
        <v>0</v>
      </c>
      <c r="DW32" s="840">
        <f t="shared" si="43"/>
        <v>0</v>
      </c>
      <c r="DX32" s="840">
        <f t="shared" si="43"/>
        <v>0</v>
      </c>
      <c r="DY32" s="840">
        <f t="shared" si="43"/>
        <v>0</v>
      </c>
      <c r="DZ32" s="840">
        <f t="shared" si="43"/>
        <v>0</v>
      </c>
      <c r="EA32" s="840">
        <f t="shared" si="43"/>
        <v>0</v>
      </c>
      <c r="EB32" s="840">
        <f t="shared" si="43"/>
        <v>0</v>
      </c>
      <c r="EC32" s="840">
        <f t="shared" si="53"/>
        <v>0</v>
      </c>
      <c r="ED32" s="840">
        <f t="shared" si="53"/>
        <v>0</v>
      </c>
      <c r="EE32" s="840">
        <f t="shared" si="53"/>
        <v>0</v>
      </c>
      <c r="EF32" s="840">
        <f t="shared" si="53"/>
        <v>0</v>
      </c>
      <c r="EG32" s="840">
        <f t="shared" si="53"/>
        <v>0</v>
      </c>
      <c r="EH32" s="840">
        <f t="shared" si="53"/>
        <v>0</v>
      </c>
      <c r="EI32" s="840">
        <f t="shared" si="53"/>
        <v>0</v>
      </c>
      <c r="EJ32" s="840">
        <f t="shared" si="53"/>
        <v>0</v>
      </c>
      <c r="EK32" s="840">
        <f t="shared" si="53"/>
        <v>0</v>
      </c>
      <c r="EL32" s="840">
        <f t="shared" si="53"/>
        <v>0</v>
      </c>
      <c r="EM32" s="840">
        <f t="shared" si="53"/>
        <v>0</v>
      </c>
      <c r="EN32" s="840">
        <f t="shared" si="53"/>
        <v>0</v>
      </c>
      <c r="EO32" s="840">
        <f t="shared" si="53"/>
        <v>0</v>
      </c>
      <c r="EP32" s="840">
        <f t="shared" si="53"/>
        <v>0</v>
      </c>
      <c r="EQ32" s="840">
        <f t="shared" si="53"/>
        <v>0</v>
      </c>
      <c r="ER32" s="840">
        <f t="shared" si="50"/>
        <v>0</v>
      </c>
      <c r="ES32" s="840">
        <f t="shared" si="45"/>
        <v>0</v>
      </c>
      <c r="ET32" s="840">
        <f t="shared" si="45"/>
        <v>0</v>
      </c>
      <c r="EU32" s="840">
        <f t="shared" si="45"/>
        <v>0</v>
      </c>
      <c r="EV32" s="840">
        <f t="shared" si="45"/>
        <v>0</v>
      </c>
      <c r="EW32" s="840">
        <f t="shared" si="45"/>
        <v>0</v>
      </c>
      <c r="EX32" s="840">
        <f t="shared" si="45"/>
        <v>0</v>
      </c>
      <c r="EY32" s="840">
        <f t="shared" si="45"/>
        <v>0</v>
      </c>
      <c r="EZ32" s="842">
        <f t="shared" si="54"/>
        <v>0</v>
      </c>
      <c r="FA32" s="842">
        <f t="shared" si="54"/>
        <v>0</v>
      </c>
      <c r="FB32" s="842">
        <f t="shared" si="54"/>
        <v>0</v>
      </c>
      <c r="FC32" s="842">
        <f t="shared" si="54"/>
        <v>0</v>
      </c>
      <c r="FD32" s="842">
        <f t="shared" si="54"/>
        <v>0</v>
      </c>
      <c r="FE32" s="842">
        <f t="shared" si="54"/>
        <v>0</v>
      </c>
      <c r="FF32" s="842">
        <f t="shared" si="54"/>
        <v>0</v>
      </c>
      <c r="FG32" s="842">
        <f t="shared" si="54"/>
        <v>0</v>
      </c>
      <c r="FH32" s="842">
        <f t="shared" si="54"/>
        <v>0</v>
      </c>
      <c r="FI32" s="842">
        <f t="shared" si="54"/>
        <v>0</v>
      </c>
      <c r="FJ32" s="842">
        <f t="shared" si="54"/>
        <v>0</v>
      </c>
      <c r="FK32" s="842">
        <f t="shared" si="54"/>
        <v>0</v>
      </c>
      <c r="FL32" s="842">
        <f t="shared" si="54"/>
        <v>0</v>
      </c>
      <c r="FM32" s="842">
        <f t="shared" si="54"/>
        <v>0</v>
      </c>
      <c r="FN32" s="842">
        <f t="shared" si="54"/>
        <v>0</v>
      </c>
      <c r="FO32" s="842">
        <f t="shared" si="51"/>
        <v>0</v>
      </c>
      <c r="FP32" s="842">
        <f t="shared" si="47"/>
        <v>0</v>
      </c>
      <c r="FQ32" s="842">
        <f t="shared" si="47"/>
        <v>0</v>
      </c>
      <c r="FR32" s="842">
        <f t="shared" si="47"/>
        <v>0</v>
      </c>
      <c r="FS32" s="842">
        <f t="shared" si="47"/>
        <v>0</v>
      </c>
      <c r="FT32" s="842">
        <f t="shared" si="47"/>
        <v>0</v>
      </c>
      <c r="FU32" s="842">
        <f t="shared" si="47"/>
        <v>0</v>
      </c>
      <c r="FV32" s="842">
        <f t="shared" si="47"/>
        <v>0</v>
      </c>
      <c r="FW32" s="853">
        <v>29.3</v>
      </c>
      <c r="FX32" s="848" t="s">
        <v>2236</v>
      </c>
      <c r="FY32" s="843">
        <v>1.3599999999999999E-2</v>
      </c>
      <c r="FZ32" s="844" t="s">
        <v>12</v>
      </c>
    </row>
    <row r="33" spans="3:184" ht="23.25" customHeight="1">
      <c r="C33" s="1487"/>
      <c r="D33" s="1476"/>
      <c r="E33" s="1491"/>
      <c r="F33" s="1491"/>
      <c r="G33" s="854"/>
      <c r="H33" s="839"/>
      <c r="I33" s="839"/>
      <c r="J33" s="839"/>
      <c r="K33" s="839"/>
      <c r="L33" s="839"/>
      <c r="M33" s="839"/>
      <c r="N33" s="839"/>
      <c r="O33" s="839"/>
      <c r="P33" s="839"/>
      <c r="Q33" s="839"/>
      <c r="R33" s="839"/>
      <c r="S33" s="839"/>
      <c r="T33" s="839"/>
      <c r="U33" s="839"/>
      <c r="V33" s="839"/>
      <c r="W33" s="839"/>
      <c r="X33" s="839"/>
      <c r="Y33" s="839"/>
      <c r="Z33" s="839"/>
      <c r="AA33" s="839"/>
      <c r="AB33" s="839"/>
      <c r="AC33" s="839"/>
      <c r="AD33" s="839"/>
      <c r="AE33" s="839"/>
      <c r="AF33" s="839"/>
      <c r="AG33" s="839"/>
      <c r="AH33" s="839"/>
      <c r="AI33" s="839"/>
      <c r="AJ33" s="839"/>
      <c r="AK33" s="839"/>
      <c r="AL33" s="839"/>
      <c r="AM33" s="839"/>
      <c r="AN33" s="839"/>
      <c r="AO33" s="839"/>
      <c r="AP33" s="839"/>
      <c r="AQ33" s="839"/>
      <c r="AR33" s="839"/>
      <c r="AS33" s="839"/>
      <c r="AT33" s="839"/>
      <c r="AU33" s="839"/>
      <c r="AV33" s="839"/>
      <c r="AW33" s="839"/>
      <c r="AX33" s="839"/>
      <c r="AY33" s="839"/>
      <c r="AZ33" s="839"/>
      <c r="BA33" s="839"/>
      <c r="BB33" s="839"/>
      <c r="BC33" s="839"/>
      <c r="BD33" s="839"/>
      <c r="BE33" s="839"/>
      <c r="BF33" s="839"/>
      <c r="BG33" s="839"/>
      <c r="BH33" s="839"/>
      <c r="BI33" s="839"/>
      <c r="BJ33" s="840">
        <f t="shared" si="0"/>
        <v>0</v>
      </c>
      <c r="BK33" s="840">
        <f t="shared" si="1"/>
        <v>0</v>
      </c>
      <c r="BL33" s="840">
        <f t="shared" si="2"/>
        <v>0</v>
      </c>
      <c r="BM33" s="840">
        <f t="shared" si="3"/>
        <v>0</v>
      </c>
      <c r="BN33" s="840">
        <f t="shared" si="4"/>
        <v>0</v>
      </c>
      <c r="BO33" s="840">
        <f t="shared" si="5"/>
        <v>0</v>
      </c>
      <c r="BP33" s="840">
        <f t="shared" si="6"/>
        <v>0</v>
      </c>
      <c r="BQ33" s="840">
        <f t="shared" si="7"/>
        <v>0</v>
      </c>
      <c r="BR33" s="840">
        <f t="shared" si="8"/>
        <v>0</v>
      </c>
      <c r="BS33" s="840">
        <f t="shared" si="9"/>
        <v>0</v>
      </c>
      <c r="BT33" s="840">
        <f t="shared" si="10"/>
        <v>0</v>
      </c>
      <c r="BU33" s="840">
        <f t="shared" si="11"/>
        <v>0</v>
      </c>
      <c r="BV33" s="840">
        <f t="shared" si="12"/>
        <v>0</v>
      </c>
      <c r="BW33" s="840">
        <f t="shared" si="13"/>
        <v>0</v>
      </c>
      <c r="BX33" s="840">
        <f t="shared" si="14"/>
        <v>0</v>
      </c>
      <c r="BY33" s="840">
        <f t="shared" si="15"/>
        <v>0</v>
      </c>
      <c r="BZ33" s="840">
        <f t="shared" si="16"/>
        <v>0</v>
      </c>
      <c r="CA33" s="840">
        <f t="shared" si="48"/>
        <v>0</v>
      </c>
      <c r="CB33" s="840">
        <f t="shared" si="48"/>
        <v>0</v>
      </c>
      <c r="CC33" s="840">
        <f t="shared" si="48"/>
        <v>0</v>
      </c>
      <c r="CD33" s="840">
        <f t="shared" si="48"/>
        <v>0</v>
      </c>
      <c r="CE33" s="840">
        <f t="shared" si="48"/>
        <v>0</v>
      </c>
      <c r="CF33" s="840">
        <f t="shared" si="48"/>
        <v>0</v>
      </c>
      <c r="CG33" s="855" t="str">
        <f>IF(G33="","-",VLOOKUP($G33,$GB$6:$GC$15,2,FALSE))</f>
        <v>-</v>
      </c>
      <c r="CH33" s="841"/>
      <c r="CI33" s="840">
        <f>ROUND(IF($E$33="",0,IF($G$33="",0,H14_控除後使用量/単位補正２)),0)</f>
        <v>0</v>
      </c>
      <c r="CJ33" s="840">
        <f>ROUND(IF($E$33="",0,IF($G$33="",0,H15_控除後使用量/単位補正２)),0)</f>
        <v>0</v>
      </c>
      <c r="CK33" s="840">
        <f>ROUND(IF($E$33="",0,IF($G$33="",0,H16_控除後使用量/単位補正２)),0)</f>
        <v>0</v>
      </c>
      <c r="CL33" s="840">
        <f>ROUND(IF($E$33="",0,IF($G$33="",0,H17_控除後使用量/単位補正２)),0)</f>
        <v>0</v>
      </c>
      <c r="CM33" s="840">
        <f>ROUND(IF($E$33="",0,IF($G$33="",0,H18_控除後使用量/単位補正２)),0)</f>
        <v>0</v>
      </c>
      <c r="CN33" s="840">
        <f>ROUND(IF($E$33="",0,IF($G$33="",0,H19_控除後使用量/単位補正２)),0)</f>
        <v>0</v>
      </c>
      <c r="CO33" s="840">
        <f>ROUND(IF($E$33="",0,IF($G$33="",0,H20_控除後使用量/単位補正２)),0)</f>
        <v>0</v>
      </c>
      <c r="CP33" s="840">
        <f>ROUND(IF($E$33="",0,IF($G$33="",0,H21_控除後使用量/単位補正２)),0)</f>
        <v>0</v>
      </c>
      <c r="CQ33" s="840">
        <f>ROUND(IF($E$33="",0,IF($G$33="",0,H22_控除後使用量/単位補正２)),0)</f>
        <v>0</v>
      </c>
      <c r="CR33" s="840">
        <f>ROUND(IF($E$33="",0,IF($G$33="",0,H23_控除後使用量/単位補正２)),0)</f>
        <v>0</v>
      </c>
      <c r="CS33" s="840">
        <f>ROUND(IF($E$33="",0,IF($G$33="",0,H24_控除後使用量/単位補正２)),0)</f>
        <v>0</v>
      </c>
      <c r="CT33" s="840">
        <f>ROUND(IF($E$33="",0,IF($G$33="",0,H25_控除後使用量/単位補正２)),0)</f>
        <v>0</v>
      </c>
      <c r="CU33" s="840">
        <f>ROUND(IF($E$33="",0,IF($G$33="",0,H26_控除後使用量/単位補正２)),0)</f>
        <v>0</v>
      </c>
      <c r="CV33" s="840">
        <f>ROUND(IF($E$33="",0,IF($G$33="",0,H27_控除後使用量/単位補正２)),0)</f>
        <v>0</v>
      </c>
      <c r="CW33" s="840">
        <f>ROUND(IF($E$33="",0,IF($G$33="",0,H28_控除後使用量/単位補正２)),0)</f>
        <v>0</v>
      </c>
      <c r="CX33" s="840">
        <f>ROUND(IF($E$33="",0,IF($G$33="",0,H29_控除後使用量/単位補正２)),0)</f>
        <v>0</v>
      </c>
      <c r="CY33" s="840">
        <f>ROUND(IF($E$33="",0,IF($G$33="",0,H30_控除後使用量/単位補正２)),0)</f>
        <v>0</v>
      </c>
      <c r="CZ33" s="840">
        <f t="shared" ref="CZ33:DE34" si="55">ROUND(IF($E$33="",0,IF($G$33="",0,CA33/単位補正２)),0)</f>
        <v>0</v>
      </c>
      <c r="DA33" s="840">
        <f t="shared" si="55"/>
        <v>0</v>
      </c>
      <c r="DB33" s="840">
        <f t="shared" si="55"/>
        <v>0</v>
      </c>
      <c r="DC33" s="840">
        <f t="shared" si="55"/>
        <v>0</v>
      </c>
      <c r="DD33" s="840">
        <f t="shared" si="55"/>
        <v>0</v>
      </c>
      <c r="DE33" s="840">
        <f t="shared" si="55"/>
        <v>0</v>
      </c>
      <c r="DF33" s="840">
        <f t="shared" si="52"/>
        <v>0</v>
      </c>
      <c r="DG33" s="840">
        <f t="shared" si="52"/>
        <v>0</v>
      </c>
      <c r="DH33" s="840">
        <f t="shared" si="52"/>
        <v>0</v>
      </c>
      <c r="DI33" s="840">
        <f t="shared" si="52"/>
        <v>0</v>
      </c>
      <c r="DJ33" s="840">
        <f t="shared" si="52"/>
        <v>0</v>
      </c>
      <c r="DK33" s="840">
        <f t="shared" si="52"/>
        <v>0</v>
      </c>
      <c r="DL33" s="840">
        <f t="shared" si="52"/>
        <v>0</v>
      </c>
      <c r="DM33" s="840">
        <f t="shared" si="52"/>
        <v>0</v>
      </c>
      <c r="DN33" s="840">
        <f t="shared" si="52"/>
        <v>0</v>
      </c>
      <c r="DO33" s="840">
        <f t="shared" si="52"/>
        <v>0</v>
      </c>
      <c r="DP33" s="840">
        <f t="shared" si="52"/>
        <v>0</v>
      </c>
      <c r="DQ33" s="840">
        <f t="shared" si="52"/>
        <v>0</v>
      </c>
      <c r="DR33" s="840">
        <f t="shared" si="52"/>
        <v>0</v>
      </c>
      <c r="DS33" s="840">
        <f t="shared" si="52"/>
        <v>0</v>
      </c>
      <c r="DT33" s="840">
        <f t="shared" si="52"/>
        <v>0</v>
      </c>
      <c r="DU33" s="840">
        <f t="shared" si="49"/>
        <v>0</v>
      </c>
      <c r="DV33" s="840">
        <f t="shared" si="43"/>
        <v>0</v>
      </c>
      <c r="DW33" s="840">
        <f t="shared" si="43"/>
        <v>0</v>
      </c>
      <c r="DX33" s="840">
        <f t="shared" si="43"/>
        <v>0</v>
      </c>
      <c r="DY33" s="840">
        <f t="shared" si="43"/>
        <v>0</v>
      </c>
      <c r="DZ33" s="840">
        <f t="shared" si="43"/>
        <v>0</v>
      </c>
      <c r="EA33" s="840">
        <f t="shared" si="43"/>
        <v>0</v>
      </c>
      <c r="EB33" s="840">
        <f t="shared" si="43"/>
        <v>0</v>
      </c>
      <c r="EC33" s="840">
        <f t="shared" si="53"/>
        <v>0</v>
      </c>
      <c r="ED33" s="840">
        <f t="shared" si="53"/>
        <v>0</v>
      </c>
      <c r="EE33" s="840">
        <f t="shared" si="53"/>
        <v>0</v>
      </c>
      <c r="EF33" s="840">
        <f t="shared" si="53"/>
        <v>0</v>
      </c>
      <c r="EG33" s="840">
        <f t="shared" si="53"/>
        <v>0</v>
      </c>
      <c r="EH33" s="840">
        <f t="shared" si="53"/>
        <v>0</v>
      </c>
      <c r="EI33" s="840">
        <f t="shared" si="53"/>
        <v>0</v>
      </c>
      <c r="EJ33" s="840">
        <f t="shared" si="53"/>
        <v>0</v>
      </c>
      <c r="EK33" s="840">
        <f t="shared" si="53"/>
        <v>0</v>
      </c>
      <c r="EL33" s="840">
        <f t="shared" si="53"/>
        <v>0</v>
      </c>
      <c r="EM33" s="840">
        <f t="shared" si="53"/>
        <v>0</v>
      </c>
      <c r="EN33" s="840">
        <f t="shared" si="53"/>
        <v>0</v>
      </c>
      <c r="EO33" s="840">
        <f t="shared" si="53"/>
        <v>0</v>
      </c>
      <c r="EP33" s="840">
        <f t="shared" si="53"/>
        <v>0</v>
      </c>
      <c r="EQ33" s="840">
        <f t="shared" si="53"/>
        <v>0</v>
      </c>
      <c r="ER33" s="840">
        <f t="shared" si="50"/>
        <v>0</v>
      </c>
      <c r="ES33" s="840">
        <f t="shared" si="45"/>
        <v>0</v>
      </c>
      <c r="ET33" s="840">
        <f t="shared" si="45"/>
        <v>0</v>
      </c>
      <c r="EU33" s="840">
        <f t="shared" si="45"/>
        <v>0</v>
      </c>
      <c r="EV33" s="840">
        <f t="shared" si="45"/>
        <v>0</v>
      </c>
      <c r="EW33" s="840">
        <f t="shared" si="45"/>
        <v>0</v>
      </c>
      <c r="EX33" s="840">
        <f t="shared" si="45"/>
        <v>0</v>
      </c>
      <c r="EY33" s="840">
        <f t="shared" si="45"/>
        <v>0</v>
      </c>
      <c r="EZ33" s="842">
        <f t="shared" si="54"/>
        <v>0</v>
      </c>
      <c r="FA33" s="842">
        <f t="shared" si="54"/>
        <v>0</v>
      </c>
      <c r="FB33" s="842">
        <f t="shared" si="54"/>
        <v>0</v>
      </c>
      <c r="FC33" s="842">
        <f t="shared" si="54"/>
        <v>0</v>
      </c>
      <c r="FD33" s="842">
        <f t="shared" si="54"/>
        <v>0</v>
      </c>
      <c r="FE33" s="842">
        <f t="shared" si="54"/>
        <v>0</v>
      </c>
      <c r="FF33" s="842">
        <f t="shared" si="54"/>
        <v>0</v>
      </c>
      <c r="FG33" s="842">
        <f t="shared" si="54"/>
        <v>0</v>
      </c>
      <c r="FH33" s="842">
        <f t="shared" si="54"/>
        <v>0</v>
      </c>
      <c r="FI33" s="842">
        <f t="shared" si="54"/>
        <v>0</v>
      </c>
      <c r="FJ33" s="842">
        <f t="shared" si="54"/>
        <v>0</v>
      </c>
      <c r="FK33" s="842">
        <f t="shared" si="54"/>
        <v>0</v>
      </c>
      <c r="FL33" s="842">
        <f t="shared" si="54"/>
        <v>0</v>
      </c>
      <c r="FM33" s="842">
        <f t="shared" si="54"/>
        <v>0</v>
      </c>
      <c r="FN33" s="842">
        <f t="shared" si="54"/>
        <v>0</v>
      </c>
      <c r="FO33" s="842">
        <f t="shared" si="51"/>
        <v>0</v>
      </c>
      <c r="FP33" s="842">
        <f t="shared" si="47"/>
        <v>0</v>
      </c>
      <c r="FQ33" s="842">
        <f t="shared" si="47"/>
        <v>0</v>
      </c>
      <c r="FR33" s="842">
        <f t="shared" si="47"/>
        <v>0</v>
      </c>
      <c r="FS33" s="842">
        <f t="shared" si="47"/>
        <v>0</v>
      </c>
      <c r="FT33" s="842">
        <f t="shared" si="47"/>
        <v>0</v>
      </c>
      <c r="FU33" s="842">
        <f t="shared" si="47"/>
        <v>0</v>
      </c>
      <c r="FV33" s="842">
        <f t="shared" si="47"/>
        <v>0</v>
      </c>
      <c r="FW33" s="839"/>
      <c r="FX33" s="856" t="str">
        <f>CONCATENATE("GJ/",GB33)</f>
        <v>GJ/</v>
      </c>
      <c r="FY33" s="839"/>
      <c r="FZ33" s="844" t="s">
        <v>12</v>
      </c>
      <c r="GB33" s="772" t="str">
        <f>IF(G33="","",IF(G33=$GB$6,$GB$7,IF(G33=$GB$8,$GB$9,IF(G33=$GB$10,$GB$11,IF(G33=$GB$12,$GB$13,G33)))))</f>
        <v/>
      </c>
    </row>
    <row r="34" spans="3:184" ht="23.25" customHeight="1">
      <c r="C34" s="1487"/>
      <c r="D34" s="1476"/>
      <c r="E34" s="1491"/>
      <c r="F34" s="1491"/>
      <c r="G34" s="854"/>
      <c r="H34" s="839"/>
      <c r="I34" s="839"/>
      <c r="J34" s="839"/>
      <c r="K34" s="839"/>
      <c r="L34" s="839"/>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839"/>
      <c r="AK34" s="839"/>
      <c r="AL34" s="839"/>
      <c r="AM34" s="839"/>
      <c r="AN34" s="839"/>
      <c r="AO34" s="839"/>
      <c r="AP34" s="839"/>
      <c r="AQ34" s="839"/>
      <c r="AR34" s="839"/>
      <c r="AS34" s="839"/>
      <c r="AT34" s="839"/>
      <c r="AU34" s="839"/>
      <c r="AV34" s="839"/>
      <c r="AW34" s="839"/>
      <c r="AX34" s="839"/>
      <c r="AY34" s="839"/>
      <c r="AZ34" s="839"/>
      <c r="BA34" s="839"/>
      <c r="BB34" s="839"/>
      <c r="BC34" s="839"/>
      <c r="BD34" s="839"/>
      <c r="BE34" s="839"/>
      <c r="BF34" s="839"/>
      <c r="BG34" s="839"/>
      <c r="BH34" s="839"/>
      <c r="BI34" s="839"/>
      <c r="BJ34" s="840">
        <f t="shared" si="0"/>
        <v>0</v>
      </c>
      <c r="BK34" s="840">
        <f t="shared" si="1"/>
        <v>0</v>
      </c>
      <c r="BL34" s="840">
        <f t="shared" si="2"/>
        <v>0</v>
      </c>
      <c r="BM34" s="840">
        <f t="shared" si="3"/>
        <v>0</v>
      </c>
      <c r="BN34" s="840">
        <f t="shared" si="4"/>
        <v>0</v>
      </c>
      <c r="BO34" s="840">
        <f t="shared" si="5"/>
        <v>0</v>
      </c>
      <c r="BP34" s="840">
        <f t="shared" si="6"/>
        <v>0</v>
      </c>
      <c r="BQ34" s="840">
        <f t="shared" si="7"/>
        <v>0</v>
      </c>
      <c r="BR34" s="840">
        <f t="shared" si="8"/>
        <v>0</v>
      </c>
      <c r="BS34" s="840">
        <f t="shared" si="9"/>
        <v>0</v>
      </c>
      <c r="BT34" s="840">
        <f t="shared" si="10"/>
        <v>0</v>
      </c>
      <c r="BU34" s="840">
        <f t="shared" si="11"/>
        <v>0</v>
      </c>
      <c r="BV34" s="840">
        <f t="shared" si="12"/>
        <v>0</v>
      </c>
      <c r="BW34" s="840">
        <f t="shared" si="13"/>
        <v>0</v>
      </c>
      <c r="BX34" s="840">
        <f t="shared" si="14"/>
        <v>0</v>
      </c>
      <c r="BY34" s="840">
        <f t="shared" si="15"/>
        <v>0</v>
      </c>
      <c r="BZ34" s="840">
        <f t="shared" si="16"/>
        <v>0</v>
      </c>
      <c r="CA34" s="840">
        <f t="shared" si="48"/>
        <v>0</v>
      </c>
      <c r="CB34" s="840">
        <f t="shared" si="48"/>
        <v>0</v>
      </c>
      <c r="CC34" s="840">
        <f t="shared" si="48"/>
        <v>0</v>
      </c>
      <c r="CD34" s="840">
        <f t="shared" si="48"/>
        <v>0</v>
      </c>
      <c r="CE34" s="840">
        <f t="shared" si="48"/>
        <v>0</v>
      </c>
      <c r="CF34" s="840">
        <f t="shared" si="48"/>
        <v>0</v>
      </c>
      <c r="CG34" s="855" t="str">
        <f>IF(G34="","-",VLOOKUP($G34,$GB$6:$GC$15,2,FALSE))</f>
        <v>-</v>
      </c>
      <c r="CH34" s="841"/>
      <c r="CI34" s="840">
        <f>ROUND(IF($E$34="",0,IF($G$34="",0,H14_控除後使用量/単位補正２)),0)</f>
        <v>0</v>
      </c>
      <c r="CJ34" s="840">
        <f>ROUND(IF($E$34="",0,IF($G$34="",0,H15_控除後使用量/単位補正２)),0)</f>
        <v>0</v>
      </c>
      <c r="CK34" s="840">
        <f>ROUND(IF($E$34="",0,IF($G$34="",0,H16_控除後使用量/単位補正２)),0)</f>
        <v>0</v>
      </c>
      <c r="CL34" s="840">
        <f>ROUND(IF($E$34="",0,IF($G$34="",0,H17_控除後使用量/単位補正２)),0)</f>
        <v>0</v>
      </c>
      <c r="CM34" s="840">
        <f>ROUND(IF($E$34="",0,IF($G$34="",0,H18_控除後使用量/単位補正２)),0)</f>
        <v>0</v>
      </c>
      <c r="CN34" s="840">
        <f>ROUND(IF($E$34="",0,IF($G$34="",0,H19_控除後使用量/単位補正２)),0)</f>
        <v>0</v>
      </c>
      <c r="CO34" s="840">
        <f>ROUND(IF($E$34="",0,IF($G$34="",0,H20_控除後使用量/単位補正２)),0)</f>
        <v>0</v>
      </c>
      <c r="CP34" s="840">
        <f>ROUND(IF($E$34="",0,IF($G$34="",0,H21_控除後使用量/単位補正２)),0)</f>
        <v>0</v>
      </c>
      <c r="CQ34" s="840">
        <f>ROUND(IF($E$34="",0,IF($G$34="",0,H22_控除後使用量/単位補正２)),0)</f>
        <v>0</v>
      </c>
      <c r="CR34" s="840">
        <f>ROUND(IF($E$34="",0,IF($G$34="",0,H23_控除後使用量/単位補正２)),0)</f>
        <v>0</v>
      </c>
      <c r="CS34" s="840">
        <f>ROUND(IF($E$34="",0,IF($G$34="",0,H24_控除後使用量/単位補正２)),0)</f>
        <v>0</v>
      </c>
      <c r="CT34" s="840">
        <f>ROUND(IF($E$34="",0,IF($G$34="",0,H25_控除後使用量/単位補正２)),0)</f>
        <v>0</v>
      </c>
      <c r="CU34" s="840">
        <f>ROUND(IF($E$34="",0,IF($G$34="",0,H26_控除後使用量/単位補正２)),0)</f>
        <v>0</v>
      </c>
      <c r="CV34" s="840">
        <f>ROUND(IF($E$33="",0,IF($G$33="",0,H27_控除後使用量/単位補正２)),0)</f>
        <v>0</v>
      </c>
      <c r="CW34" s="840">
        <f>ROUND(IF($E$33="",0,IF($G$33="",0,H28_控除後使用量/単位補正２)),0)</f>
        <v>0</v>
      </c>
      <c r="CX34" s="840">
        <f>ROUND(IF($E$33="",0,IF($G$33="",0,H29_控除後使用量/単位補正２)),0)</f>
        <v>0</v>
      </c>
      <c r="CY34" s="840">
        <f>ROUND(IF($E$33="",0,IF($G$33="",0,H30_控除後使用量/単位補正２)),0)</f>
        <v>0</v>
      </c>
      <c r="CZ34" s="840">
        <f t="shared" si="55"/>
        <v>0</v>
      </c>
      <c r="DA34" s="840">
        <f t="shared" si="55"/>
        <v>0</v>
      </c>
      <c r="DB34" s="840">
        <f t="shared" si="55"/>
        <v>0</v>
      </c>
      <c r="DC34" s="840">
        <f t="shared" si="55"/>
        <v>0</v>
      </c>
      <c r="DD34" s="840">
        <f t="shared" si="55"/>
        <v>0</v>
      </c>
      <c r="DE34" s="840">
        <f t="shared" si="55"/>
        <v>0</v>
      </c>
      <c r="DF34" s="840">
        <f t="shared" si="52"/>
        <v>0</v>
      </c>
      <c r="DG34" s="840">
        <f t="shared" si="52"/>
        <v>0</v>
      </c>
      <c r="DH34" s="840">
        <f t="shared" si="52"/>
        <v>0</v>
      </c>
      <c r="DI34" s="840">
        <f t="shared" si="52"/>
        <v>0</v>
      </c>
      <c r="DJ34" s="840">
        <f t="shared" si="52"/>
        <v>0</v>
      </c>
      <c r="DK34" s="840">
        <f t="shared" si="52"/>
        <v>0</v>
      </c>
      <c r="DL34" s="840">
        <f t="shared" si="52"/>
        <v>0</v>
      </c>
      <c r="DM34" s="840">
        <f t="shared" si="52"/>
        <v>0</v>
      </c>
      <c r="DN34" s="840">
        <f t="shared" si="52"/>
        <v>0</v>
      </c>
      <c r="DO34" s="840">
        <f t="shared" si="52"/>
        <v>0</v>
      </c>
      <c r="DP34" s="840">
        <f t="shared" si="52"/>
        <v>0</v>
      </c>
      <c r="DQ34" s="840">
        <f t="shared" si="52"/>
        <v>0</v>
      </c>
      <c r="DR34" s="840">
        <f t="shared" si="52"/>
        <v>0</v>
      </c>
      <c r="DS34" s="840">
        <f t="shared" si="52"/>
        <v>0</v>
      </c>
      <c r="DT34" s="840">
        <f t="shared" si="52"/>
        <v>0</v>
      </c>
      <c r="DU34" s="840">
        <f t="shared" si="49"/>
        <v>0</v>
      </c>
      <c r="DV34" s="840">
        <f t="shared" si="43"/>
        <v>0</v>
      </c>
      <c r="DW34" s="840">
        <f t="shared" si="43"/>
        <v>0</v>
      </c>
      <c r="DX34" s="840">
        <f t="shared" si="43"/>
        <v>0</v>
      </c>
      <c r="DY34" s="840">
        <f t="shared" si="43"/>
        <v>0</v>
      </c>
      <c r="DZ34" s="840">
        <f t="shared" si="43"/>
        <v>0</v>
      </c>
      <c r="EA34" s="840">
        <f t="shared" si="43"/>
        <v>0</v>
      </c>
      <c r="EB34" s="840">
        <f t="shared" si="43"/>
        <v>0</v>
      </c>
      <c r="EC34" s="840">
        <f t="shared" si="53"/>
        <v>0</v>
      </c>
      <c r="ED34" s="840">
        <f t="shared" si="53"/>
        <v>0</v>
      </c>
      <c r="EE34" s="840">
        <f t="shared" si="53"/>
        <v>0</v>
      </c>
      <c r="EF34" s="840">
        <f t="shared" si="53"/>
        <v>0</v>
      </c>
      <c r="EG34" s="840">
        <f t="shared" si="53"/>
        <v>0</v>
      </c>
      <c r="EH34" s="840">
        <f t="shared" si="53"/>
        <v>0</v>
      </c>
      <c r="EI34" s="840">
        <f t="shared" si="53"/>
        <v>0</v>
      </c>
      <c r="EJ34" s="840">
        <f t="shared" si="53"/>
        <v>0</v>
      </c>
      <c r="EK34" s="840">
        <f t="shared" si="53"/>
        <v>0</v>
      </c>
      <c r="EL34" s="840">
        <f t="shared" si="53"/>
        <v>0</v>
      </c>
      <c r="EM34" s="840">
        <f t="shared" si="53"/>
        <v>0</v>
      </c>
      <c r="EN34" s="840">
        <f t="shared" si="53"/>
        <v>0</v>
      </c>
      <c r="EO34" s="840">
        <f t="shared" si="53"/>
        <v>0</v>
      </c>
      <c r="EP34" s="840">
        <f t="shared" si="53"/>
        <v>0</v>
      </c>
      <c r="EQ34" s="840">
        <f t="shared" si="53"/>
        <v>0</v>
      </c>
      <c r="ER34" s="840">
        <f t="shared" si="50"/>
        <v>0</v>
      </c>
      <c r="ES34" s="840">
        <f t="shared" si="45"/>
        <v>0</v>
      </c>
      <c r="ET34" s="840">
        <f t="shared" si="45"/>
        <v>0</v>
      </c>
      <c r="EU34" s="840">
        <f t="shared" si="45"/>
        <v>0</v>
      </c>
      <c r="EV34" s="840">
        <f t="shared" si="45"/>
        <v>0</v>
      </c>
      <c r="EW34" s="840">
        <f t="shared" si="45"/>
        <v>0</v>
      </c>
      <c r="EX34" s="840">
        <f t="shared" si="45"/>
        <v>0</v>
      </c>
      <c r="EY34" s="840">
        <f t="shared" si="45"/>
        <v>0</v>
      </c>
      <c r="EZ34" s="842">
        <f t="shared" si="54"/>
        <v>0</v>
      </c>
      <c r="FA34" s="842">
        <f t="shared" si="54"/>
        <v>0</v>
      </c>
      <c r="FB34" s="842">
        <f t="shared" si="54"/>
        <v>0</v>
      </c>
      <c r="FC34" s="842">
        <f t="shared" si="54"/>
        <v>0</v>
      </c>
      <c r="FD34" s="842">
        <f t="shared" si="54"/>
        <v>0</v>
      </c>
      <c r="FE34" s="842">
        <f t="shared" si="54"/>
        <v>0</v>
      </c>
      <c r="FF34" s="842">
        <f t="shared" si="54"/>
        <v>0</v>
      </c>
      <c r="FG34" s="842">
        <f t="shared" si="54"/>
        <v>0</v>
      </c>
      <c r="FH34" s="842">
        <f t="shared" si="54"/>
        <v>0</v>
      </c>
      <c r="FI34" s="842">
        <f t="shared" si="54"/>
        <v>0</v>
      </c>
      <c r="FJ34" s="842">
        <f t="shared" si="54"/>
        <v>0</v>
      </c>
      <c r="FK34" s="842">
        <f t="shared" si="54"/>
        <v>0</v>
      </c>
      <c r="FL34" s="842">
        <f t="shared" si="54"/>
        <v>0</v>
      </c>
      <c r="FM34" s="842">
        <f t="shared" si="54"/>
        <v>0</v>
      </c>
      <c r="FN34" s="842">
        <f t="shared" si="54"/>
        <v>0</v>
      </c>
      <c r="FO34" s="842">
        <f t="shared" si="51"/>
        <v>0</v>
      </c>
      <c r="FP34" s="842">
        <f t="shared" si="47"/>
        <v>0</v>
      </c>
      <c r="FQ34" s="842">
        <f t="shared" si="47"/>
        <v>0</v>
      </c>
      <c r="FR34" s="842">
        <f t="shared" si="47"/>
        <v>0</v>
      </c>
      <c r="FS34" s="842">
        <f t="shared" si="47"/>
        <v>0</v>
      </c>
      <c r="FT34" s="842">
        <f t="shared" si="47"/>
        <v>0</v>
      </c>
      <c r="FU34" s="842">
        <f t="shared" si="47"/>
        <v>0</v>
      </c>
      <c r="FV34" s="842">
        <f t="shared" si="47"/>
        <v>0</v>
      </c>
      <c r="FW34" s="839"/>
      <c r="FX34" s="856" t="str">
        <f>CONCATENATE("GJ/",GB34)</f>
        <v>GJ/</v>
      </c>
      <c r="FY34" s="839"/>
      <c r="FZ34" s="844" t="s">
        <v>12</v>
      </c>
      <c r="GB34" s="772" t="str">
        <f>IF(G34="","",IF(G34=$GB$6,$GB$7,IF(G34=$GB$8,$GB$9,IF(G34=$GB$10,$GB$11,IF(G34=$GB$12,$GB$13,G34)))))</f>
        <v/>
      </c>
    </row>
    <row r="35" spans="3:184" ht="23.25" customHeight="1">
      <c r="C35" s="1488"/>
      <c r="D35" s="1437" t="s">
        <v>2244</v>
      </c>
      <c r="E35" s="1438"/>
      <c r="F35" s="1439"/>
      <c r="G35" s="857"/>
      <c r="H35" s="839"/>
      <c r="I35" s="839"/>
      <c r="J35" s="839"/>
      <c r="K35" s="839"/>
      <c r="L35" s="839"/>
      <c r="M35" s="839"/>
      <c r="N35" s="839"/>
      <c r="O35" s="839"/>
      <c r="P35" s="839"/>
      <c r="Q35" s="839"/>
      <c r="R35" s="839"/>
      <c r="S35" s="839"/>
      <c r="T35" s="839"/>
      <c r="U35" s="839"/>
      <c r="V35" s="839"/>
      <c r="W35" s="839"/>
      <c r="X35" s="839"/>
      <c r="Y35" s="839"/>
      <c r="Z35" s="839"/>
      <c r="AA35" s="839"/>
      <c r="AB35" s="839"/>
      <c r="AC35" s="839"/>
      <c r="AD35" s="839"/>
      <c r="AE35" s="839"/>
      <c r="AF35" s="839"/>
      <c r="AG35" s="839"/>
      <c r="AH35" s="839"/>
      <c r="AI35" s="839"/>
      <c r="AJ35" s="839"/>
      <c r="AK35" s="839"/>
      <c r="AL35" s="839"/>
      <c r="AM35" s="839"/>
      <c r="AN35" s="839"/>
      <c r="AO35" s="839"/>
      <c r="AP35" s="839"/>
      <c r="AQ35" s="839"/>
      <c r="AR35" s="839"/>
      <c r="AS35" s="839"/>
      <c r="AT35" s="839"/>
      <c r="AU35" s="839"/>
      <c r="AV35" s="839"/>
      <c r="AW35" s="839"/>
      <c r="AX35" s="839"/>
      <c r="AY35" s="839"/>
      <c r="AZ35" s="839"/>
      <c r="BA35" s="839"/>
      <c r="BB35" s="839"/>
      <c r="BC35" s="839"/>
      <c r="BD35" s="839"/>
      <c r="BE35" s="839"/>
      <c r="BF35" s="839"/>
      <c r="BG35" s="839"/>
      <c r="BH35" s="839"/>
      <c r="BI35" s="839"/>
      <c r="BJ35" s="840"/>
      <c r="BK35" s="840"/>
      <c r="BL35" s="840"/>
      <c r="BM35" s="840"/>
      <c r="BN35" s="840"/>
      <c r="BO35" s="840"/>
      <c r="BP35" s="840"/>
      <c r="BQ35" s="840"/>
      <c r="BR35" s="840"/>
      <c r="BS35" s="840"/>
      <c r="BT35" s="840"/>
      <c r="BU35" s="840"/>
      <c r="BV35" s="840"/>
      <c r="BW35" s="840"/>
      <c r="BX35" s="840"/>
      <c r="BY35" s="840"/>
      <c r="BZ35" s="840"/>
      <c r="CA35" s="840"/>
      <c r="CB35" s="840"/>
      <c r="CC35" s="840"/>
      <c r="CD35" s="840"/>
      <c r="CE35" s="840"/>
      <c r="CF35" s="840"/>
      <c r="CG35" s="855"/>
      <c r="CH35" s="841"/>
      <c r="CI35" s="840"/>
      <c r="CJ35" s="840"/>
      <c r="CK35" s="840"/>
      <c r="CL35" s="840"/>
      <c r="CM35" s="840"/>
      <c r="CN35" s="840"/>
      <c r="CO35" s="840"/>
      <c r="CP35" s="840"/>
      <c r="CQ35" s="840"/>
      <c r="CR35" s="840"/>
      <c r="CS35" s="840"/>
      <c r="CT35" s="840"/>
      <c r="CU35" s="840"/>
      <c r="CV35" s="840"/>
      <c r="CW35" s="840"/>
      <c r="CX35" s="840"/>
      <c r="CY35" s="840"/>
      <c r="CZ35" s="840"/>
      <c r="DA35" s="840"/>
      <c r="DB35" s="840"/>
      <c r="DC35" s="840"/>
      <c r="DD35" s="840"/>
      <c r="DE35" s="840"/>
      <c r="DF35" s="839">
        <f t="shared" ref="DF35:DV35" si="56">SUBTOTAL(9,DF6:DF34)</f>
        <v>0</v>
      </c>
      <c r="DG35" s="839">
        <f t="shared" si="56"/>
        <v>0</v>
      </c>
      <c r="DH35" s="839">
        <f t="shared" si="56"/>
        <v>0</v>
      </c>
      <c r="DI35" s="839">
        <f t="shared" si="56"/>
        <v>0</v>
      </c>
      <c r="DJ35" s="839">
        <f t="shared" si="56"/>
        <v>0</v>
      </c>
      <c r="DK35" s="839">
        <f t="shared" si="56"/>
        <v>0</v>
      </c>
      <c r="DL35" s="839">
        <f t="shared" si="56"/>
        <v>0</v>
      </c>
      <c r="DM35" s="839">
        <f t="shared" si="56"/>
        <v>0</v>
      </c>
      <c r="DN35" s="839">
        <f t="shared" si="56"/>
        <v>0</v>
      </c>
      <c r="DO35" s="839">
        <f t="shared" si="56"/>
        <v>0</v>
      </c>
      <c r="DP35" s="839">
        <f t="shared" si="56"/>
        <v>0</v>
      </c>
      <c r="DQ35" s="839">
        <f t="shared" si="56"/>
        <v>0</v>
      </c>
      <c r="DR35" s="839">
        <f t="shared" si="56"/>
        <v>0</v>
      </c>
      <c r="DS35" s="839">
        <f t="shared" si="56"/>
        <v>0</v>
      </c>
      <c r="DT35" s="839">
        <f t="shared" si="56"/>
        <v>0</v>
      </c>
      <c r="DU35" s="839">
        <f t="shared" si="56"/>
        <v>0</v>
      </c>
      <c r="DV35" s="839">
        <f t="shared" si="56"/>
        <v>0</v>
      </c>
      <c r="DW35" s="840"/>
      <c r="DX35" s="840"/>
      <c r="DY35" s="840"/>
      <c r="DZ35" s="840"/>
      <c r="EA35" s="840"/>
      <c r="EB35" s="840"/>
      <c r="EC35" s="839">
        <f t="shared" ref="EC35:ES35" si="57">SUBTOTAL(9,EC6:EC34)</f>
        <v>0</v>
      </c>
      <c r="ED35" s="839">
        <f t="shared" si="57"/>
        <v>0</v>
      </c>
      <c r="EE35" s="839">
        <f t="shared" si="57"/>
        <v>0</v>
      </c>
      <c r="EF35" s="839">
        <f t="shared" si="57"/>
        <v>0</v>
      </c>
      <c r="EG35" s="839">
        <f t="shared" si="57"/>
        <v>0</v>
      </c>
      <c r="EH35" s="839">
        <f t="shared" si="57"/>
        <v>0</v>
      </c>
      <c r="EI35" s="839">
        <f t="shared" si="57"/>
        <v>0</v>
      </c>
      <c r="EJ35" s="839">
        <f t="shared" si="57"/>
        <v>0</v>
      </c>
      <c r="EK35" s="839">
        <f t="shared" si="57"/>
        <v>0</v>
      </c>
      <c r="EL35" s="839">
        <f t="shared" si="57"/>
        <v>0</v>
      </c>
      <c r="EM35" s="839">
        <f t="shared" si="57"/>
        <v>0</v>
      </c>
      <c r="EN35" s="839">
        <f t="shared" si="57"/>
        <v>0</v>
      </c>
      <c r="EO35" s="839">
        <f t="shared" si="57"/>
        <v>0</v>
      </c>
      <c r="EP35" s="839">
        <f t="shared" si="57"/>
        <v>0</v>
      </c>
      <c r="EQ35" s="839">
        <f t="shared" si="57"/>
        <v>0</v>
      </c>
      <c r="ER35" s="839">
        <f t="shared" si="57"/>
        <v>0</v>
      </c>
      <c r="ES35" s="839">
        <f t="shared" si="57"/>
        <v>0</v>
      </c>
      <c r="ET35" s="840"/>
      <c r="EU35" s="840"/>
      <c r="EV35" s="840"/>
      <c r="EW35" s="840"/>
      <c r="EX35" s="840"/>
      <c r="EY35" s="840"/>
      <c r="EZ35" s="858">
        <f>SUBTOTAL(9,EZ6:EZ34)</f>
        <v>0</v>
      </c>
      <c r="FA35" s="858">
        <f t="shared" ref="FA35:FV35" si="58">SUBTOTAL(9,FA6:FA34)</f>
        <v>0</v>
      </c>
      <c r="FB35" s="858">
        <f t="shared" si="58"/>
        <v>0</v>
      </c>
      <c r="FC35" s="858">
        <f t="shared" si="58"/>
        <v>0</v>
      </c>
      <c r="FD35" s="858">
        <f t="shared" si="58"/>
        <v>0</v>
      </c>
      <c r="FE35" s="858">
        <f t="shared" si="58"/>
        <v>0</v>
      </c>
      <c r="FF35" s="858">
        <f t="shared" si="58"/>
        <v>0</v>
      </c>
      <c r="FG35" s="858">
        <f t="shared" si="58"/>
        <v>0</v>
      </c>
      <c r="FH35" s="858">
        <f t="shared" si="58"/>
        <v>0</v>
      </c>
      <c r="FI35" s="858">
        <f t="shared" si="58"/>
        <v>0</v>
      </c>
      <c r="FJ35" s="858">
        <f t="shared" si="58"/>
        <v>0</v>
      </c>
      <c r="FK35" s="858">
        <f t="shared" si="58"/>
        <v>0</v>
      </c>
      <c r="FL35" s="858">
        <f t="shared" si="58"/>
        <v>0</v>
      </c>
      <c r="FM35" s="858">
        <f t="shared" si="58"/>
        <v>0</v>
      </c>
      <c r="FN35" s="858">
        <f t="shared" si="58"/>
        <v>0</v>
      </c>
      <c r="FO35" s="858">
        <f t="shared" si="58"/>
        <v>0</v>
      </c>
      <c r="FP35" s="858">
        <f t="shared" si="58"/>
        <v>0</v>
      </c>
      <c r="FQ35" s="858">
        <f t="shared" si="58"/>
        <v>0</v>
      </c>
      <c r="FR35" s="858">
        <f t="shared" si="58"/>
        <v>0</v>
      </c>
      <c r="FS35" s="858">
        <f t="shared" si="58"/>
        <v>0</v>
      </c>
      <c r="FT35" s="858">
        <f t="shared" si="58"/>
        <v>0</v>
      </c>
      <c r="FU35" s="858">
        <f t="shared" si="58"/>
        <v>0</v>
      </c>
      <c r="FV35" s="858">
        <f t="shared" si="58"/>
        <v>0</v>
      </c>
      <c r="FW35" s="779"/>
      <c r="FX35" s="856"/>
      <c r="FY35" s="856"/>
      <c r="FZ35" s="844"/>
    </row>
    <row r="36" spans="3:184" ht="23.25" customHeight="1">
      <c r="C36" s="1486" t="s">
        <v>2189</v>
      </c>
      <c r="D36" s="1489" t="s">
        <v>33</v>
      </c>
      <c r="E36" s="1489"/>
      <c r="F36" s="1489"/>
      <c r="G36" s="838" t="s">
        <v>1870</v>
      </c>
      <c r="H36" s="839"/>
      <c r="I36" s="839"/>
      <c r="J36" s="839"/>
      <c r="K36" s="839"/>
      <c r="L36" s="839"/>
      <c r="M36" s="839"/>
      <c r="N36" s="839"/>
      <c r="O36" s="839"/>
      <c r="P36" s="839"/>
      <c r="Q36" s="839"/>
      <c r="R36" s="839"/>
      <c r="S36" s="839"/>
      <c r="T36" s="839"/>
      <c r="U36" s="839"/>
      <c r="V36" s="839"/>
      <c r="W36" s="839"/>
      <c r="X36" s="839"/>
      <c r="Y36" s="839"/>
      <c r="Z36" s="839"/>
      <c r="AA36" s="839"/>
      <c r="AB36" s="839"/>
      <c r="AC36" s="839"/>
      <c r="AD36" s="839"/>
      <c r="AE36" s="839"/>
      <c r="AF36" s="839"/>
      <c r="AG36" s="839"/>
      <c r="AH36" s="839"/>
      <c r="AI36" s="839"/>
      <c r="AJ36" s="839"/>
      <c r="AK36" s="839"/>
      <c r="AL36" s="839"/>
      <c r="AM36" s="839"/>
      <c r="AN36" s="839"/>
      <c r="AO36" s="839"/>
      <c r="AP36" s="839"/>
      <c r="AQ36" s="839"/>
      <c r="AR36" s="839"/>
      <c r="AS36" s="839"/>
      <c r="AT36" s="839"/>
      <c r="AU36" s="839"/>
      <c r="AV36" s="839"/>
      <c r="AW36" s="839"/>
      <c r="AX36" s="839"/>
      <c r="AY36" s="839"/>
      <c r="AZ36" s="839"/>
      <c r="BA36" s="839"/>
      <c r="BB36" s="839"/>
      <c r="BC36" s="839"/>
      <c r="BD36" s="839"/>
      <c r="BE36" s="839"/>
      <c r="BF36" s="839"/>
      <c r="BG36" s="839"/>
      <c r="BH36" s="839"/>
      <c r="BI36" s="839"/>
      <c r="BJ36" s="840">
        <f t="shared" si="0"/>
        <v>0</v>
      </c>
      <c r="BK36" s="840">
        <f t="shared" si="1"/>
        <v>0</v>
      </c>
      <c r="BL36" s="840">
        <f t="shared" si="2"/>
        <v>0</v>
      </c>
      <c r="BM36" s="840">
        <f t="shared" si="3"/>
        <v>0</v>
      </c>
      <c r="BN36" s="840">
        <f t="shared" si="4"/>
        <v>0</v>
      </c>
      <c r="BO36" s="840">
        <f t="shared" si="5"/>
        <v>0</v>
      </c>
      <c r="BP36" s="840">
        <f t="shared" si="6"/>
        <v>0</v>
      </c>
      <c r="BQ36" s="840">
        <f t="shared" si="7"/>
        <v>0</v>
      </c>
      <c r="BR36" s="840">
        <f t="shared" si="8"/>
        <v>0</v>
      </c>
      <c r="BS36" s="840">
        <f t="shared" si="9"/>
        <v>0</v>
      </c>
      <c r="BT36" s="840">
        <f t="shared" si="10"/>
        <v>0</v>
      </c>
      <c r="BU36" s="840">
        <f t="shared" si="11"/>
        <v>0</v>
      </c>
      <c r="BV36" s="840">
        <f t="shared" si="12"/>
        <v>0</v>
      </c>
      <c r="BW36" s="840">
        <f t="shared" si="13"/>
        <v>0</v>
      </c>
      <c r="BX36" s="840">
        <f t="shared" si="14"/>
        <v>0</v>
      </c>
      <c r="BY36" s="840">
        <f t="shared" si="15"/>
        <v>0</v>
      </c>
      <c r="BZ36" s="840">
        <f t="shared" si="16"/>
        <v>0</v>
      </c>
      <c r="CA36" s="840">
        <f t="shared" si="48"/>
        <v>0</v>
      </c>
      <c r="CB36" s="840">
        <f t="shared" si="48"/>
        <v>0</v>
      </c>
      <c r="CC36" s="840">
        <f t="shared" si="48"/>
        <v>0</v>
      </c>
      <c r="CD36" s="840">
        <f t="shared" si="48"/>
        <v>0</v>
      </c>
      <c r="CE36" s="840">
        <f t="shared" si="48"/>
        <v>0</v>
      </c>
      <c r="CF36" s="840">
        <f t="shared" si="48"/>
        <v>0</v>
      </c>
      <c r="CG36" s="840">
        <f>VLOOKUP($G36,$GB$6:$GC$15,2,FALSE)</f>
        <v>1000</v>
      </c>
      <c r="CH36" s="841" t="s">
        <v>7</v>
      </c>
      <c r="CI36" s="840">
        <f t="shared" ref="CI36:CI49" si="59">ROUND(H14_控除後使用量/単位補正２,0)</f>
        <v>0</v>
      </c>
      <c r="CJ36" s="840">
        <f t="shared" ref="CJ36:CJ49" si="60">ROUND(H15_控除後使用量/単位補正２,0)</f>
        <v>0</v>
      </c>
      <c r="CK36" s="840">
        <f t="shared" ref="CK36:CK49" si="61">ROUND(H16_控除後使用量/単位補正２,0)</f>
        <v>0</v>
      </c>
      <c r="CL36" s="840">
        <f t="shared" ref="CL36:CL49" si="62">ROUND(H17_控除後使用量/単位補正２,0)</f>
        <v>0</v>
      </c>
      <c r="CM36" s="840">
        <f t="shared" ref="CM36:CM49" si="63">ROUND(H18_控除後使用量/単位補正２,0)</f>
        <v>0</v>
      </c>
      <c r="CN36" s="840">
        <f t="shared" ref="CN36:CN49" si="64">ROUND(H19_控除後使用量/単位補正２,0)</f>
        <v>0</v>
      </c>
      <c r="CO36" s="840">
        <f t="shared" ref="CO36:CO49" si="65">ROUND(H20_控除後使用量/単位補正２,0)</f>
        <v>0</v>
      </c>
      <c r="CP36" s="840">
        <f t="shared" ref="CP36:CP49" si="66">ROUND(H21_控除後使用量/単位補正２,0)</f>
        <v>0</v>
      </c>
      <c r="CQ36" s="840">
        <f t="shared" ref="CQ36:CQ49" si="67">ROUND(H22_控除後使用量/単位補正２,0)</f>
        <v>0</v>
      </c>
      <c r="CR36" s="840">
        <f t="shared" ref="CR36:CR49" si="68">ROUND(H23_控除後使用量/単位補正２,0)</f>
        <v>0</v>
      </c>
      <c r="CS36" s="840">
        <f t="shared" ref="CS36:CS49" si="69">ROUND(H24_控除後使用量/単位補正２,0)</f>
        <v>0</v>
      </c>
      <c r="CT36" s="840">
        <f t="shared" ref="CT36:CT49" si="70">ROUND(H25_控除後使用量/単位補正２,0)</f>
        <v>0</v>
      </c>
      <c r="CU36" s="840">
        <f t="shared" ref="CU36:CU49" si="71">ROUND(H26_控除後使用量/単位補正２,0)</f>
        <v>0</v>
      </c>
      <c r="CV36" s="840">
        <f t="shared" ref="CV36:CV49" si="72">ROUND(H27_控除後使用量/単位補正２,0)</f>
        <v>0</v>
      </c>
      <c r="CW36" s="840">
        <f t="shared" ref="CW36:CW49" si="73">ROUND(H28_控除後使用量/単位補正２,0)</f>
        <v>0</v>
      </c>
      <c r="CX36" s="840">
        <f t="shared" ref="CX36:CX49" si="74">ROUND(H29_控除後使用量/単位補正２,0)</f>
        <v>0</v>
      </c>
      <c r="CY36" s="840">
        <f t="shared" ref="CY36:CY49" si="75">ROUND(H30_控除後使用量/単位補正２,0)</f>
        <v>0</v>
      </c>
      <c r="CZ36" s="840">
        <f t="shared" ref="CZ36:DE40" si="76">ROUND(CA36/単位補正２,0)</f>
        <v>0</v>
      </c>
      <c r="DA36" s="840">
        <f t="shared" si="76"/>
        <v>0</v>
      </c>
      <c r="DB36" s="840">
        <f t="shared" si="76"/>
        <v>0</v>
      </c>
      <c r="DC36" s="840">
        <f t="shared" si="76"/>
        <v>0</v>
      </c>
      <c r="DD36" s="840">
        <f t="shared" si="76"/>
        <v>0</v>
      </c>
      <c r="DE36" s="840">
        <f t="shared" si="76"/>
        <v>0</v>
      </c>
      <c r="DF36" s="840">
        <f t="shared" ref="DF36:DU39" si="77">CI36*$FW36</f>
        <v>0</v>
      </c>
      <c r="DG36" s="840">
        <f t="shared" si="77"/>
        <v>0</v>
      </c>
      <c r="DH36" s="840">
        <f t="shared" si="77"/>
        <v>0</v>
      </c>
      <c r="DI36" s="840">
        <f t="shared" si="77"/>
        <v>0</v>
      </c>
      <c r="DJ36" s="840">
        <f t="shared" si="77"/>
        <v>0</v>
      </c>
      <c r="DK36" s="840">
        <f t="shared" si="77"/>
        <v>0</v>
      </c>
      <c r="DL36" s="840">
        <f t="shared" si="77"/>
        <v>0</v>
      </c>
      <c r="DM36" s="840">
        <f t="shared" si="77"/>
        <v>0</v>
      </c>
      <c r="DN36" s="840">
        <f t="shared" si="77"/>
        <v>0</v>
      </c>
      <c r="DO36" s="840">
        <f t="shared" si="77"/>
        <v>0</v>
      </c>
      <c r="DP36" s="840">
        <f t="shared" si="77"/>
        <v>0</v>
      </c>
      <c r="DQ36" s="840">
        <f t="shared" si="77"/>
        <v>0</v>
      </c>
      <c r="DR36" s="840">
        <f t="shared" si="77"/>
        <v>0</v>
      </c>
      <c r="DS36" s="840">
        <f t="shared" si="77"/>
        <v>0</v>
      </c>
      <c r="DT36" s="840">
        <f t="shared" si="77"/>
        <v>0</v>
      </c>
      <c r="DU36" s="840">
        <f t="shared" si="77"/>
        <v>0</v>
      </c>
      <c r="DV36" s="840">
        <f t="shared" ref="DP36:EB39" si="78">CY36*$FW36</f>
        <v>0</v>
      </c>
      <c r="DW36" s="840">
        <f t="shared" si="78"/>
        <v>0</v>
      </c>
      <c r="DX36" s="840">
        <f t="shared" si="78"/>
        <v>0</v>
      </c>
      <c r="DY36" s="840">
        <f t="shared" si="78"/>
        <v>0</v>
      </c>
      <c r="DZ36" s="840">
        <f t="shared" si="78"/>
        <v>0</v>
      </c>
      <c r="EA36" s="840">
        <f t="shared" si="78"/>
        <v>0</v>
      </c>
      <c r="EB36" s="840">
        <f t="shared" si="78"/>
        <v>0</v>
      </c>
      <c r="EC36" s="840">
        <f t="shared" ref="EC36:ER39" si="79">DF36*$GC$19</f>
        <v>0</v>
      </c>
      <c r="ED36" s="840">
        <f t="shared" si="79"/>
        <v>0</v>
      </c>
      <c r="EE36" s="840">
        <f t="shared" si="79"/>
        <v>0</v>
      </c>
      <c r="EF36" s="840">
        <f t="shared" si="79"/>
        <v>0</v>
      </c>
      <c r="EG36" s="840">
        <f t="shared" si="79"/>
        <v>0</v>
      </c>
      <c r="EH36" s="840">
        <f t="shared" si="79"/>
        <v>0</v>
      </c>
      <c r="EI36" s="840">
        <f t="shared" si="79"/>
        <v>0</v>
      </c>
      <c r="EJ36" s="840">
        <f t="shared" si="79"/>
        <v>0</v>
      </c>
      <c r="EK36" s="840">
        <f t="shared" si="79"/>
        <v>0</v>
      </c>
      <c r="EL36" s="840">
        <f t="shared" si="79"/>
        <v>0</v>
      </c>
      <c r="EM36" s="840">
        <f t="shared" si="79"/>
        <v>0</v>
      </c>
      <c r="EN36" s="840">
        <f t="shared" si="79"/>
        <v>0</v>
      </c>
      <c r="EO36" s="840">
        <f t="shared" si="79"/>
        <v>0</v>
      </c>
      <c r="EP36" s="840">
        <f t="shared" si="79"/>
        <v>0</v>
      </c>
      <c r="EQ36" s="840">
        <f t="shared" si="79"/>
        <v>0</v>
      </c>
      <c r="ER36" s="840">
        <f t="shared" si="79"/>
        <v>0</v>
      </c>
      <c r="ES36" s="840">
        <f t="shared" ref="EM36:EY39" si="80">DV36*$GC$19</f>
        <v>0</v>
      </c>
      <c r="ET36" s="840">
        <f t="shared" si="80"/>
        <v>0</v>
      </c>
      <c r="EU36" s="840">
        <f t="shared" si="80"/>
        <v>0</v>
      </c>
      <c r="EV36" s="840">
        <f t="shared" si="80"/>
        <v>0</v>
      </c>
      <c r="EW36" s="840">
        <f t="shared" si="80"/>
        <v>0</v>
      </c>
      <c r="EX36" s="840">
        <f t="shared" si="80"/>
        <v>0</v>
      </c>
      <c r="EY36" s="840">
        <f t="shared" si="80"/>
        <v>0</v>
      </c>
      <c r="EZ36" s="842">
        <f t="shared" ref="EZ36:FO40" si="81">CI36*$FY36</f>
        <v>0</v>
      </c>
      <c r="FA36" s="842">
        <f t="shared" si="81"/>
        <v>0</v>
      </c>
      <c r="FB36" s="842">
        <f t="shared" si="81"/>
        <v>0</v>
      </c>
      <c r="FC36" s="842">
        <f t="shared" si="81"/>
        <v>0</v>
      </c>
      <c r="FD36" s="842">
        <f t="shared" si="81"/>
        <v>0</v>
      </c>
      <c r="FE36" s="842">
        <f t="shared" si="81"/>
        <v>0</v>
      </c>
      <c r="FF36" s="842">
        <f t="shared" si="81"/>
        <v>0</v>
      </c>
      <c r="FG36" s="842">
        <f t="shared" si="81"/>
        <v>0</v>
      </c>
      <c r="FH36" s="842">
        <f t="shared" si="81"/>
        <v>0</v>
      </c>
      <c r="FI36" s="842">
        <f t="shared" si="81"/>
        <v>0</v>
      </c>
      <c r="FJ36" s="842">
        <f t="shared" si="81"/>
        <v>0</v>
      </c>
      <c r="FK36" s="842">
        <f t="shared" si="81"/>
        <v>0</v>
      </c>
      <c r="FL36" s="842">
        <f t="shared" si="81"/>
        <v>0</v>
      </c>
      <c r="FM36" s="842">
        <f t="shared" si="81"/>
        <v>0</v>
      </c>
      <c r="FN36" s="842">
        <f t="shared" si="81"/>
        <v>0</v>
      </c>
      <c r="FO36" s="842">
        <f t="shared" si="81"/>
        <v>0</v>
      </c>
      <c r="FP36" s="842">
        <f t="shared" ref="FJ36:FV40" si="82">CY36*$FY36</f>
        <v>0</v>
      </c>
      <c r="FQ36" s="842">
        <f t="shared" si="82"/>
        <v>0</v>
      </c>
      <c r="FR36" s="842">
        <f t="shared" si="82"/>
        <v>0</v>
      </c>
      <c r="FS36" s="842">
        <f t="shared" si="82"/>
        <v>0</v>
      </c>
      <c r="FT36" s="842">
        <f t="shared" si="82"/>
        <v>0</v>
      </c>
      <c r="FU36" s="842">
        <f t="shared" si="82"/>
        <v>0</v>
      </c>
      <c r="FV36" s="842">
        <f t="shared" si="82"/>
        <v>0</v>
      </c>
      <c r="FW36" s="859">
        <v>1.02</v>
      </c>
      <c r="FX36" s="788" t="s">
        <v>2245</v>
      </c>
      <c r="FY36" s="843">
        <v>0.06</v>
      </c>
      <c r="FZ36" s="860" t="s">
        <v>2246</v>
      </c>
    </row>
    <row r="37" spans="3:184" ht="23.25" customHeight="1">
      <c r="C37" s="1487"/>
      <c r="D37" s="1490" t="s">
        <v>34</v>
      </c>
      <c r="E37" s="1490"/>
      <c r="F37" s="1490"/>
      <c r="G37" s="838" t="s">
        <v>1870</v>
      </c>
      <c r="H37" s="839"/>
      <c r="I37" s="839"/>
      <c r="J37" s="839"/>
      <c r="K37" s="839"/>
      <c r="L37" s="839"/>
      <c r="M37" s="839"/>
      <c r="N37" s="839"/>
      <c r="O37" s="839"/>
      <c r="P37" s="839"/>
      <c r="Q37" s="839"/>
      <c r="R37" s="839"/>
      <c r="S37" s="839"/>
      <c r="T37" s="839"/>
      <c r="U37" s="839"/>
      <c r="V37" s="839"/>
      <c r="W37" s="839"/>
      <c r="X37" s="839"/>
      <c r="Y37" s="839"/>
      <c r="Z37" s="839"/>
      <c r="AA37" s="839"/>
      <c r="AB37" s="839"/>
      <c r="AC37" s="839"/>
      <c r="AD37" s="839"/>
      <c r="AE37" s="839"/>
      <c r="AF37" s="839"/>
      <c r="AG37" s="839"/>
      <c r="AH37" s="839"/>
      <c r="AI37" s="839"/>
      <c r="AJ37" s="839"/>
      <c r="AK37" s="839"/>
      <c r="AL37" s="839"/>
      <c r="AM37" s="839"/>
      <c r="AN37" s="839"/>
      <c r="AO37" s="839"/>
      <c r="AP37" s="839"/>
      <c r="AQ37" s="839"/>
      <c r="AR37" s="839"/>
      <c r="AS37" s="839"/>
      <c r="AT37" s="839"/>
      <c r="AU37" s="839"/>
      <c r="AV37" s="839"/>
      <c r="AW37" s="839"/>
      <c r="AX37" s="839"/>
      <c r="AY37" s="839"/>
      <c r="AZ37" s="839"/>
      <c r="BA37" s="839"/>
      <c r="BB37" s="839"/>
      <c r="BC37" s="839"/>
      <c r="BD37" s="839"/>
      <c r="BE37" s="839"/>
      <c r="BF37" s="839"/>
      <c r="BG37" s="839"/>
      <c r="BH37" s="839"/>
      <c r="BI37" s="839"/>
      <c r="BJ37" s="840">
        <f t="shared" si="0"/>
        <v>0</v>
      </c>
      <c r="BK37" s="840">
        <f t="shared" si="1"/>
        <v>0</v>
      </c>
      <c r="BL37" s="840">
        <f t="shared" si="2"/>
        <v>0</v>
      </c>
      <c r="BM37" s="840">
        <f t="shared" si="3"/>
        <v>0</v>
      </c>
      <c r="BN37" s="840">
        <f t="shared" si="4"/>
        <v>0</v>
      </c>
      <c r="BO37" s="840">
        <f t="shared" si="5"/>
        <v>0</v>
      </c>
      <c r="BP37" s="840">
        <f t="shared" si="6"/>
        <v>0</v>
      </c>
      <c r="BQ37" s="840">
        <f t="shared" si="7"/>
        <v>0</v>
      </c>
      <c r="BR37" s="840">
        <f t="shared" si="8"/>
        <v>0</v>
      </c>
      <c r="BS37" s="840">
        <f t="shared" si="9"/>
        <v>0</v>
      </c>
      <c r="BT37" s="840">
        <f t="shared" si="10"/>
        <v>0</v>
      </c>
      <c r="BU37" s="840">
        <f t="shared" si="11"/>
        <v>0</v>
      </c>
      <c r="BV37" s="840">
        <f t="shared" si="12"/>
        <v>0</v>
      </c>
      <c r="BW37" s="840">
        <f t="shared" si="13"/>
        <v>0</v>
      </c>
      <c r="BX37" s="840">
        <f t="shared" si="14"/>
        <v>0</v>
      </c>
      <c r="BY37" s="840">
        <f t="shared" si="15"/>
        <v>0</v>
      </c>
      <c r="BZ37" s="840">
        <f t="shared" si="16"/>
        <v>0</v>
      </c>
      <c r="CA37" s="840">
        <f t="shared" si="48"/>
        <v>0</v>
      </c>
      <c r="CB37" s="840">
        <f t="shared" si="48"/>
        <v>0</v>
      </c>
      <c r="CC37" s="840">
        <f t="shared" si="48"/>
        <v>0</v>
      </c>
      <c r="CD37" s="840">
        <f t="shared" si="48"/>
        <v>0</v>
      </c>
      <c r="CE37" s="840">
        <f t="shared" si="48"/>
        <v>0</v>
      </c>
      <c r="CF37" s="840">
        <f t="shared" si="48"/>
        <v>0</v>
      </c>
      <c r="CG37" s="840">
        <f>VLOOKUP($G37,$GB$6:$GC$15,2,FALSE)</f>
        <v>1000</v>
      </c>
      <c r="CH37" s="841" t="s">
        <v>7</v>
      </c>
      <c r="CI37" s="840">
        <f t="shared" si="59"/>
        <v>0</v>
      </c>
      <c r="CJ37" s="840">
        <f t="shared" si="60"/>
        <v>0</v>
      </c>
      <c r="CK37" s="840">
        <f t="shared" si="61"/>
        <v>0</v>
      </c>
      <c r="CL37" s="840">
        <f t="shared" si="62"/>
        <v>0</v>
      </c>
      <c r="CM37" s="840">
        <f t="shared" si="63"/>
        <v>0</v>
      </c>
      <c r="CN37" s="840">
        <f t="shared" si="64"/>
        <v>0</v>
      </c>
      <c r="CO37" s="840">
        <f t="shared" si="65"/>
        <v>0</v>
      </c>
      <c r="CP37" s="840">
        <f t="shared" si="66"/>
        <v>0</v>
      </c>
      <c r="CQ37" s="840">
        <f t="shared" si="67"/>
        <v>0</v>
      </c>
      <c r="CR37" s="840">
        <f t="shared" si="68"/>
        <v>0</v>
      </c>
      <c r="CS37" s="840">
        <f t="shared" si="69"/>
        <v>0</v>
      </c>
      <c r="CT37" s="840">
        <f t="shared" si="70"/>
        <v>0</v>
      </c>
      <c r="CU37" s="840">
        <f t="shared" si="71"/>
        <v>0</v>
      </c>
      <c r="CV37" s="840">
        <f t="shared" si="72"/>
        <v>0</v>
      </c>
      <c r="CW37" s="840">
        <f t="shared" si="73"/>
        <v>0</v>
      </c>
      <c r="CX37" s="840">
        <f t="shared" si="74"/>
        <v>0</v>
      </c>
      <c r="CY37" s="840">
        <f t="shared" si="75"/>
        <v>0</v>
      </c>
      <c r="CZ37" s="840">
        <f t="shared" si="76"/>
        <v>0</v>
      </c>
      <c r="DA37" s="840">
        <f t="shared" si="76"/>
        <v>0</v>
      </c>
      <c r="DB37" s="840">
        <f t="shared" si="76"/>
        <v>0</v>
      </c>
      <c r="DC37" s="840">
        <f t="shared" si="76"/>
        <v>0</v>
      </c>
      <c r="DD37" s="840">
        <f t="shared" si="76"/>
        <v>0</v>
      </c>
      <c r="DE37" s="840">
        <f t="shared" si="76"/>
        <v>0</v>
      </c>
      <c r="DF37" s="840">
        <f t="shared" si="77"/>
        <v>0</v>
      </c>
      <c r="DG37" s="840">
        <f t="shared" si="77"/>
        <v>0</v>
      </c>
      <c r="DH37" s="840">
        <f t="shared" si="77"/>
        <v>0</v>
      </c>
      <c r="DI37" s="840">
        <f t="shared" si="77"/>
        <v>0</v>
      </c>
      <c r="DJ37" s="840">
        <f t="shared" si="77"/>
        <v>0</v>
      </c>
      <c r="DK37" s="840">
        <f t="shared" si="77"/>
        <v>0</v>
      </c>
      <c r="DL37" s="840">
        <f t="shared" si="77"/>
        <v>0</v>
      </c>
      <c r="DM37" s="840">
        <f t="shared" si="77"/>
        <v>0</v>
      </c>
      <c r="DN37" s="840">
        <f t="shared" si="77"/>
        <v>0</v>
      </c>
      <c r="DO37" s="840">
        <f t="shared" si="77"/>
        <v>0</v>
      </c>
      <c r="DP37" s="840">
        <f t="shared" si="78"/>
        <v>0</v>
      </c>
      <c r="DQ37" s="840">
        <f t="shared" si="78"/>
        <v>0</v>
      </c>
      <c r="DR37" s="840">
        <f t="shared" si="78"/>
        <v>0</v>
      </c>
      <c r="DS37" s="840">
        <f t="shared" si="78"/>
        <v>0</v>
      </c>
      <c r="DT37" s="840">
        <f t="shared" si="78"/>
        <v>0</v>
      </c>
      <c r="DU37" s="840">
        <f t="shared" si="78"/>
        <v>0</v>
      </c>
      <c r="DV37" s="840">
        <f t="shared" si="78"/>
        <v>0</v>
      </c>
      <c r="DW37" s="840">
        <f t="shared" si="78"/>
        <v>0</v>
      </c>
      <c r="DX37" s="840">
        <f t="shared" si="78"/>
        <v>0</v>
      </c>
      <c r="DY37" s="840">
        <f t="shared" si="78"/>
        <v>0</v>
      </c>
      <c r="DZ37" s="840">
        <f t="shared" si="78"/>
        <v>0</v>
      </c>
      <c r="EA37" s="840">
        <f t="shared" si="78"/>
        <v>0</v>
      </c>
      <c r="EB37" s="840">
        <f t="shared" si="78"/>
        <v>0</v>
      </c>
      <c r="EC37" s="840">
        <f t="shared" si="79"/>
        <v>0</v>
      </c>
      <c r="ED37" s="840">
        <f t="shared" si="79"/>
        <v>0</v>
      </c>
      <c r="EE37" s="840">
        <f t="shared" si="79"/>
        <v>0</v>
      </c>
      <c r="EF37" s="840">
        <f t="shared" si="79"/>
        <v>0</v>
      </c>
      <c r="EG37" s="840">
        <f t="shared" si="79"/>
        <v>0</v>
      </c>
      <c r="EH37" s="840">
        <f t="shared" si="79"/>
        <v>0</v>
      </c>
      <c r="EI37" s="840">
        <f t="shared" si="79"/>
        <v>0</v>
      </c>
      <c r="EJ37" s="840">
        <f t="shared" si="79"/>
        <v>0</v>
      </c>
      <c r="EK37" s="840">
        <f t="shared" si="79"/>
        <v>0</v>
      </c>
      <c r="EL37" s="840">
        <f t="shared" si="79"/>
        <v>0</v>
      </c>
      <c r="EM37" s="840">
        <f t="shared" si="80"/>
        <v>0</v>
      </c>
      <c r="EN37" s="840">
        <f t="shared" si="80"/>
        <v>0</v>
      </c>
      <c r="EO37" s="840">
        <f t="shared" si="80"/>
        <v>0</v>
      </c>
      <c r="EP37" s="840">
        <f t="shared" si="80"/>
        <v>0</v>
      </c>
      <c r="EQ37" s="840">
        <f t="shared" si="80"/>
        <v>0</v>
      </c>
      <c r="ER37" s="840">
        <f t="shared" si="80"/>
        <v>0</v>
      </c>
      <c r="ES37" s="840">
        <f t="shared" si="80"/>
        <v>0</v>
      </c>
      <c r="ET37" s="840">
        <f t="shared" si="80"/>
        <v>0</v>
      </c>
      <c r="EU37" s="840">
        <f t="shared" si="80"/>
        <v>0</v>
      </c>
      <c r="EV37" s="840">
        <f t="shared" si="80"/>
        <v>0</v>
      </c>
      <c r="EW37" s="840">
        <f t="shared" si="80"/>
        <v>0</v>
      </c>
      <c r="EX37" s="840">
        <f t="shared" si="80"/>
        <v>0</v>
      </c>
      <c r="EY37" s="840">
        <f t="shared" si="80"/>
        <v>0</v>
      </c>
      <c r="EZ37" s="842">
        <f t="shared" si="81"/>
        <v>0</v>
      </c>
      <c r="FA37" s="842">
        <f t="shared" si="81"/>
        <v>0</v>
      </c>
      <c r="FB37" s="842">
        <f t="shared" si="81"/>
        <v>0</v>
      </c>
      <c r="FC37" s="842">
        <f t="shared" si="81"/>
        <v>0</v>
      </c>
      <c r="FD37" s="842">
        <f t="shared" si="81"/>
        <v>0</v>
      </c>
      <c r="FE37" s="842">
        <f t="shared" si="81"/>
        <v>0</v>
      </c>
      <c r="FF37" s="842">
        <f t="shared" si="81"/>
        <v>0</v>
      </c>
      <c r="FG37" s="842">
        <f t="shared" si="81"/>
        <v>0</v>
      </c>
      <c r="FH37" s="842">
        <f t="shared" si="81"/>
        <v>0</v>
      </c>
      <c r="FI37" s="842">
        <f t="shared" si="81"/>
        <v>0</v>
      </c>
      <c r="FJ37" s="842">
        <f t="shared" si="82"/>
        <v>0</v>
      </c>
      <c r="FK37" s="842">
        <f t="shared" si="82"/>
        <v>0</v>
      </c>
      <c r="FL37" s="842">
        <f t="shared" si="82"/>
        <v>0</v>
      </c>
      <c r="FM37" s="842">
        <f t="shared" si="82"/>
        <v>0</v>
      </c>
      <c r="FN37" s="842">
        <f t="shared" si="82"/>
        <v>0</v>
      </c>
      <c r="FO37" s="842">
        <f t="shared" si="82"/>
        <v>0</v>
      </c>
      <c r="FP37" s="842">
        <f t="shared" si="82"/>
        <v>0</v>
      </c>
      <c r="FQ37" s="842">
        <f t="shared" si="82"/>
        <v>0</v>
      </c>
      <c r="FR37" s="842">
        <f t="shared" si="82"/>
        <v>0</v>
      </c>
      <c r="FS37" s="842">
        <f t="shared" si="82"/>
        <v>0</v>
      </c>
      <c r="FT37" s="842">
        <f t="shared" si="82"/>
        <v>0</v>
      </c>
      <c r="FU37" s="842">
        <f t="shared" si="82"/>
        <v>0</v>
      </c>
      <c r="FV37" s="842">
        <f t="shared" si="82"/>
        <v>0</v>
      </c>
      <c r="FW37" s="859">
        <v>1.36</v>
      </c>
      <c r="FX37" s="848" t="s">
        <v>2245</v>
      </c>
      <c r="FY37" s="843">
        <v>5.7000000000000002E-2</v>
      </c>
      <c r="FZ37" s="860" t="s">
        <v>2246</v>
      </c>
    </row>
    <row r="38" spans="3:184" ht="23.25" customHeight="1">
      <c r="C38" s="1487"/>
      <c r="D38" s="1489" t="s">
        <v>35</v>
      </c>
      <c r="E38" s="1489"/>
      <c r="F38" s="1489"/>
      <c r="G38" s="838" t="s">
        <v>1870</v>
      </c>
      <c r="H38" s="839"/>
      <c r="I38" s="839"/>
      <c r="J38" s="839"/>
      <c r="K38" s="839"/>
      <c r="L38" s="839"/>
      <c r="M38" s="839"/>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39"/>
      <c r="AM38" s="839"/>
      <c r="AN38" s="839"/>
      <c r="AO38" s="839"/>
      <c r="AP38" s="839"/>
      <c r="AQ38" s="839"/>
      <c r="AR38" s="839"/>
      <c r="AS38" s="839"/>
      <c r="AT38" s="839"/>
      <c r="AU38" s="839"/>
      <c r="AV38" s="839"/>
      <c r="AW38" s="839"/>
      <c r="AX38" s="839"/>
      <c r="AY38" s="839"/>
      <c r="AZ38" s="839"/>
      <c r="BA38" s="839"/>
      <c r="BB38" s="839"/>
      <c r="BC38" s="839"/>
      <c r="BD38" s="839"/>
      <c r="BE38" s="839"/>
      <c r="BF38" s="839"/>
      <c r="BG38" s="839"/>
      <c r="BH38" s="839"/>
      <c r="BI38" s="839"/>
      <c r="BJ38" s="840">
        <f t="shared" si="0"/>
        <v>0</v>
      </c>
      <c r="BK38" s="840">
        <f t="shared" si="1"/>
        <v>0</v>
      </c>
      <c r="BL38" s="840">
        <f t="shared" si="2"/>
        <v>0</v>
      </c>
      <c r="BM38" s="840">
        <f t="shared" si="3"/>
        <v>0</v>
      </c>
      <c r="BN38" s="840">
        <f t="shared" si="4"/>
        <v>0</v>
      </c>
      <c r="BO38" s="840">
        <f t="shared" si="5"/>
        <v>0</v>
      </c>
      <c r="BP38" s="840">
        <f t="shared" si="6"/>
        <v>0</v>
      </c>
      <c r="BQ38" s="840">
        <f t="shared" si="7"/>
        <v>0</v>
      </c>
      <c r="BR38" s="840">
        <f t="shared" si="8"/>
        <v>0</v>
      </c>
      <c r="BS38" s="840">
        <f t="shared" si="9"/>
        <v>0</v>
      </c>
      <c r="BT38" s="840">
        <f t="shared" si="10"/>
        <v>0</v>
      </c>
      <c r="BU38" s="840">
        <f t="shared" si="11"/>
        <v>0</v>
      </c>
      <c r="BV38" s="840">
        <f t="shared" si="12"/>
        <v>0</v>
      </c>
      <c r="BW38" s="840">
        <f t="shared" si="13"/>
        <v>0</v>
      </c>
      <c r="BX38" s="840">
        <f t="shared" si="14"/>
        <v>0</v>
      </c>
      <c r="BY38" s="840">
        <f t="shared" si="15"/>
        <v>0</v>
      </c>
      <c r="BZ38" s="840">
        <f t="shared" si="16"/>
        <v>0</v>
      </c>
      <c r="CA38" s="840">
        <f t="shared" si="48"/>
        <v>0</v>
      </c>
      <c r="CB38" s="840">
        <f t="shared" si="48"/>
        <v>0</v>
      </c>
      <c r="CC38" s="840">
        <f t="shared" si="48"/>
        <v>0</v>
      </c>
      <c r="CD38" s="840">
        <f t="shared" si="48"/>
        <v>0</v>
      </c>
      <c r="CE38" s="840">
        <f t="shared" si="48"/>
        <v>0</v>
      </c>
      <c r="CF38" s="840">
        <f t="shared" si="48"/>
        <v>0</v>
      </c>
      <c r="CG38" s="840">
        <f>VLOOKUP($G38,$GB$6:$GC$15,2,FALSE)</f>
        <v>1000</v>
      </c>
      <c r="CH38" s="841" t="s">
        <v>7</v>
      </c>
      <c r="CI38" s="840">
        <f t="shared" si="59"/>
        <v>0</v>
      </c>
      <c r="CJ38" s="840">
        <f t="shared" si="60"/>
        <v>0</v>
      </c>
      <c r="CK38" s="840">
        <f t="shared" si="61"/>
        <v>0</v>
      </c>
      <c r="CL38" s="840">
        <f t="shared" si="62"/>
        <v>0</v>
      </c>
      <c r="CM38" s="840">
        <f t="shared" si="63"/>
        <v>0</v>
      </c>
      <c r="CN38" s="840">
        <f t="shared" si="64"/>
        <v>0</v>
      </c>
      <c r="CO38" s="840">
        <f t="shared" si="65"/>
        <v>0</v>
      </c>
      <c r="CP38" s="840">
        <f t="shared" si="66"/>
        <v>0</v>
      </c>
      <c r="CQ38" s="840">
        <f t="shared" si="67"/>
        <v>0</v>
      </c>
      <c r="CR38" s="840">
        <f t="shared" si="68"/>
        <v>0</v>
      </c>
      <c r="CS38" s="840">
        <f t="shared" si="69"/>
        <v>0</v>
      </c>
      <c r="CT38" s="840">
        <f t="shared" si="70"/>
        <v>0</v>
      </c>
      <c r="CU38" s="840">
        <f t="shared" si="71"/>
        <v>0</v>
      </c>
      <c r="CV38" s="840">
        <f t="shared" si="72"/>
        <v>0</v>
      </c>
      <c r="CW38" s="840">
        <f t="shared" si="73"/>
        <v>0</v>
      </c>
      <c r="CX38" s="840">
        <f t="shared" si="74"/>
        <v>0</v>
      </c>
      <c r="CY38" s="840">
        <f t="shared" si="75"/>
        <v>0</v>
      </c>
      <c r="CZ38" s="840">
        <f t="shared" si="76"/>
        <v>0</v>
      </c>
      <c r="DA38" s="840">
        <f t="shared" si="76"/>
        <v>0</v>
      </c>
      <c r="DB38" s="840">
        <f t="shared" si="76"/>
        <v>0</v>
      </c>
      <c r="DC38" s="840">
        <f t="shared" si="76"/>
        <v>0</v>
      </c>
      <c r="DD38" s="840">
        <f t="shared" si="76"/>
        <v>0</v>
      </c>
      <c r="DE38" s="840">
        <f t="shared" si="76"/>
        <v>0</v>
      </c>
      <c r="DF38" s="840">
        <f t="shared" si="77"/>
        <v>0</v>
      </c>
      <c r="DG38" s="840">
        <f t="shared" si="77"/>
        <v>0</v>
      </c>
      <c r="DH38" s="840">
        <f t="shared" si="77"/>
        <v>0</v>
      </c>
      <c r="DI38" s="840">
        <f t="shared" si="77"/>
        <v>0</v>
      </c>
      <c r="DJ38" s="840">
        <f t="shared" si="77"/>
        <v>0</v>
      </c>
      <c r="DK38" s="840">
        <f t="shared" si="77"/>
        <v>0</v>
      </c>
      <c r="DL38" s="840">
        <f t="shared" si="77"/>
        <v>0</v>
      </c>
      <c r="DM38" s="840">
        <f t="shared" si="77"/>
        <v>0</v>
      </c>
      <c r="DN38" s="840">
        <f t="shared" si="77"/>
        <v>0</v>
      </c>
      <c r="DO38" s="840">
        <f t="shared" si="77"/>
        <v>0</v>
      </c>
      <c r="DP38" s="840">
        <f t="shared" si="78"/>
        <v>0</v>
      </c>
      <c r="DQ38" s="840">
        <f t="shared" si="78"/>
        <v>0</v>
      </c>
      <c r="DR38" s="840">
        <f t="shared" si="78"/>
        <v>0</v>
      </c>
      <c r="DS38" s="840">
        <f t="shared" si="78"/>
        <v>0</v>
      </c>
      <c r="DT38" s="840">
        <f t="shared" si="78"/>
        <v>0</v>
      </c>
      <c r="DU38" s="840">
        <f t="shared" si="78"/>
        <v>0</v>
      </c>
      <c r="DV38" s="840">
        <f t="shared" si="78"/>
        <v>0</v>
      </c>
      <c r="DW38" s="840">
        <f t="shared" si="78"/>
        <v>0</v>
      </c>
      <c r="DX38" s="840">
        <f t="shared" si="78"/>
        <v>0</v>
      </c>
      <c r="DY38" s="840">
        <f t="shared" si="78"/>
        <v>0</v>
      </c>
      <c r="DZ38" s="840">
        <f t="shared" si="78"/>
        <v>0</v>
      </c>
      <c r="EA38" s="840">
        <f t="shared" si="78"/>
        <v>0</v>
      </c>
      <c r="EB38" s="840">
        <f t="shared" si="78"/>
        <v>0</v>
      </c>
      <c r="EC38" s="840">
        <f t="shared" si="79"/>
        <v>0</v>
      </c>
      <c r="ED38" s="840">
        <f t="shared" si="79"/>
        <v>0</v>
      </c>
      <c r="EE38" s="840">
        <f t="shared" si="79"/>
        <v>0</v>
      </c>
      <c r="EF38" s="840">
        <f t="shared" si="79"/>
        <v>0</v>
      </c>
      <c r="EG38" s="840">
        <f t="shared" si="79"/>
        <v>0</v>
      </c>
      <c r="EH38" s="840">
        <f t="shared" si="79"/>
        <v>0</v>
      </c>
      <c r="EI38" s="840">
        <f t="shared" si="79"/>
        <v>0</v>
      </c>
      <c r="EJ38" s="840">
        <f t="shared" si="79"/>
        <v>0</v>
      </c>
      <c r="EK38" s="840">
        <f t="shared" si="79"/>
        <v>0</v>
      </c>
      <c r="EL38" s="840">
        <f t="shared" si="79"/>
        <v>0</v>
      </c>
      <c r="EM38" s="840">
        <f t="shared" si="80"/>
        <v>0</v>
      </c>
      <c r="EN38" s="840">
        <f t="shared" si="80"/>
        <v>0</v>
      </c>
      <c r="EO38" s="840">
        <f t="shared" si="80"/>
        <v>0</v>
      </c>
      <c r="EP38" s="840">
        <f t="shared" si="80"/>
        <v>0</v>
      </c>
      <c r="EQ38" s="840">
        <f t="shared" si="80"/>
        <v>0</v>
      </c>
      <c r="ER38" s="840">
        <f t="shared" si="80"/>
        <v>0</v>
      </c>
      <c r="ES38" s="840">
        <f t="shared" si="80"/>
        <v>0</v>
      </c>
      <c r="ET38" s="840">
        <f t="shared" si="80"/>
        <v>0</v>
      </c>
      <c r="EU38" s="840">
        <f t="shared" si="80"/>
        <v>0</v>
      </c>
      <c r="EV38" s="840">
        <f t="shared" si="80"/>
        <v>0</v>
      </c>
      <c r="EW38" s="840">
        <f t="shared" si="80"/>
        <v>0</v>
      </c>
      <c r="EX38" s="840">
        <f t="shared" si="80"/>
        <v>0</v>
      </c>
      <c r="EY38" s="840">
        <f t="shared" si="80"/>
        <v>0</v>
      </c>
      <c r="EZ38" s="842">
        <f t="shared" si="81"/>
        <v>0</v>
      </c>
      <c r="FA38" s="842">
        <f t="shared" si="81"/>
        <v>0</v>
      </c>
      <c r="FB38" s="842">
        <f t="shared" si="81"/>
        <v>0</v>
      </c>
      <c r="FC38" s="842">
        <f t="shared" si="81"/>
        <v>0</v>
      </c>
      <c r="FD38" s="842">
        <f t="shared" si="81"/>
        <v>0</v>
      </c>
      <c r="FE38" s="842">
        <f t="shared" si="81"/>
        <v>0</v>
      </c>
      <c r="FF38" s="842">
        <f t="shared" si="81"/>
        <v>0</v>
      </c>
      <c r="FG38" s="842">
        <f t="shared" si="81"/>
        <v>0</v>
      </c>
      <c r="FH38" s="842">
        <f t="shared" si="81"/>
        <v>0</v>
      </c>
      <c r="FI38" s="842">
        <f t="shared" si="81"/>
        <v>0</v>
      </c>
      <c r="FJ38" s="842">
        <f t="shared" si="82"/>
        <v>0</v>
      </c>
      <c r="FK38" s="842">
        <f t="shared" si="82"/>
        <v>0</v>
      </c>
      <c r="FL38" s="842">
        <f t="shared" si="82"/>
        <v>0</v>
      </c>
      <c r="FM38" s="842">
        <f t="shared" si="82"/>
        <v>0</v>
      </c>
      <c r="FN38" s="842">
        <f t="shared" si="82"/>
        <v>0</v>
      </c>
      <c r="FO38" s="842">
        <f t="shared" si="82"/>
        <v>0</v>
      </c>
      <c r="FP38" s="842">
        <f t="shared" si="82"/>
        <v>0</v>
      </c>
      <c r="FQ38" s="842">
        <f t="shared" si="82"/>
        <v>0</v>
      </c>
      <c r="FR38" s="842">
        <f t="shared" si="82"/>
        <v>0</v>
      </c>
      <c r="FS38" s="842">
        <f t="shared" si="82"/>
        <v>0</v>
      </c>
      <c r="FT38" s="842">
        <f t="shared" si="82"/>
        <v>0</v>
      </c>
      <c r="FU38" s="842">
        <f t="shared" si="82"/>
        <v>0</v>
      </c>
      <c r="FV38" s="842">
        <f t="shared" si="82"/>
        <v>0</v>
      </c>
      <c r="FW38" s="859">
        <v>1.36</v>
      </c>
      <c r="FX38" s="788" t="s">
        <v>2245</v>
      </c>
      <c r="FY38" s="843">
        <v>5.7000000000000002E-2</v>
      </c>
      <c r="FZ38" s="860" t="s">
        <v>2246</v>
      </c>
    </row>
    <row r="39" spans="3:184" ht="23.25" customHeight="1">
      <c r="C39" s="1487"/>
      <c r="D39" s="1489" t="s">
        <v>36</v>
      </c>
      <c r="E39" s="1489"/>
      <c r="F39" s="1489"/>
      <c r="G39" s="838" t="s">
        <v>1870</v>
      </c>
      <c r="H39" s="839"/>
      <c r="I39" s="839"/>
      <c r="J39" s="839"/>
      <c r="K39" s="839"/>
      <c r="L39" s="839"/>
      <c r="M39" s="839"/>
      <c r="N39" s="839"/>
      <c r="O39" s="839"/>
      <c r="P39" s="839"/>
      <c r="Q39" s="839"/>
      <c r="R39" s="839"/>
      <c r="S39" s="839"/>
      <c r="T39" s="839"/>
      <c r="U39" s="839"/>
      <c r="V39" s="839"/>
      <c r="W39" s="839"/>
      <c r="X39" s="839"/>
      <c r="Y39" s="839"/>
      <c r="Z39" s="839"/>
      <c r="AA39" s="839"/>
      <c r="AB39" s="839"/>
      <c r="AC39" s="839"/>
      <c r="AD39" s="839"/>
      <c r="AE39" s="839"/>
      <c r="AF39" s="839"/>
      <c r="AG39" s="839"/>
      <c r="AH39" s="839"/>
      <c r="AI39" s="839"/>
      <c r="AJ39" s="839"/>
      <c r="AK39" s="839"/>
      <c r="AL39" s="839"/>
      <c r="AM39" s="839"/>
      <c r="AN39" s="839"/>
      <c r="AO39" s="839"/>
      <c r="AP39" s="839"/>
      <c r="AQ39" s="839"/>
      <c r="AR39" s="839"/>
      <c r="AS39" s="839"/>
      <c r="AT39" s="839"/>
      <c r="AU39" s="839"/>
      <c r="AV39" s="839"/>
      <c r="AW39" s="839"/>
      <c r="AX39" s="839"/>
      <c r="AY39" s="839"/>
      <c r="AZ39" s="839"/>
      <c r="BA39" s="839"/>
      <c r="BB39" s="839"/>
      <c r="BC39" s="839"/>
      <c r="BD39" s="839"/>
      <c r="BE39" s="839"/>
      <c r="BF39" s="839"/>
      <c r="BG39" s="839"/>
      <c r="BH39" s="839"/>
      <c r="BI39" s="839"/>
      <c r="BJ39" s="840">
        <f t="shared" si="0"/>
        <v>0</v>
      </c>
      <c r="BK39" s="840">
        <f t="shared" si="1"/>
        <v>0</v>
      </c>
      <c r="BL39" s="840">
        <f t="shared" si="2"/>
        <v>0</v>
      </c>
      <c r="BM39" s="840">
        <f t="shared" si="3"/>
        <v>0</v>
      </c>
      <c r="BN39" s="840">
        <f t="shared" si="4"/>
        <v>0</v>
      </c>
      <c r="BO39" s="840">
        <f t="shared" si="5"/>
        <v>0</v>
      </c>
      <c r="BP39" s="840">
        <f t="shared" si="6"/>
        <v>0</v>
      </c>
      <c r="BQ39" s="840">
        <f t="shared" si="7"/>
        <v>0</v>
      </c>
      <c r="BR39" s="840">
        <f t="shared" si="8"/>
        <v>0</v>
      </c>
      <c r="BS39" s="840">
        <f t="shared" si="9"/>
        <v>0</v>
      </c>
      <c r="BT39" s="840">
        <f t="shared" si="10"/>
        <v>0</v>
      </c>
      <c r="BU39" s="840">
        <f t="shared" si="11"/>
        <v>0</v>
      </c>
      <c r="BV39" s="840">
        <f t="shared" si="12"/>
        <v>0</v>
      </c>
      <c r="BW39" s="840">
        <f t="shared" si="13"/>
        <v>0</v>
      </c>
      <c r="BX39" s="840">
        <f t="shared" si="14"/>
        <v>0</v>
      </c>
      <c r="BY39" s="840">
        <f t="shared" si="15"/>
        <v>0</v>
      </c>
      <c r="BZ39" s="840">
        <f t="shared" si="16"/>
        <v>0</v>
      </c>
      <c r="CA39" s="840">
        <f t="shared" si="48"/>
        <v>0</v>
      </c>
      <c r="CB39" s="840">
        <f t="shared" si="48"/>
        <v>0</v>
      </c>
      <c r="CC39" s="840">
        <f t="shared" si="48"/>
        <v>0</v>
      </c>
      <c r="CD39" s="840">
        <f t="shared" si="48"/>
        <v>0</v>
      </c>
      <c r="CE39" s="840">
        <f t="shared" si="48"/>
        <v>0</v>
      </c>
      <c r="CF39" s="840">
        <f t="shared" si="48"/>
        <v>0</v>
      </c>
      <c r="CG39" s="840">
        <f>VLOOKUP($G39,$GB$6:$GC$15,2,FALSE)</f>
        <v>1000</v>
      </c>
      <c r="CH39" s="841" t="s">
        <v>7</v>
      </c>
      <c r="CI39" s="840">
        <f t="shared" si="59"/>
        <v>0</v>
      </c>
      <c r="CJ39" s="840">
        <f t="shared" si="60"/>
        <v>0</v>
      </c>
      <c r="CK39" s="840">
        <f t="shared" si="61"/>
        <v>0</v>
      </c>
      <c r="CL39" s="840">
        <f t="shared" si="62"/>
        <v>0</v>
      </c>
      <c r="CM39" s="840">
        <f t="shared" si="63"/>
        <v>0</v>
      </c>
      <c r="CN39" s="840">
        <f t="shared" si="64"/>
        <v>0</v>
      </c>
      <c r="CO39" s="840">
        <f t="shared" si="65"/>
        <v>0</v>
      </c>
      <c r="CP39" s="840">
        <f t="shared" si="66"/>
        <v>0</v>
      </c>
      <c r="CQ39" s="840">
        <f t="shared" si="67"/>
        <v>0</v>
      </c>
      <c r="CR39" s="840">
        <f t="shared" si="68"/>
        <v>0</v>
      </c>
      <c r="CS39" s="840">
        <f t="shared" si="69"/>
        <v>0</v>
      </c>
      <c r="CT39" s="840">
        <f t="shared" si="70"/>
        <v>0</v>
      </c>
      <c r="CU39" s="840">
        <f t="shared" si="71"/>
        <v>0</v>
      </c>
      <c r="CV39" s="840">
        <f t="shared" si="72"/>
        <v>0</v>
      </c>
      <c r="CW39" s="840">
        <f t="shared" si="73"/>
        <v>0</v>
      </c>
      <c r="CX39" s="840">
        <f t="shared" si="74"/>
        <v>0</v>
      </c>
      <c r="CY39" s="840">
        <f t="shared" si="75"/>
        <v>0</v>
      </c>
      <c r="CZ39" s="840">
        <f t="shared" si="76"/>
        <v>0</v>
      </c>
      <c r="DA39" s="840">
        <f t="shared" si="76"/>
        <v>0</v>
      </c>
      <c r="DB39" s="840">
        <f t="shared" si="76"/>
        <v>0</v>
      </c>
      <c r="DC39" s="840">
        <f t="shared" si="76"/>
        <v>0</v>
      </c>
      <c r="DD39" s="840">
        <f t="shared" si="76"/>
        <v>0</v>
      </c>
      <c r="DE39" s="840">
        <f t="shared" si="76"/>
        <v>0</v>
      </c>
      <c r="DF39" s="840">
        <f t="shared" si="77"/>
        <v>0</v>
      </c>
      <c r="DG39" s="840">
        <f t="shared" si="77"/>
        <v>0</v>
      </c>
      <c r="DH39" s="840">
        <f t="shared" si="77"/>
        <v>0</v>
      </c>
      <c r="DI39" s="840">
        <f t="shared" si="77"/>
        <v>0</v>
      </c>
      <c r="DJ39" s="840">
        <f t="shared" si="77"/>
        <v>0</v>
      </c>
      <c r="DK39" s="840">
        <f t="shared" si="77"/>
        <v>0</v>
      </c>
      <c r="DL39" s="840">
        <f t="shared" si="77"/>
        <v>0</v>
      </c>
      <c r="DM39" s="840">
        <f t="shared" si="77"/>
        <v>0</v>
      </c>
      <c r="DN39" s="840">
        <f t="shared" si="77"/>
        <v>0</v>
      </c>
      <c r="DO39" s="840">
        <f t="shared" si="77"/>
        <v>0</v>
      </c>
      <c r="DP39" s="840">
        <f t="shared" si="78"/>
        <v>0</v>
      </c>
      <c r="DQ39" s="840">
        <f t="shared" si="78"/>
        <v>0</v>
      </c>
      <c r="DR39" s="840">
        <f t="shared" si="78"/>
        <v>0</v>
      </c>
      <c r="DS39" s="840">
        <f t="shared" si="78"/>
        <v>0</v>
      </c>
      <c r="DT39" s="840">
        <f t="shared" si="78"/>
        <v>0</v>
      </c>
      <c r="DU39" s="840">
        <f t="shared" si="78"/>
        <v>0</v>
      </c>
      <c r="DV39" s="840">
        <f t="shared" si="78"/>
        <v>0</v>
      </c>
      <c r="DW39" s="840">
        <f t="shared" si="78"/>
        <v>0</v>
      </c>
      <c r="DX39" s="840">
        <f t="shared" si="78"/>
        <v>0</v>
      </c>
      <c r="DY39" s="840">
        <f t="shared" si="78"/>
        <v>0</v>
      </c>
      <c r="DZ39" s="840">
        <f t="shared" si="78"/>
        <v>0</v>
      </c>
      <c r="EA39" s="840">
        <f t="shared" si="78"/>
        <v>0</v>
      </c>
      <c r="EB39" s="840">
        <f t="shared" si="78"/>
        <v>0</v>
      </c>
      <c r="EC39" s="840">
        <f t="shared" si="79"/>
        <v>0</v>
      </c>
      <c r="ED39" s="840">
        <f t="shared" si="79"/>
        <v>0</v>
      </c>
      <c r="EE39" s="840">
        <f t="shared" si="79"/>
        <v>0</v>
      </c>
      <c r="EF39" s="840">
        <f t="shared" si="79"/>
        <v>0</v>
      </c>
      <c r="EG39" s="840">
        <f t="shared" si="79"/>
        <v>0</v>
      </c>
      <c r="EH39" s="840">
        <f t="shared" si="79"/>
        <v>0</v>
      </c>
      <c r="EI39" s="840">
        <f t="shared" si="79"/>
        <v>0</v>
      </c>
      <c r="EJ39" s="840">
        <f t="shared" si="79"/>
        <v>0</v>
      </c>
      <c r="EK39" s="840">
        <f t="shared" si="79"/>
        <v>0</v>
      </c>
      <c r="EL39" s="840">
        <f t="shared" si="79"/>
        <v>0</v>
      </c>
      <c r="EM39" s="840">
        <f t="shared" si="80"/>
        <v>0</v>
      </c>
      <c r="EN39" s="840">
        <f t="shared" si="80"/>
        <v>0</v>
      </c>
      <c r="EO39" s="840">
        <f t="shared" si="80"/>
        <v>0</v>
      </c>
      <c r="EP39" s="840">
        <f t="shared" si="80"/>
        <v>0</v>
      </c>
      <c r="EQ39" s="840">
        <f t="shared" si="80"/>
        <v>0</v>
      </c>
      <c r="ER39" s="840">
        <f t="shared" si="80"/>
        <v>0</v>
      </c>
      <c r="ES39" s="840">
        <f t="shared" si="80"/>
        <v>0</v>
      </c>
      <c r="ET39" s="840">
        <f t="shared" si="80"/>
        <v>0</v>
      </c>
      <c r="EU39" s="840">
        <f t="shared" si="80"/>
        <v>0</v>
      </c>
      <c r="EV39" s="840">
        <f t="shared" si="80"/>
        <v>0</v>
      </c>
      <c r="EW39" s="840">
        <f t="shared" si="80"/>
        <v>0</v>
      </c>
      <c r="EX39" s="840">
        <f t="shared" si="80"/>
        <v>0</v>
      </c>
      <c r="EY39" s="840">
        <f t="shared" si="80"/>
        <v>0</v>
      </c>
      <c r="EZ39" s="842">
        <f t="shared" si="81"/>
        <v>0</v>
      </c>
      <c r="FA39" s="842">
        <f t="shared" si="81"/>
        <v>0</v>
      </c>
      <c r="FB39" s="842">
        <f t="shared" si="81"/>
        <v>0</v>
      </c>
      <c r="FC39" s="842">
        <f t="shared" si="81"/>
        <v>0</v>
      </c>
      <c r="FD39" s="842">
        <f t="shared" si="81"/>
        <v>0</v>
      </c>
      <c r="FE39" s="842">
        <f t="shared" si="81"/>
        <v>0</v>
      </c>
      <c r="FF39" s="842">
        <f t="shared" si="81"/>
        <v>0</v>
      </c>
      <c r="FG39" s="842">
        <f t="shared" si="81"/>
        <v>0</v>
      </c>
      <c r="FH39" s="842">
        <f t="shared" si="81"/>
        <v>0</v>
      </c>
      <c r="FI39" s="842">
        <f t="shared" si="81"/>
        <v>0</v>
      </c>
      <c r="FJ39" s="842">
        <f t="shared" si="82"/>
        <v>0</v>
      </c>
      <c r="FK39" s="842">
        <f t="shared" si="82"/>
        <v>0</v>
      </c>
      <c r="FL39" s="842">
        <f t="shared" si="82"/>
        <v>0</v>
      </c>
      <c r="FM39" s="842">
        <f t="shared" si="82"/>
        <v>0</v>
      </c>
      <c r="FN39" s="842">
        <f t="shared" si="82"/>
        <v>0</v>
      </c>
      <c r="FO39" s="842">
        <f t="shared" si="82"/>
        <v>0</v>
      </c>
      <c r="FP39" s="842">
        <f t="shared" si="82"/>
        <v>0</v>
      </c>
      <c r="FQ39" s="842">
        <f t="shared" si="82"/>
        <v>0</v>
      </c>
      <c r="FR39" s="842">
        <f t="shared" si="82"/>
        <v>0</v>
      </c>
      <c r="FS39" s="842">
        <f t="shared" si="82"/>
        <v>0</v>
      </c>
      <c r="FT39" s="842">
        <f t="shared" si="82"/>
        <v>0</v>
      </c>
      <c r="FU39" s="842">
        <f t="shared" si="82"/>
        <v>0</v>
      </c>
      <c r="FV39" s="842">
        <f t="shared" si="82"/>
        <v>0</v>
      </c>
      <c r="FW39" s="859">
        <v>1.36</v>
      </c>
      <c r="FX39" s="788" t="s">
        <v>2245</v>
      </c>
      <c r="FY39" s="843">
        <v>5.7000000000000002E-2</v>
      </c>
      <c r="FZ39" s="860" t="s">
        <v>2246</v>
      </c>
    </row>
    <row r="40" spans="3:184" ht="23.25" customHeight="1">
      <c r="C40" s="1487"/>
      <c r="D40" s="1489" t="s">
        <v>2247</v>
      </c>
      <c r="E40" s="1489"/>
      <c r="F40" s="1489"/>
      <c r="G40" s="838" t="s">
        <v>1870</v>
      </c>
      <c r="H40" s="839"/>
      <c r="I40" s="839"/>
      <c r="J40" s="839"/>
      <c r="K40" s="839"/>
      <c r="L40" s="839"/>
      <c r="M40" s="839"/>
      <c r="N40" s="839"/>
      <c r="O40" s="839"/>
      <c r="P40" s="839"/>
      <c r="Q40" s="839"/>
      <c r="R40" s="839"/>
      <c r="S40" s="839"/>
      <c r="T40" s="839"/>
      <c r="U40" s="839"/>
      <c r="V40" s="839"/>
      <c r="W40" s="839"/>
      <c r="X40" s="839"/>
      <c r="Y40" s="839"/>
      <c r="Z40" s="839"/>
      <c r="AA40" s="839"/>
      <c r="AB40" s="839"/>
      <c r="AC40" s="839"/>
      <c r="AD40" s="839"/>
      <c r="AE40" s="839"/>
      <c r="AF40" s="839"/>
      <c r="AG40" s="839"/>
      <c r="AH40" s="839"/>
      <c r="AI40" s="839"/>
      <c r="AJ40" s="839"/>
      <c r="AK40" s="839"/>
      <c r="AL40" s="839"/>
      <c r="AM40" s="839"/>
      <c r="AN40" s="839"/>
      <c r="AO40" s="839"/>
      <c r="AP40" s="839"/>
      <c r="AQ40" s="839"/>
      <c r="AR40" s="839"/>
      <c r="AS40" s="839"/>
      <c r="AT40" s="839"/>
      <c r="AU40" s="839"/>
      <c r="AV40" s="839"/>
      <c r="AW40" s="839"/>
      <c r="AX40" s="839"/>
      <c r="AY40" s="839"/>
      <c r="AZ40" s="839"/>
      <c r="BA40" s="839"/>
      <c r="BB40" s="839"/>
      <c r="BC40" s="839"/>
      <c r="BD40" s="839"/>
      <c r="BE40" s="839"/>
      <c r="BF40" s="839"/>
      <c r="BG40" s="839"/>
      <c r="BH40" s="839"/>
      <c r="BI40" s="839"/>
      <c r="BJ40" s="840">
        <f t="shared" si="0"/>
        <v>0</v>
      </c>
      <c r="BK40" s="840">
        <f t="shared" si="1"/>
        <v>0</v>
      </c>
      <c r="BL40" s="840">
        <f t="shared" si="2"/>
        <v>0</v>
      </c>
      <c r="BM40" s="840">
        <f t="shared" si="3"/>
        <v>0</v>
      </c>
      <c r="BN40" s="840">
        <f t="shared" si="4"/>
        <v>0</v>
      </c>
      <c r="BO40" s="840">
        <f t="shared" si="5"/>
        <v>0</v>
      </c>
      <c r="BP40" s="840">
        <f t="shared" si="6"/>
        <v>0</v>
      </c>
      <c r="BQ40" s="840">
        <f t="shared" si="7"/>
        <v>0</v>
      </c>
      <c r="BR40" s="840">
        <f t="shared" si="8"/>
        <v>0</v>
      </c>
      <c r="BS40" s="840">
        <f t="shared" si="9"/>
        <v>0</v>
      </c>
      <c r="BT40" s="840">
        <f t="shared" si="10"/>
        <v>0</v>
      </c>
      <c r="BU40" s="840">
        <f t="shared" si="11"/>
        <v>0</v>
      </c>
      <c r="BV40" s="840">
        <f t="shared" si="12"/>
        <v>0</v>
      </c>
      <c r="BW40" s="840">
        <f t="shared" si="13"/>
        <v>0</v>
      </c>
      <c r="BX40" s="840">
        <f t="shared" si="14"/>
        <v>0</v>
      </c>
      <c r="BY40" s="840">
        <f t="shared" si="15"/>
        <v>0</v>
      </c>
      <c r="BZ40" s="840">
        <f t="shared" si="16"/>
        <v>0</v>
      </c>
      <c r="CA40" s="840">
        <f t="shared" si="48"/>
        <v>0</v>
      </c>
      <c r="CB40" s="840">
        <f t="shared" si="48"/>
        <v>0</v>
      </c>
      <c r="CC40" s="840">
        <f t="shared" si="48"/>
        <v>0</v>
      </c>
      <c r="CD40" s="840">
        <f t="shared" si="48"/>
        <v>0</v>
      </c>
      <c r="CE40" s="840">
        <f t="shared" si="48"/>
        <v>0</v>
      </c>
      <c r="CF40" s="840">
        <f t="shared" si="48"/>
        <v>0</v>
      </c>
      <c r="CG40" s="840">
        <f>VLOOKUP($G40,$GB$6:$GC$15,2,FALSE)</f>
        <v>1000</v>
      </c>
      <c r="CH40" s="841" t="s">
        <v>7</v>
      </c>
      <c r="CI40" s="840">
        <f t="shared" si="59"/>
        <v>0</v>
      </c>
      <c r="CJ40" s="840">
        <f t="shared" si="60"/>
        <v>0</v>
      </c>
      <c r="CK40" s="840">
        <f t="shared" si="61"/>
        <v>0</v>
      </c>
      <c r="CL40" s="840">
        <f t="shared" si="62"/>
        <v>0</v>
      </c>
      <c r="CM40" s="840">
        <f t="shared" si="63"/>
        <v>0</v>
      </c>
      <c r="CN40" s="840">
        <f t="shared" si="64"/>
        <v>0</v>
      </c>
      <c r="CO40" s="840">
        <f t="shared" si="65"/>
        <v>0</v>
      </c>
      <c r="CP40" s="840">
        <f t="shared" si="66"/>
        <v>0</v>
      </c>
      <c r="CQ40" s="840">
        <f t="shared" si="67"/>
        <v>0</v>
      </c>
      <c r="CR40" s="840">
        <f t="shared" si="68"/>
        <v>0</v>
      </c>
      <c r="CS40" s="840">
        <f t="shared" si="69"/>
        <v>0</v>
      </c>
      <c r="CT40" s="840">
        <f t="shared" si="70"/>
        <v>0</v>
      </c>
      <c r="CU40" s="840">
        <f t="shared" si="71"/>
        <v>0</v>
      </c>
      <c r="CV40" s="840">
        <f t="shared" si="72"/>
        <v>0</v>
      </c>
      <c r="CW40" s="840">
        <f t="shared" si="73"/>
        <v>0</v>
      </c>
      <c r="CX40" s="840">
        <f t="shared" si="74"/>
        <v>0</v>
      </c>
      <c r="CY40" s="840">
        <f t="shared" si="75"/>
        <v>0</v>
      </c>
      <c r="CZ40" s="840">
        <f t="shared" si="76"/>
        <v>0</v>
      </c>
      <c r="DA40" s="840">
        <f t="shared" si="76"/>
        <v>0</v>
      </c>
      <c r="DB40" s="840">
        <f t="shared" si="76"/>
        <v>0</v>
      </c>
      <c r="DC40" s="840">
        <f t="shared" si="76"/>
        <v>0</v>
      </c>
      <c r="DD40" s="840">
        <f t="shared" si="76"/>
        <v>0</v>
      </c>
      <c r="DE40" s="840">
        <f t="shared" si="76"/>
        <v>0</v>
      </c>
      <c r="DF40" s="840">
        <f t="shared" ref="DF40:EB40" si="83">CI40</f>
        <v>0</v>
      </c>
      <c r="DG40" s="840">
        <f t="shared" si="83"/>
        <v>0</v>
      </c>
      <c r="DH40" s="840">
        <f t="shared" si="83"/>
        <v>0</v>
      </c>
      <c r="DI40" s="840">
        <f t="shared" si="83"/>
        <v>0</v>
      </c>
      <c r="DJ40" s="840">
        <f t="shared" si="83"/>
        <v>0</v>
      </c>
      <c r="DK40" s="840">
        <f t="shared" si="83"/>
        <v>0</v>
      </c>
      <c r="DL40" s="840">
        <f t="shared" si="83"/>
        <v>0</v>
      </c>
      <c r="DM40" s="840">
        <f t="shared" si="83"/>
        <v>0</v>
      </c>
      <c r="DN40" s="840">
        <f t="shared" si="83"/>
        <v>0</v>
      </c>
      <c r="DO40" s="840">
        <f t="shared" si="83"/>
        <v>0</v>
      </c>
      <c r="DP40" s="840">
        <f t="shared" si="83"/>
        <v>0</v>
      </c>
      <c r="DQ40" s="840">
        <f t="shared" si="83"/>
        <v>0</v>
      </c>
      <c r="DR40" s="840">
        <f t="shared" si="83"/>
        <v>0</v>
      </c>
      <c r="DS40" s="840">
        <f t="shared" si="83"/>
        <v>0</v>
      </c>
      <c r="DT40" s="840">
        <f t="shared" si="83"/>
        <v>0</v>
      </c>
      <c r="DU40" s="840">
        <f t="shared" si="83"/>
        <v>0</v>
      </c>
      <c r="DV40" s="840">
        <f t="shared" si="83"/>
        <v>0</v>
      </c>
      <c r="DW40" s="840">
        <f t="shared" si="83"/>
        <v>0</v>
      </c>
      <c r="DX40" s="840">
        <f t="shared" si="83"/>
        <v>0</v>
      </c>
      <c r="DY40" s="840">
        <f t="shared" si="83"/>
        <v>0</v>
      </c>
      <c r="DZ40" s="840">
        <f t="shared" si="83"/>
        <v>0</v>
      </c>
      <c r="EA40" s="840">
        <f t="shared" si="83"/>
        <v>0</v>
      </c>
      <c r="EB40" s="840">
        <f t="shared" si="83"/>
        <v>0</v>
      </c>
      <c r="EC40" s="852"/>
      <c r="ED40" s="852"/>
      <c r="EE40" s="852"/>
      <c r="EF40" s="852"/>
      <c r="EG40" s="852"/>
      <c r="EH40" s="852"/>
      <c r="EI40" s="852"/>
      <c r="EJ40" s="852"/>
      <c r="EK40" s="852"/>
      <c r="EL40" s="852"/>
      <c r="EM40" s="852"/>
      <c r="EN40" s="852"/>
      <c r="EO40" s="852"/>
      <c r="EP40" s="852"/>
      <c r="EQ40" s="852"/>
      <c r="ER40" s="852"/>
      <c r="ES40" s="852"/>
      <c r="ET40" s="852"/>
      <c r="EU40" s="852"/>
      <c r="EV40" s="852"/>
      <c r="EW40" s="852"/>
      <c r="EX40" s="852"/>
      <c r="EY40" s="852"/>
      <c r="EZ40" s="842">
        <f t="shared" si="81"/>
        <v>0</v>
      </c>
      <c r="FA40" s="842">
        <f t="shared" si="81"/>
        <v>0</v>
      </c>
      <c r="FB40" s="842">
        <f t="shared" si="81"/>
        <v>0</v>
      </c>
      <c r="FC40" s="842">
        <f t="shared" si="81"/>
        <v>0</v>
      </c>
      <c r="FD40" s="842">
        <f t="shared" si="81"/>
        <v>0</v>
      </c>
      <c r="FE40" s="842">
        <f t="shared" si="81"/>
        <v>0</v>
      </c>
      <c r="FF40" s="842">
        <f t="shared" si="81"/>
        <v>0</v>
      </c>
      <c r="FG40" s="842">
        <f t="shared" si="81"/>
        <v>0</v>
      </c>
      <c r="FH40" s="842">
        <f t="shared" si="81"/>
        <v>0</v>
      </c>
      <c r="FI40" s="842">
        <f t="shared" si="81"/>
        <v>0</v>
      </c>
      <c r="FJ40" s="842">
        <f t="shared" si="82"/>
        <v>0</v>
      </c>
      <c r="FK40" s="842">
        <f t="shared" si="82"/>
        <v>0</v>
      </c>
      <c r="FL40" s="842">
        <f t="shared" si="82"/>
        <v>0</v>
      </c>
      <c r="FM40" s="842">
        <f t="shared" si="82"/>
        <v>0</v>
      </c>
      <c r="FN40" s="842">
        <f t="shared" si="82"/>
        <v>0</v>
      </c>
      <c r="FO40" s="842">
        <f t="shared" si="82"/>
        <v>0</v>
      </c>
      <c r="FP40" s="842">
        <f t="shared" si="82"/>
        <v>0</v>
      </c>
      <c r="FQ40" s="842">
        <f t="shared" si="82"/>
        <v>0</v>
      </c>
      <c r="FR40" s="842">
        <f t="shared" si="82"/>
        <v>0</v>
      </c>
      <c r="FS40" s="842">
        <f t="shared" si="82"/>
        <v>0</v>
      </c>
      <c r="FT40" s="842">
        <f t="shared" si="82"/>
        <v>0</v>
      </c>
      <c r="FU40" s="842">
        <f t="shared" si="82"/>
        <v>0</v>
      </c>
      <c r="FV40" s="842">
        <f t="shared" si="82"/>
        <v>0</v>
      </c>
      <c r="FW40" s="1481"/>
      <c r="FX40" s="1481"/>
      <c r="FY40" s="843">
        <v>5.7000000000000002E-2</v>
      </c>
      <c r="FZ40" s="860" t="s">
        <v>2246</v>
      </c>
    </row>
    <row r="41" spans="3:184" ht="23.25" customHeight="1">
      <c r="C41" s="1488"/>
      <c r="D41" s="1437" t="s">
        <v>2244</v>
      </c>
      <c r="E41" s="1438"/>
      <c r="F41" s="1439"/>
      <c r="G41" s="838"/>
      <c r="H41" s="839"/>
      <c r="I41" s="839"/>
      <c r="J41" s="839"/>
      <c r="K41" s="839"/>
      <c r="L41" s="839"/>
      <c r="M41" s="839"/>
      <c r="N41" s="839"/>
      <c r="O41" s="839"/>
      <c r="P41" s="839"/>
      <c r="Q41" s="839"/>
      <c r="R41" s="839"/>
      <c r="S41" s="839"/>
      <c r="T41" s="839"/>
      <c r="U41" s="839"/>
      <c r="V41" s="839"/>
      <c r="W41" s="839"/>
      <c r="X41" s="839"/>
      <c r="Y41" s="839"/>
      <c r="Z41" s="839"/>
      <c r="AA41" s="839"/>
      <c r="AB41" s="839"/>
      <c r="AC41" s="839"/>
      <c r="AD41" s="839"/>
      <c r="AE41" s="839"/>
      <c r="AF41" s="839"/>
      <c r="AG41" s="839"/>
      <c r="AH41" s="839"/>
      <c r="AI41" s="839"/>
      <c r="AJ41" s="839"/>
      <c r="AK41" s="839"/>
      <c r="AL41" s="839"/>
      <c r="AM41" s="839"/>
      <c r="AN41" s="839"/>
      <c r="AO41" s="839"/>
      <c r="AP41" s="839"/>
      <c r="AQ41" s="839"/>
      <c r="AR41" s="839"/>
      <c r="AS41" s="839"/>
      <c r="AT41" s="839"/>
      <c r="AU41" s="839"/>
      <c r="AV41" s="839"/>
      <c r="AW41" s="839"/>
      <c r="AX41" s="839"/>
      <c r="AY41" s="839"/>
      <c r="AZ41" s="839"/>
      <c r="BA41" s="839"/>
      <c r="BB41" s="839"/>
      <c r="BC41" s="839"/>
      <c r="BD41" s="839"/>
      <c r="BE41" s="839"/>
      <c r="BF41" s="839"/>
      <c r="BG41" s="839"/>
      <c r="BH41" s="839"/>
      <c r="BI41" s="839"/>
      <c r="BJ41" s="840"/>
      <c r="BK41" s="840"/>
      <c r="BL41" s="840"/>
      <c r="BM41" s="840"/>
      <c r="BN41" s="840"/>
      <c r="BO41" s="840"/>
      <c r="BP41" s="840"/>
      <c r="BQ41" s="840"/>
      <c r="BR41" s="840"/>
      <c r="BS41" s="840"/>
      <c r="BT41" s="840"/>
      <c r="BU41" s="840"/>
      <c r="BV41" s="840"/>
      <c r="BW41" s="840"/>
      <c r="BX41" s="840"/>
      <c r="BY41" s="840"/>
      <c r="BZ41" s="840"/>
      <c r="CA41" s="840"/>
      <c r="CB41" s="840"/>
      <c r="CC41" s="840"/>
      <c r="CD41" s="840"/>
      <c r="CE41" s="840"/>
      <c r="CF41" s="840"/>
      <c r="CG41" s="840"/>
      <c r="CH41" s="841"/>
      <c r="CI41" s="840"/>
      <c r="CJ41" s="840"/>
      <c r="CK41" s="840"/>
      <c r="CL41" s="840"/>
      <c r="CM41" s="840"/>
      <c r="CN41" s="840"/>
      <c r="CO41" s="840"/>
      <c r="CP41" s="840"/>
      <c r="CQ41" s="840"/>
      <c r="CR41" s="840"/>
      <c r="CS41" s="840"/>
      <c r="CT41" s="840"/>
      <c r="CU41" s="840"/>
      <c r="CV41" s="840"/>
      <c r="CW41" s="840"/>
      <c r="CX41" s="840"/>
      <c r="CY41" s="840"/>
      <c r="CZ41" s="840"/>
      <c r="DA41" s="840"/>
      <c r="DB41" s="840"/>
      <c r="DC41" s="840"/>
      <c r="DD41" s="840"/>
      <c r="DE41" s="840"/>
      <c r="DF41" s="839">
        <f t="shared" ref="DF41:DV41" si="84">SUBTOTAL(9,DF36:DF40)</f>
        <v>0</v>
      </c>
      <c r="DG41" s="839">
        <f t="shared" si="84"/>
        <v>0</v>
      </c>
      <c r="DH41" s="839">
        <f t="shared" si="84"/>
        <v>0</v>
      </c>
      <c r="DI41" s="839">
        <f t="shared" si="84"/>
        <v>0</v>
      </c>
      <c r="DJ41" s="839">
        <f t="shared" si="84"/>
        <v>0</v>
      </c>
      <c r="DK41" s="839">
        <f t="shared" si="84"/>
        <v>0</v>
      </c>
      <c r="DL41" s="839">
        <f t="shared" si="84"/>
        <v>0</v>
      </c>
      <c r="DM41" s="839">
        <f t="shared" si="84"/>
        <v>0</v>
      </c>
      <c r="DN41" s="839">
        <f t="shared" si="84"/>
        <v>0</v>
      </c>
      <c r="DO41" s="839">
        <f t="shared" si="84"/>
        <v>0</v>
      </c>
      <c r="DP41" s="839">
        <f t="shared" si="84"/>
        <v>0</v>
      </c>
      <c r="DQ41" s="839">
        <f t="shared" si="84"/>
        <v>0</v>
      </c>
      <c r="DR41" s="839">
        <f t="shared" si="84"/>
        <v>0</v>
      </c>
      <c r="DS41" s="839">
        <f t="shared" si="84"/>
        <v>0</v>
      </c>
      <c r="DT41" s="839">
        <f t="shared" si="84"/>
        <v>0</v>
      </c>
      <c r="DU41" s="839">
        <f t="shared" si="84"/>
        <v>0</v>
      </c>
      <c r="DV41" s="839">
        <f t="shared" si="84"/>
        <v>0</v>
      </c>
      <c r="DW41" s="839">
        <f>SUBTOTAL(9,DW36:DW40)</f>
        <v>0</v>
      </c>
      <c r="DX41" s="839">
        <f t="shared" ref="DX41:ES41" si="85">SUBTOTAL(9,DX36:DX40)</f>
        <v>0</v>
      </c>
      <c r="DY41" s="839">
        <f t="shared" si="85"/>
        <v>0</v>
      </c>
      <c r="DZ41" s="839">
        <f t="shared" si="85"/>
        <v>0</v>
      </c>
      <c r="EA41" s="839">
        <f t="shared" si="85"/>
        <v>0</v>
      </c>
      <c r="EB41" s="839">
        <f t="shared" si="85"/>
        <v>0</v>
      </c>
      <c r="EC41" s="839">
        <f t="shared" si="85"/>
        <v>0</v>
      </c>
      <c r="ED41" s="839">
        <f t="shared" si="85"/>
        <v>0</v>
      </c>
      <c r="EE41" s="839">
        <f t="shared" si="85"/>
        <v>0</v>
      </c>
      <c r="EF41" s="839">
        <f t="shared" si="85"/>
        <v>0</v>
      </c>
      <c r="EG41" s="839">
        <f t="shared" si="85"/>
        <v>0</v>
      </c>
      <c r="EH41" s="839">
        <f t="shared" si="85"/>
        <v>0</v>
      </c>
      <c r="EI41" s="839">
        <f t="shared" si="85"/>
        <v>0</v>
      </c>
      <c r="EJ41" s="839">
        <f t="shared" si="85"/>
        <v>0</v>
      </c>
      <c r="EK41" s="839">
        <f t="shared" si="85"/>
        <v>0</v>
      </c>
      <c r="EL41" s="839">
        <f t="shared" si="85"/>
        <v>0</v>
      </c>
      <c r="EM41" s="839">
        <f t="shared" si="85"/>
        <v>0</v>
      </c>
      <c r="EN41" s="839">
        <f t="shared" si="85"/>
        <v>0</v>
      </c>
      <c r="EO41" s="839">
        <f t="shared" si="85"/>
        <v>0</v>
      </c>
      <c r="EP41" s="839">
        <f t="shared" si="85"/>
        <v>0</v>
      </c>
      <c r="EQ41" s="839">
        <f t="shared" si="85"/>
        <v>0</v>
      </c>
      <c r="ER41" s="839">
        <f t="shared" si="85"/>
        <v>0</v>
      </c>
      <c r="ES41" s="839">
        <f t="shared" si="85"/>
        <v>0</v>
      </c>
      <c r="ET41" s="839">
        <f>SUBTOTAL(9,ET36:ET40)</f>
        <v>0</v>
      </c>
      <c r="EU41" s="839">
        <f t="shared" ref="EU41:FP41" si="86">SUBTOTAL(9,EU36:EU40)</f>
        <v>0</v>
      </c>
      <c r="EV41" s="839">
        <f t="shared" si="86"/>
        <v>0</v>
      </c>
      <c r="EW41" s="839">
        <f t="shared" si="86"/>
        <v>0</v>
      </c>
      <c r="EX41" s="839">
        <f t="shared" si="86"/>
        <v>0</v>
      </c>
      <c r="EY41" s="839">
        <f t="shared" si="86"/>
        <v>0</v>
      </c>
      <c r="EZ41" s="858">
        <f t="shared" si="86"/>
        <v>0</v>
      </c>
      <c r="FA41" s="858">
        <f t="shared" si="86"/>
        <v>0</v>
      </c>
      <c r="FB41" s="858">
        <f t="shared" si="86"/>
        <v>0</v>
      </c>
      <c r="FC41" s="858">
        <f t="shared" si="86"/>
        <v>0</v>
      </c>
      <c r="FD41" s="858">
        <f t="shared" si="86"/>
        <v>0</v>
      </c>
      <c r="FE41" s="858">
        <f t="shared" si="86"/>
        <v>0</v>
      </c>
      <c r="FF41" s="858">
        <f t="shared" si="86"/>
        <v>0</v>
      </c>
      <c r="FG41" s="858">
        <f t="shared" si="86"/>
        <v>0</v>
      </c>
      <c r="FH41" s="858">
        <f t="shared" si="86"/>
        <v>0</v>
      </c>
      <c r="FI41" s="858">
        <f t="shared" si="86"/>
        <v>0</v>
      </c>
      <c r="FJ41" s="858">
        <f t="shared" si="86"/>
        <v>0</v>
      </c>
      <c r="FK41" s="858">
        <f t="shared" si="86"/>
        <v>0</v>
      </c>
      <c r="FL41" s="858">
        <f t="shared" si="86"/>
        <v>0</v>
      </c>
      <c r="FM41" s="858">
        <f t="shared" si="86"/>
        <v>0</v>
      </c>
      <c r="FN41" s="858">
        <f t="shared" si="86"/>
        <v>0</v>
      </c>
      <c r="FO41" s="858">
        <f t="shared" si="86"/>
        <v>0</v>
      </c>
      <c r="FP41" s="858">
        <f t="shared" si="86"/>
        <v>0</v>
      </c>
      <c r="FQ41" s="858">
        <f>SUBTOTAL(9,FQ36:FQ40)</f>
        <v>0</v>
      </c>
      <c r="FR41" s="858">
        <f t="shared" ref="FR41:FV41" si="87">SUBTOTAL(9,FR36:FR40)</f>
        <v>0</v>
      </c>
      <c r="FS41" s="858">
        <f t="shared" si="87"/>
        <v>0</v>
      </c>
      <c r="FT41" s="858">
        <f t="shared" si="87"/>
        <v>0</v>
      </c>
      <c r="FU41" s="858">
        <f t="shared" si="87"/>
        <v>0</v>
      </c>
      <c r="FV41" s="858">
        <f t="shared" si="87"/>
        <v>0</v>
      </c>
      <c r="FW41" s="779"/>
      <c r="FX41" s="779"/>
      <c r="FY41" s="843"/>
      <c r="FZ41" s="860"/>
    </row>
    <row r="42" spans="3:184" ht="23.25" customHeight="1">
      <c r="C42" s="1482" t="s">
        <v>2183</v>
      </c>
      <c r="D42" s="1483" t="s">
        <v>2248</v>
      </c>
      <c r="E42" s="1485" t="s">
        <v>2249</v>
      </c>
      <c r="F42" s="1485"/>
      <c r="G42" s="846" t="s">
        <v>370</v>
      </c>
      <c r="H42" s="839"/>
      <c r="I42" s="839"/>
      <c r="J42" s="839"/>
      <c r="K42" s="839"/>
      <c r="L42" s="839"/>
      <c r="M42" s="839"/>
      <c r="N42" s="839"/>
      <c r="O42" s="839"/>
      <c r="P42" s="839"/>
      <c r="Q42" s="839"/>
      <c r="R42" s="839"/>
      <c r="S42" s="839"/>
      <c r="T42" s="839"/>
      <c r="U42" s="839"/>
      <c r="V42" s="839"/>
      <c r="W42" s="839"/>
      <c r="X42" s="839"/>
      <c r="Y42" s="839"/>
      <c r="Z42" s="839"/>
      <c r="AA42" s="839"/>
      <c r="AB42" s="839"/>
      <c r="AC42" s="839"/>
      <c r="AD42" s="839"/>
      <c r="AE42" s="839"/>
      <c r="AF42" s="839"/>
      <c r="AG42" s="839"/>
      <c r="AH42" s="839"/>
      <c r="AI42" s="839"/>
      <c r="AJ42" s="839"/>
      <c r="AK42" s="839"/>
      <c r="AL42" s="839"/>
      <c r="AM42" s="839"/>
      <c r="AN42" s="839"/>
      <c r="AO42" s="839"/>
      <c r="AP42" s="839"/>
      <c r="AQ42" s="839"/>
      <c r="AR42" s="839"/>
      <c r="AS42" s="839"/>
      <c r="AT42" s="839"/>
      <c r="AU42" s="839"/>
      <c r="AV42" s="839"/>
      <c r="AW42" s="839"/>
      <c r="AX42" s="839"/>
      <c r="AY42" s="839"/>
      <c r="AZ42" s="839"/>
      <c r="BA42" s="839"/>
      <c r="BB42" s="839"/>
      <c r="BC42" s="839"/>
      <c r="BD42" s="839"/>
      <c r="BE42" s="839"/>
      <c r="BF42" s="839"/>
      <c r="BG42" s="839"/>
      <c r="BH42" s="839"/>
      <c r="BI42" s="839"/>
      <c r="BJ42" s="840">
        <f t="shared" si="0"/>
        <v>0</v>
      </c>
      <c r="BK42" s="840">
        <f t="shared" si="1"/>
        <v>0</v>
      </c>
      <c r="BL42" s="840">
        <f t="shared" si="2"/>
        <v>0</v>
      </c>
      <c r="BM42" s="840">
        <f t="shared" si="3"/>
        <v>0</v>
      </c>
      <c r="BN42" s="840">
        <f t="shared" si="4"/>
        <v>0</v>
      </c>
      <c r="BO42" s="840">
        <f t="shared" si="5"/>
        <v>0</v>
      </c>
      <c r="BP42" s="840">
        <f t="shared" si="6"/>
        <v>0</v>
      </c>
      <c r="BQ42" s="840">
        <f t="shared" si="7"/>
        <v>0</v>
      </c>
      <c r="BR42" s="840">
        <f t="shared" si="8"/>
        <v>0</v>
      </c>
      <c r="BS42" s="840">
        <f t="shared" si="9"/>
        <v>0</v>
      </c>
      <c r="BT42" s="840">
        <f t="shared" si="10"/>
        <v>0</v>
      </c>
      <c r="BU42" s="840">
        <f t="shared" si="11"/>
        <v>0</v>
      </c>
      <c r="BV42" s="840">
        <f t="shared" si="12"/>
        <v>0</v>
      </c>
      <c r="BW42" s="840">
        <f t="shared" si="13"/>
        <v>0</v>
      </c>
      <c r="BX42" s="840">
        <f t="shared" si="14"/>
        <v>0</v>
      </c>
      <c r="BY42" s="840">
        <f t="shared" si="15"/>
        <v>0</v>
      </c>
      <c r="BZ42" s="840">
        <f t="shared" si="16"/>
        <v>0</v>
      </c>
      <c r="CA42" s="840">
        <f t="shared" si="48"/>
        <v>0</v>
      </c>
      <c r="CB42" s="840">
        <f t="shared" si="48"/>
        <v>0</v>
      </c>
      <c r="CC42" s="840">
        <f t="shared" si="48"/>
        <v>0</v>
      </c>
      <c r="CD42" s="840">
        <f t="shared" si="48"/>
        <v>0</v>
      </c>
      <c r="CE42" s="840">
        <f t="shared" si="48"/>
        <v>0</v>
      </c>
      <c r="CF42" s="840">
        <f t="shared" si="48"/>
        <v>0</v>
      </c>
      <c r="CG42" s="840">
        <f>VLOOKUP($G42,$GB$6:$GC$17,2,FALSE)</f>
        <v>1000</v>
      </c>
      <c r="CH42" s="841" t="s">
        <v>38</v>
      </c>
      <c r="CI42" s="840">
        <f t="shared" si="59"/>
        <v>0</v>
      </c>
      <c r="CJ42" s="840">
        <f t="shared" si="60"/>
        <v>0</v>
      </c>
      <c r="CK42" s="840">
        <f t="shared" si="61"/>
        <v>0</v>
      </c>
      <c r="CL42" s="840">
        <f t="shared" si="62"/>
        <v>0</v>
      </c>
      <c r="CM42" s="840">
        <f t="shared" si="63"/>
        <v>0</v>
      </c>
      <c r="CN42" s="840">
        <f t="shared" si="64"/>
        <v>0</v>
      </c>
      <c r="CO42" s="840">
        <f t="shared" si="65"/>
        <v>0</v>
      </c>
      <c r="CP42" s="840">
        <f t="shared" si="66"/>
        <v>0</v>
      </c>
      <c r="CQ42" s="840">
        <f t="shared" si="67"/>
        <v>0</v>
      </c>
      <c r="CR42" s="840">
        <f t="shared" si="68"/>
        <v>0</v>
      </c>
      <c r="CS42" s="840">
        <f t="shared" si="69"/>
        <v>0</v>
      </c>
      <c r="CT42" s="840">
        <f t="shared" si="70"/>
        <v>0</v>
      </c>
      <c r="CU42" s="840">
        <f t="shared" si="71"/>
        <v>0</v>
      </c>
      <c r="CV42" s="840">
        <f t="shared" si="72"/>
        <v>0</v>
      </c>
      <c r="CW42" s="840">
        <f t="shared" si="73"/>
        <v>0</v>
      </c>
      <c r="CX42" s="840">
        <f t="shared" si="74"/>
        <v>0</v>
      </c>
      <c r="CY42" s="840">
        <f t="shared" si="75"/>
        <v>0</v>
      </c>
      <c r="CZ42" s="840">
        <f t="shared" ref="CZ42:DE46" si="88">ROUND(CA42/単位補正２,0)</f>
        <v>0</v>
      </c>
      <c r="DA42" s="840">
        <f t="shared" si="88"/>
        <v>0</v>
      </c>
      <c r="DB42" s="840">
        <f t="shared" si="88"/>
        <v>0</v>
      </c>
      <c r="DC42" s="840">
        <f t="shared" si="88"/>
        <v>0</v>
      </c>
      <c r="DD42" s="840">
        <f t="shared" si="88"/>
        <v>0</v>
      </c>
      <c r="DE42" s="840">
        <f t="shared" si="88"/>
        <v>0</v>
      </c>
      <c r="DF42" s="840">
        <f t="shared" ref="DF42:DU44" si="89">CI42*$FW42</f>
        <v>0</v>
      </c>
      <c r="DG42" s="840">
        <f t="shared" si="89"/>
        <v>0</v>
      </c>
      <c r="DH42" s="840">
        <f t="shared" si="89"/>
        <v>0</v>
      </c>
      <c r="DI42" s="840">
        <f t="shared" si="89"/>
        <v>0</v>
      </c>
      <c r="DJ42" s="840">
        <f t="shared" si="89"/>
        <v>0</v>
      </c>
      <c r="DK42" s="840">
        <f t="shared" si="89"/>
        <v>0</v>
      </c>
      <c r="DL42" s="840">
        <f t="shared" si="89"/>
        <v>0</v>
      </c>
      <c r="DM42" s="840">
        <f t="shared" si="89"/>
        <v>0</v>
      </c>
      <c r="DN42" s="840">
        <f t="shared" si="89"/>
        <v>0</v>
      </c>
      <c r="DO42" s="840">
        <f t="shared" si="89"/>
        <v>0</v>
      </c>
      <c r="DP42" s="840">
        <f t="shared" si="89"/>
        <v>0</v>
      </c>
      <c r="DQ42" s="840">
        <f t="shared" si="89"/>
        <v>0</v>
      </c>
      <c r="DR42" s="840">
        <f t="shared" si="89"/>
        <v>0</v>
      </c>
      <c r="DS42" s="840">
        <f t="shared" si="89"/>
        <v>0</v>
      </c>
      <c r="DT42" s="840">
        <f t="shared" si="89"/>
        <v>0</v>
      </c>
      <c r="DU42" s="840">
        <f t="shared" si="89"/>
        <v>0</v>
      </c>
      <c r="DV42" s="840">
        <f t="shared" ref="DP42:EB44" si="90">CY42*$FW42</f>
        <v>0</v>
      </c>
      <c r="DW42" s="840">
        <f t="shared" si="90"/>
        <v>0</v>
      </c>
      <c r="DX42" s="840">
        <f t="shared" si="90"/>
        <v>0</v>
      </c>
      <c r="DY42" s="840">
        <f t="shared" si="90"/>
        <v>0</v>
      </c>
      <c r="DZ42" s="840">
        <f t="shared" si="90"/>
        <v>0</v>
      </c>
      <c r="EA42" s="840">
        <f t="shared" si="90"/>
        <v>0</v>
      </c>
      <c r="EB42" s="840">
        <f t="shared" si="90"/>
        <v>0</v>
      </c>
      <c r="EC42" s="840">
        <f t="shared" ref="EC42:ER44" si="91">DF42*$GC$19</f>
        <v>0</v>
      </c>
      <c r="ED42" s="840">
        <f t="shared" si="91"/>
        <v>0</v>
      </c>
      <c r="EE42" s="840">
        <f t="shared" si="91"/>
        <v>0</v>
      </c>
      <c r="EF42" s="840">
        <f t="shared" si="91"/>
        <v>0</v>
      </c>
      <c r="EG42" s="840">
        <f t="shared" si="91"/>
        <v>0</v>
      </c>
      <c r="EH42" s="840">
        <f t="shared" si="91"/>
        <v>0</v>
      </c>
      <c r="EI42" s="840">
        <f t="shared" si="91"/>
        <v>0</v>
      </c>
      <c r="EJ42" s="840">
        <f t="shared" si="91"/>
        <v>0</v>
      </c>
      <c r="EK42" s="840">
        <f t="shared" si="91"/>
        <v>0</v>
      </c>
      <c r="EL42" s="840">
        <f t="shared" si="91"/>
        <v>0</v>
      </c>
      <c r="EM42" s="840">
        <f t="shared" si="91"/>
        <v>0</v>
      </c>
      <c r="EN42" s="840">
        <f t="shared" si="91"/>
        <v>0</v>
      </c>
      <c r="EO42" s="840">
        <f t="shared" si="91"/>
        <v>0</v>
      </c>
      <c r="EP42" s="840">
        <f t="shared" si="91"/>
        <v>0</v>
      </c>
      <c r="EQ42" s="840">
        <f t="shared" si="91"/>
        <v>0</v>
      </c>
      <c r="ER42" s="840">
        <f t="shared" si="91"/>
        <v>0</v>
      </c>
      <c r="ES42" s="840">
        <f t="shared" ref="EM42:EY44" si="92">DV42*$GC$19</f>
        <v>0</v>
      </c>
      <c r="ET42" s="840">
        <f t="shared" si="92"/>
        <v>0</v>
      </c>
      <c r="EU42" s="840">
        <f t="shared" si="92"/>
        <v>0</v>
      </c>
      <c r="EV42" s="840">
        <f t="shared" si="92"/>
        <v>0</v>
      </c>
      <c r="EW42" s="840">
        <f t="shared" si="92"/>
        <v>0</v>
      </c>
      <c r="EX42" s="840">
        <f t="shared" si="92"/>
        <v>0</v>
      </c>
      <c r="EY42" s="840">
        <f t="shared" si="92"/>
        <v>0</v>
      </c>
      <c r="EZ42" s="842">
        <f t="shared" ref="EZ42:FO45" si="93">CI42*$FY42</f>
        <v>0</v>
      </c>
      <c r="FA42" s="842">
        <f t="shared" si="93"/>
        <v>0</v>
      </c>
      <c r="FB42" s="842">
        <f t="shared" si="93"/>
        <v>0</v>
      </c>
      <c r="FC42" s="842">
        <f t="shared" si="93"/>
        <v>0</v>
      </c>
      <c r="FD42" s="842">
        <f t="shared" si="93"/>
        <v>0</v>
      </c>
      <c r="FE42" s="842">
        <f t="shared" si="93"/>
        <v>0</v>
      </c>
      <c r="FF42" s="842">
        <f t="shared" si="93"/>
        <v>0</v>
      </c>
      <c r="FG42" s="842">
        <f t="shared" si="93"/>
        <v>0</v>
      </c>
      <c r="FH42" s="842">
        <f t="shared" si="93"/>
        <v>0</v>
      </c>
      <c r="FI42" s="842">
        <f t="shared" si="93"/>
        <v>0</v>
      </c>
      <c r="FJ42" s="842">
        <f t="shared" si="93"/>
        <v>0</v>
      </c>
      <c r="FK42" s="842">
        <f t="shared" si="93"/>
        <v>0</v>
      </c>
      <c r="FL42" s="842">
        <f t="shared" si="93"/>
        <v>0</v>
      </c>
      <c r="FM42" s="842">
        <f t="shared" si="93"/>
        <v>0</v>
      </c>
      <c r="FN42" s="842">
        <f t="shared" si="93"/>
        <v>0</v>
      </c>
      <c r="FO42" s="842">
        <f t="shared" si="93"/>
        <v>0</v>
      </c>
      <c r="FP42" s="842">
        <f t="shared" ref="FJ42:FV45" si="94">CY42*$FY42</f>
        <v>0</v>
      </c>
      <c r="FQ42" s="842">
        <f t="shared" si="94"/>
        <v>0</v>
      </c>
      <c r="FR42" s="842">
        <f t="shared" si="94"/>
        <v>0</v>
      </c>
      <c r="FS42" s="842">
        <f t="shared" si="94"/>
        <v>0</v>
      </c>
      <c r="FT42" s="842">
        <f t="shared" si="94"/>
        <v>0</v>
      </c>
      <c r="FU42" s="842">
        <f t="shared" si="94"/>
        <v>0</v>
      </c>
      <c r="FV42" s="842">
        <f t="shared" si="94"/>
        <v>0</v>
      </c>
      <c r="FW42" s="843">
        <v>9.9700000000000006</v>
      </c>
      <c r="FX42" s="848" t="s">
        <v>2250</v>
      </c>
      <c r="FY42" s="851">
        <v>0.495</v>
      </c>
      <c r="FZ42" s="860" t="s">
        <v>2251</v>
      </c>
    </row>
    <row r="43" spans="3:184" ht="23.25" customHeight="1">
      <c r="C43" s="1482"/>
      <c r="D43" s="1484"/>
      <c r="E43" s="1485" t="s">
        <v>2252</v>
      </c>
      <c r="F43" s="1485"/>
      <c r="G43" s="846" t="s">
        <v>370</v>
      </c>
      <c r="H43" s="839"/>
      <c r="I43" s="839"/>
      <c r="J43" s="839"/>
      <c r="K43" s="839"/>
      <c r="L43" s="839"/>
      <c r="M43" s="839"/>
      <c r="N43" s="839"/>
      <c r="O43" s="839"/>
      <c r="P43" s="839"/>
      <c r="Q43" s="839"/>
      <c r="R43" s="839"/>
      <c r="S43" s="839"/>
      <c r="T43" s="839"/>
      <c r="U43" s="839"/>
      <c r="V43" s="839"/>
      <c r="W43" s="839"/>
      <c r="X43" s="839"/>
      <c r="Y43" s="839"/>
      <c r="Z43" s="839"/>
      <c r="AA43" s="839"/>
      <c r="AB43" s="839"/>
      <c r="AC43" s="839"/>
      <c r="AD43" s="839"/>
      <c r="AE43" s="839"/>
      <c r="AF43" s="839"/>
      <c r="AG43" s="839"/>
      <c r="AH43" s="839"/>
      <c r="AI43" s="839"/>
      <c r="AJ43" s="839"/>
      <c r="AK43" s="839"/>
      <c r="AL43" s="839"/>
      <c r="AM43" s="839"/>
      <c r="AN43" s="839"/>
      <c r="AO43" s="839"/>
      <c r="AP43" s="839"/>
      <c r="AQ43" s="839"/>
      <c r="AR43" s="839"/>
      <c r="AS43" s="839"/>
      <c r="AT43" s="839"/>
      <c r="AU43" s="839"/>
      <c r="AV43" s="839"/>
      <c r="AW43" s="839"/>
      <c r="AX43" s="839"/>
      <c r="AY43" s="839"/>
      <c r="AZ43" s="839"/>
      <c r="BA43" s="839"/>
      <c r="BB43" s="839"/>
      <c r="BC43" s="839"/>
      <c r="BD43" s="839"/>
      <c r="BE43" s="839"/>
      <c r="BF43" s="839"/>
      <c r="BG43" s="839"/>
      <c r="BH43" s="839"/>
      <c r="BI43" s="839"/>
      <c r="BJ43" s="840">
        <f t="shared" si="0"/>
        <v>0</v>
      </c>
      <c r="BK43" s="840">
        <f t="shared" si="1"/>
        <v>0</v>
      </c>
      <c r="BL43" s="840">
        <f t="shared" si="2"/>
        <v>0</v>
      </c>
      <c r="BM43" s="840">
        <f t="shared" si="3"/>
        <v>0</v>
      </c>
      <c r="BN43" s="840">
        <f t="shared" si="4"/>
        <v>0</v>
      </c>
      <c r="BO43" s="840">
        <f t="shared" si="5"/>
        <v>0</v>
      </c>
      <c r="BP43" s="840">
        <f t="shared" si="6"/>
        <v>0</v>
      </c>
      <c r="BQ43" s="840">
        <f t="shared" si="7"/>
        <v>0</v>
      </c>
      <c r="BR43" s="840">
        <f t="shared" si="8"/>
        <v>0</v>
      </c>
      <c r="BS43" s="840">
        <f t="shared" si="9"/>
        <v>0</v>
      </c>
      <c r="BT43" s="840">
        <f t="shared" si="10"/>
        <v>0</v>
      </c>
      <c r="BU43" s="840">
        <f t="shared" si="11"/>
        <v>0</v>
      </c>
      <c r="BV43" s="840">
        <f t="shared" si="12"/>
        <v>0</v>
      </c>
      <c r="BW43" s="840">
        <f t="shared" si="13"/>
        <v>0</v>
      </c>
      <c r="BX43" s="840">
        <f t="shared" si="14"/>
        <v>0</v>
      </c>
      <c r="BY43" s="840">
        <f t="shared" si="15"/>
        <v>0</v>
      </c>
      <c r="BZ43" s="840">
        <f t="shared" si="16"/>
        <v>0</v>
      </c>
      <c r="CA43" s="840">
        <f t="shared" si="48"/>
        <v>0</v>
      </c>
      <c r="CB43" s="840">
        <f t="shared" si="48"/>
        <v>0</v>
      </c>
      <c r="CC43" s="840">
        <f t="shared" si="48"/>
        <v>0</v>
      </c>
      <c r="CD43" s="840">
        <f t="shared" si="48"/>
        <v>0</v>
      </c>
      <c r="CE43" s="840">
        <f t="shared" si="48"/>
        <v>0</v>
      </c>
      <c r="CF43" s="840">
        <f t="shared" si="48"/>
        <v>0</v>
      </c>
      <c r="CG43" s="840">
        <f>VLOOKUP($G43,$GB$6:$GC$17,2,FALSE)</f>
        <v>1000</v>
      </c>
      <c r="CH43" s="841" t="s">
        <v>38</v>
      </c>
      <c r="CI43" s="840">
        <f t="shared" si="59"/>
        <v>0</v>
      </c>
      <c r="CJ43" s="840">
        <f t="shared" si="60"/>
        <v>0</v>
      </c>
      <c r="CK43" s="840">
        <f t="shared" si="61"/>
        <v>0</v>
      </c>
      <c r="CL43" s="840">
        <f t="shared" si="62"/>
        <v>0</v>
      </c>
      <c r="CM43" s="840">
        <f t="shared" si="63"/>
        <v>0</v>
      </c>
      <c r="CN43" s="840">
        <f t="shared" si="64"/>
        <v>0</v>
      </c>
      <c r="CO43" s="840">
        <f t="shared" si="65"/>
        <v>0</v>
      </c>
      <c r="CP43" s="840">
        <f t="shared" si="66"/>
        <v>0</v>
      </c>
      <c r="CQ43" s="840">
        <f t="shared" si="67"/>
        <v>0</v>
      </c>
      <c r="CR43" s="840">
        <f t="shared" si="68"/>
        <v>0</v>
      </c>
      <c r="CS43" s="840">
        <f t="shared" si="69"/>
        <v>0</v>
      </c>
      <c r="CT43" s="840">
        <f t="shared" si="70"/>
        <v>0</v>
      </c>
      <c r="CU43" s="840">
        <f t="shared" si="71"/>
        <v>0</v>
      </c>
      <c r="CV43" s="840">
        <f t="shared" si="72"/>
        <v>0</v>
      </c>
      <c r="CW43" s="840">
        <f t="shared" si="73"/>
        <v>0</v>
      </c>
      <c r="CX43" s="840">
        <f t="shared" si="74"/>
        <v>0</v>
      </c>
      <c r="CY43" s="840">
        <f t="shared" si="75"/>
        <v>0</v>
      </c>
      <c r="CZ43" s="840">
        <f t="shared" si="88"/>
        <v>0</v>
      </c>
      <c r="DA43" s="840">
        <f t="shared" si="88"/>
        <v>0</v>
      </c>
      <c r="DB43" s="840">
        <f t="shared" si="88"/>
        <v>0</v>
      </c>
      <c r="DC43" s="840">
        <f t="shared" si="88"/>
        <v>0</v>
      </c>
      <c r="DD43" s="840">
        <f t="shared" si="88"/>
        <v>0</v>
      </c>
      <c r="DE43" s="840">
        <f t="shared" si="88"/>
        <v>0</v>
      </c>
      <c r="DF43" s="840">
        <f t="shared" si="89"/>
        <v>0</v>
      </c>
      <c r="DG43" s="840">
        <f t="shared" si="89"/>
        <v>0</v>
      </c>
      <c r="DH43" s="840">
        <f t="shared" si="89"/>
        <v>0</v>
      </c>
      <c r="DI43" s="840">
        <f t="shared" si="89"/>
        <v>0</v>
      </c>
      <c r="DJ43" s="840">
        <f t="shared" si="89"/>
        <v>0</v>
      </c>
      <c r="DK43" s="840">
        <f t="shared" si="89"/>
        <v>0</v>
      </c>
      <c r="DL43" s="840">
        <f t="shared" si="89"/>
        <v>0</v>
      </c>
      <c r="DM43" s="840">
        <f t="shared" si="89"/>
        <v>0</v>
      </c>
      <c r="DN43" s="840">
        <f t="shared" si="89"/>
        <v>0</v>
      </c>
      <c r="DO43" s="840">
        <f t="shared" si="89"/>
        <v>0</v>
      </c>
      <c r="DP43" s="840">
        <f t="shared" si="90"/>
        <v>0</v>
      </c>
      <c r="DQ43" s="840">
        <f t="shared" si="90"/>
        <v>0</v>
      </c>
      <c r="DR43" s="840">
        <f t="shared" si="90"/>
        <v>0</v>
      </c>
      <c r="DS43" s="840">
        <f t="shared" si="90"/>
        <v>0</v>
      </c>
      <c r="DT43" s="840">
        <f t="shared" si="90"/>
        <v>0</v>
      </c>
      <c r="DU43" s="840">
        <f t="shared" si="90"/>
        <v>0</v>
      </c>
      <c r="DV43" s="840">
        <f t="shared" si="90"/>
        <v>0</v>
      </c>
      <c r="DW43" s="840">
        <f t="shared" si="90"/>
        <v>0</v>
      </c>
      <c r="DX43" s="840">
        <f t="shared" si="90"/>
        <v>0</v>
      </c>
      <c r="DY43" s="840">
        <f t="shared" si="90"/>
        <v>0</v>
      </c>
      <c r="DZ43" s="840">
        <f t="shared" si="90"/>
        <v>0</v>
      </c>
      <c r="EA43" s="840">
        <f t="shared" si="90"/>
        <v>0</v>
      </c>
      <c r="EB43" s="840">
        <f t="shared" si="90"/>
        <v>0</v>
      </c>
      <c r="EC43" s="840">
        <f t="shared" si="91"/>
        <v>0</v>
      </c>
      <c r="ED43" s="840">
        <f t="shared" si="91"/>
        <v>0</v>
      </c>
      <c r="EE43" s="840">
        <f t="shared" si="91"/>
        <v>0</v>
      </c>
      <c r="EF43" s="840">
        <f t="shared" si="91"/>
        <v>0</v>
      </c>
      <c r="EG43" s="840">
        <f t="shared" si="91"/>
        <v>0</v>
      </c>
      <c r="EH43" s="840">
        <f t="shared" si="91"/>
        <v>0</v>
      </c>
      <c r="EI43" s="840">
        <f t="shared" si="91"/>
        <v>0</v>
      </c>
      <c r="EJ43" s="840">
        <f t="shared" si="91"/>
        <v>0</v>
      </c>
      <c r="EK43" s="840">
        <f t="shared" si="91"/>
        <v>0</v>
      </c>
      <c r="EL43" s="840">
        <f t="shared" si="91"/>
        <v>0</v>
      </c>
      <c r="EM43" s="840">
        <f t="shared" si="92"/>
        <v>0</v>
      </c>
      <c r="EN43" s="840">
        <f t="shared" si="92"/>
        <v>0</v>
      </c>
      <c r="EO43" s="840">
        <f t="shared" si="92"/>
        <v>0</v>
      </c>
      <c r="EP43" s="840">
        <f t="shared" si="92"/>
        <v>0</v>
      </c>
      <c r="EQ43" s="840">
        <f t="shared" si="92"/>
        <v>0</v>
      </c>
      <c r="ER43" s="840">
        <f t="shared" si="92"/>
        <v>0</v>
      </c>
      <c r="ES43" s="840">
        <f t="shared" si="92"/>
        <v>0</v>
      </c>
      <c r="ET43" s="840">
        <f t="shared" si="92"/>
        <v>0</v>
      </c>
      <c r="EU43" s="840">
        <f t="shared" si="92"/>
        <v>0</v>
      </c>
      <c r="EV43" s="840">
        <f t="shared" si="92"/>
        <v>0</v>
      </c>
      <c r="EW43" s="840">
        <f t="shared" si="92"/>
        <v>0</v>
      </c>
      <c r="EX43" s="840">
        <f t="shared" si="92"/>
        <v>0</v>
      </c>
      <c r="EY43" s="840">
        <f t="shared" si="92"/>
        <v>0</v>
      </c>
      <c r="EZ43" s="842">
        <f t="shared" si="93"/>
        <v>0</v>
      </c>
      <c r="FA43" s="842">
        <f t="shared" si="93"/>
        <v>0</v>
      </c>
      <c r="FB43" s="842">
        <f t="shared" si="93"/>
        <v>0</v>
      </c>
      <c r="FC43" s="842">
        <f t="shared" si="93"/>
        <v>0</v>
      </c>
      <c r="FD43" s="842">
        <f t="shared" si="93"/>
        <v>0</v>
      </c>
      <c r="FE43" s="842">
        <f t="shared" si="93"/>
        <v>0</v>
      </c>
      <c r="FF43" s="842">
        <f t="shared" si="93"/>
        <v>0</v>
      </c>
      <c r="FG43" s="842">
        <f t="shared" si="93"/>
        <v>0</v>
      </c>
      <c r="FH43" s="842">
        <f t="shared" si="93"/>
        <v>0</v>
      </c>
      <c r="FI43" s="842">
        <f t="shared" si="93"/>
        <v>0</v>
      </c>
      <c r="FJ43" s="842">
        <f t="shared" si="94"/>
        <v>0</v>
      </c>
      <c r="FK43" s="842">
        <f t="shared" si="94"/>
        <v>0</v>
      </c>
      <c r="FL43" s="842">
        <f t="shared" si="94"/>
        <v>0</v>
      </c>
      <c r="FM43" s="842">
        <f t="shared" si="94"/>
        <v>0</v>
      </c>
      <c r="FN43" s="842">
        <f t="shared" si="94"/>
        <v>0</v>
      </c>
      <c r="FO43" s="842">
        <f t="shared" si="94"/>
        <v>0</v>
      </c>
      <c r="FP43" s="842">
        <f t="shared" si="94"/>
        <v>0</v>
      </c>
      <c r="FQ43" s="842">
        <f t="shared" si="94"/>
        <v>0</v>
      </c>
      <c r="FR43" s="842">
        <f t="shared" si="94"/>
        <v>0</v>
      </c>
      <c r="FS43" s="842">
        <f t="shared" si="94"/>
        <v>0</v>
      </c>
      <c r="FT43" s="842">
        <f t="shared" si="94"/>
        <v>0</v>
      </c>
      <c r="FU43" s="842">
        <f t="shared" si="94"/>
        <v>0</v>
      </c>
      <c r="FV43" s="842">
        <f t="shared" si="94"/>
        <v>0</v>
      </c>
      <c r="FW43" s="843">
        <v>9.2799999999999994</v>
      </c>
      <c r="FX43" s="848" t="s">
        <v>2250</v>
      </c>
      <c r="FY43" s="851">
        <v>0.495</v>
      </c>
      <c r="FZ43" s="860" t="s">
        <v>2251</v>
      </c>
    </row>
    <row r="44" spans="3:184" ht="23.25" customHeight="1">
      <c r="C44" s="1482"/>
      <c r="D44" s="1476" t="s">
        <v>2253</v>
      </c>
      <c r="E44" s="1476"/>
      <c r="F44" s="1476"/>
      <c r="G44" s="846" t="s">
        <v>370</v>
      </c>
      <c r="H44" s="839"/>
      <c r="I44" s="839"/>
      <c r="J44" s="839"/>
      <c r="K44" s="839"/>
      <c r="L44" s="839"/>
      <c r="M44" s="839"/>
      <c r="N44" s="839"/>
      <c r="O44" s="839"/>
      <c r="P44" s="839"/>
      <c r="Q44" s="839"/>
      <c r="R44" s="839"/>
      <c r="S44" s="839"/>
      <c r="T44" s="839"/>
      <c r="U44" s="839"/>
      <c r="V44" s="839"/>
      <c r="W44" s="839"/>
      <c r="X44" s="839"/>
      <c r="Y44" s="839"/>
      <c r="Z44" s="839"/>
      <c r="AA44" s="839"/>
      <c r="AB44" s="839"/>
      <c r="AC44" s="839"/>
      <c r="AD44" s="839"/>
      <c r="AE44" s="839"/>
      <c r="AF44" s="839"/>
      <c r="AG44" s="839"/>
      <c r="AH44" s="839"/>
      <c r="AI44" s="839"/>
      <c r="AJ44" s="839"/>
      <c r="AK44" s="839"/>
      <c r="AL44" s="839"/>
      <c r="AM44" s="839"/>
      <c r="AN44" s="839"/>
      <c r="AO44" s="839"/>
      <c r="AP44" s="839"/>
      <c r="AQ44" s="839"/>
      <c r="AR44" s="839"/>
      <c r="AS44" s="839"/>
      <c r="AT44" s="839"/>
      <c r="AU44" s="839"/>
      <c r="AV44" s="839"/>
      <c r="AW44" s="839"/>
      <c r="AX44" s="839"/>
      <c r="AY44" s="839"/>
      <c r="AZ44" s="839"/>
      <c r="BA44" s="839"/>
      <c r="BB44" s="839"/>
      <c r="BC44" s="839"/>
      <c r="BD44" s="839"/>
      <c r="BE44" s="839"/>
      <c r="BF44" s="839"/>
      <c r="BG44" s="839"/>
      <c r="BH44" s="839"/>
      <c r="BI44" s="839"/>
      <c r="BJ44" s="840">
        <f t="shared" si="0"/>
        <v>0</v>
      </c>
      <c r="BK44" s="840">
        <f t="shared" si="1"/>
        <v>0</v>
      </c>
      <c r="BL44" s="840">
        <f t="shared" si="2"/>
        <v>0</v>
      </c>
      <c r="BM44" s="840">
        <f t="shared" si="3"/>
        <v>0</v>
      </c>
      <c r="BN44" s="840">
        <f t="shared" si="4"/>
        <v>0</v>
      </c>
      <c r="BO44" s="840">
        <f t="shared" si="5"/>
        <v>0</v>
      </c>
      <c r="BP44" s="840">
        <f t="shared" si="6"/>
        <v>0</v>
      </c>
      <c r="BQ44" s="840">
        <f t="shared" si="7"/>
        <v>0</v>
      </c>
      <c r="BR44" s="840">
        <f t="shared" si="8"/>
        <v>0</v>
      </c>
      <c r="BS44" s="840">
        <f t="shared" si="9"/>
        <v>0</v>
      </c>
      <c r="BT44" s="840">
        <f t="shared" si="10"/>
        <v>0</v>
      </c>
      <c r="BU44" s="840">
        <f t="shared" si="11"/>
        <v>0</v>
      </c>
      <c r="BV44" s="840">
        <f t="shared" si="12"/>
        <v>0</v>
      </c>
      <c r="BW44" s="840">
        <f t="shared" si="13"/>
        <v>0</v>
      </c>
      <c r="BX44" s="840">
        <f t="shared" si="14"/>
        <v>0</v>
      </c>
      <c r="BY44" s="840">
        <f t="shared" si="15"/>
        <v>0</v>
      </c>
      <c r="BZ44" s="840">
        <f t="shared" si="16"/>
        <v>0</v>
      </c>
      <c r="CA44" s="840">
        <f t="shared" si="48"/>
        <v>0</v>
      </c>
      <c r="CB44" s="840">
        <f t="shared" si="48"/>
        <v>0</v>
      </c>
      <c r="CC44" s="840">
        <f t="shared" si="48"/>
        <v>0</v>
      </c>
      <c r="CD44" s="840">
        <f t="shared" si="48"/>
        <v>0</v>
      </c>
      <c r="CE44" s="840">
        <f t="shared" si="48"/>
        <v>0</v>
      </c>
      <c r="CF44" s="840">
        <f t="shared" si="48"/>
        <v>0</v>
      </c>
      <c r="CG44" s="840">
        <f>VLOOKUP($G44,$GB$6:$GC$17,2,FALSE)</f>
        <v>1000</v>
      </c>
      <c r="CH44" s="841" t="s">
        <v>38</v>
      </c>
      <c r="CI44" s="840">
        <f t="shared" si="59"/>
        <v>0</v>
      </c>
      <c r="CJ44" s="840">
        <f t="shared" si="60"/>
        <v>0</v>
      </c>
      <c r="CK44" s="840">
        <f t="shared" si="61"/>
        <v>0</v>
      </c>
      <c r="CL44" s="840">
        <f t="shared" si="62"/>
        <v>0</v>
      </c>
      <c r="CM44" s="840">
        <f t="shared" si="63"/>
        <v>0</v>
      </c>
      <c r="CN44" s="840">
        <f t="shared" si="64"/>
        <v>0</v>
      </c>
      <c r="CO44" s="840">
        <f t="shared" si="65"/>
        <v>0</v>
      </c>
      <c r="CP44" s="840">
        <f t="shared" si="66"/>
        <v>0</v>
      </c>
      <c r="CQ44" s="840">
        <f t="shared" si="67"/>
        <v>0</v>
      </c>
      <c r="CR44" s="840">
        <f t="shared" si="68"/>
        <v>0</v>
      </c>
      <c r="CS44" s="840">
        <f t="shared" si="69"/>
        <v>0</v>
      </c>
      <c r="CT44" s="840">
        <f t="shared" si="70"/>
        <v>0</v>
      </c>
      <c r="CU44" s="840">
        <f t="shared" si="71"/>
        <v>0</v>
      </c>
      <c r="CV44" s="840">
        <f t="shared" si="72"/>
        <v>0</v>
      </c>
      <c r="CW44" s="840">
        <f t="shared" si="73"/>
        <v>0</v>
      </c>
      <c r="CX44" s="840">
        <f t="shared" si="74"/>
        <v>0</v>
      </c>
      <c r="CY44" s="840">
        <f t="shared" si="75"/>
        <v>0</v>
      </c>
      <c r="CZ44" s="840">
        <f t="shared" si="88"/>
        <v>0</v>
      </c>
      <c r="DA44" s="840">
        <f t="shared" si="88"/>
        <v>0</v>
      </c>
      <c r="DB44" s="840">
        <f t="shared" si="88"/>
        <v>0</v>
      </c>
      <c r="DC44" s="840">
        <f t="shared" si="88"/>
        <v>0</v>
      </c>
      <c r="DD44" s="840">
        <f t="shared" si="88"/>
        <v>0</v>
      </c>
      <c r="DE44" s="840">
        <f t="shared" si="88"/>
        <v>0</v>
      </c>
      <c r="DF44" s="840">
        <f t="shared" si="89"/>
        <v>0</v>
      </c>
      <c r="DG44" s="840">
        <f t="shared" si="89"/>
        <v>0</v>
      </c>
      <c r="DH44" s="840">
        <f t="shared" si="89"/>
        <v>0</v>
      </c>
      <c r="DI44" s="840">
        <f t="shared" si="89"/>
        <v>0</v>
      </c>
      <c r="DJ44" s="840">
        <f t="shared" si="89"/>
        <v>0</v>
      </c>
      <c r="DK44" s="840">
        <f t="shared" si="89"/>
        <v>0</v>
      </c>
      <c r="DL44" s="840">
        <f t="shared" si="89"/>
        <v>0</v>
      </c>
      <c r="DM44" s="840">
        <f t="shared" si="89"/>
        <v>0</v>
      </c>
      <c r="DN44" s="840">
        <f t="shared" si="89"/>
        <v>0</v>
      </c>
      <c r="DO44" s="840">
        <f t="shared" si="89"/>
        <v>0</v>
      </c>
      <c r="DP44" s="840">
        <f t="shared" si="90"/>
        <v>0</v>
      </c>
      <c r="DQ44" s="840">
        <f t="shared" si="90"/>
        <v>0</v>
      </c>
      <c r="DR44" s="840">
        <f t="shared" si="90"/>
        <v>0</v>
      </c>
      <c r="DS44" s="840">
        <f t="shared" si="90"/>
        <v>0</v>
      </c>
      <c r="DT44" s="840">
        <f t="shared" si="90"/>
        <v>0</v>
      </c>
      <c r="DU44" s="840">
        <f t="shared" si="90"/>
        <v>0</v>
      </c>
      <c r="DV44" s="840">
        <f t="shared" si="90"/>
        <v>0</v>
      </c>
      <c r="DW44" s="840">
        <f t="shared" si="90"/>
        <v>0</v>
      </c>
      <c r="DX44" s="840">
        <f t="shared" si="90"/>
        <v>0</v>
      </c>
      <c r="DY44" s="840">
        <f t="shared" si="90"/>
        <v>0</v>
      </c>
      <c r="DZ44" s="840">
        <f t="shared" si="90"/>
        <v>0</v>
      </c>
      <c r="EA44" s="840">
        <f t="shared" si="90"/>
        <v>0</v>
      </c>
      <c r="EB44" s="840">
        <f t="shared" si="90"/>
        <v>0</v>
      </c>
      <c r="EC44" s="840">
        <f t="shared" si="91"/>
        <v>0</v>
      </c>
      <c r="ED44" s="840">
        <f t="shared" si="91"/>
        <v>0</v>
      </c>
      <c r="EE44" s="840">
        <f t="shared" si="91"/>
        <v>0</v>
      </c>
      <c r="EF44" s="840">
        <f t="shared" si="91"/>
        <v>0</v>
      </c>
      <c r="EG44" s="840">
        <f t="shared" si="91"/>
        <v>0</v>
      </c>
      <c r="EH44" s="840">
        <f t="shared" si="91"/>
        <v>0</v>
      </c>
      <c r="EI44" s="840">
        <f t="shared" si="91"/>
        <v>0</v>
      </c>
      <c r="EJ44" s="840">
        <f t="shared" si="91"/>
        <v>0</v>
      </c>
      <c r="EK44" s="840">
        <f t="shared" si="91"/>
        <v>0</v>
      </c>
      <c r="EL44" s="840">
        <f t="shared" si="91"/>
        <v>0</v>
      </c>
      <c r="EM44" s="840">
        <f t="shared" si="92"/>
        <v>0</v>
      </c>
      <c r="EN44" s="840">
        <f t="shared" si="92"/>
        <v>0</v>
      </c>
      <c r="EO44" s="840">
        <f t="shared" si="92"/>
        <v>0</v>
      </c>
      <c r="EP44" s="840">
        <f t="shared" si="92"/>
        <v>0</v>
      </c>
      <c r="EQ44" s="840">
        <f t="shared" si="92"/>
        <v>0</v>
      </c>
      <c r="ER44" s="840">
        <f t="shared" si="92"/>
        <v>0</v>
      </c>
      <c r="ES44" s="840">
        <f t="shared" si="92"/>
        <v>0</v>
      </c>
      <c r="ET44" s="840">
        <f t="shared" si="92"/>
        <v>0</v>
      </c>
      <c r="EU44" s="840">
        <f t="shared" si="92"/>
        <v>0</v>
      </c>
      <c r="EV44" s="840">
        <f t="shared" si="92"/>
        <v>0</v>
      </c>
      <c r="EW44" s="840">
        <f t="shared" si="92"/>
        <v>0</v>
      </c>
      <c r="EX44" s="840">
        <f t="shared" si="92"/>
        <v>0</v>
      </c>
      <c r="EY44" s="840">
        <f t="shared" si="92"/>
        <v>0</v>
      </c>
      <c r="EZ44" s="842">
        <f t="shared" si="93"/>
        <v>0</v>
      </c>
      <c r="FA44" s="842">
        <f t="shared" si="93"/>
        <v>0</v>
      </c>
      <c r="FB44" s="842">
        <f t="shared" si="93"/>
        <v>0</v>
      </c>
      <c r="FC44" s="842">
        <f t="shared" si="93"/>
        <v>0</v>
      </c>
      <c r="FD44" s="842">
        <f t="shared" si="93"/>
        <v>0</v>
      </c>
      <c r="FE44" s="842">
        <f t="shared" si="93"/>
        <v>0</v>
      </c>
      <c r="FF44" s="842">
        <f t="shared" si="93"/>
        <v>0</v>
      </c>
      <c r="FG44" s="842">
        <f t="shared" si="93"/>
        <v>0</v>
      </c>
      <c r="FH44" s="842">
        <f t="shared" si="93"/>
        <v>0</v>
      </c>
      <c r="FI44" s="842">
        <f t="shared" si="93"/>
        <v>0</v>
      </c>
      <c r="FJ44" s="842">
        <f t="shared" si="94"/>
        <v>0</v>
      </c>
      <c r="FK44" s="842">
        <f t="shared" si="94"/>
        <v>0</v>
      </c>
      <c r="FL44" s="842">
        <f t="shared" si="94"/>
        <v>0</v>
      </c>
      <c r="FM44" s="842">
        <f t="shared" si="94"/>
        <v>0</v>
      </c>
      <c r="FN44" s="842">
        <f t="shared" si="94"/>
        <v>0</v>
      </c>
      <c r="FO44" s="842">
        <f t="shared" si="94"/>
        <v>0</v>
      </c>
      <c r="FP44" s="842">
        <f t="shared" si="94"/>
        <v>0</v>
      </c>
      <c r="FQ44" s="842">
        <f t="shared" si="94"/>
        <v>0</v>
      </c>
      <c r="FR44" s="842">
        <f t="shared" si="94"/>
        <v>0</v>
      </c>
      <c r="FS44" s="842">
        <f t="shared" si="94"/>
        <v>0</v>
      </c>
      <c r="FT44" s="842">
        <f t="shared" si="94"/>
        <v>0</v>
      </c>
      <c r="FU44" s="842">
        <f t="shared" si="94"/>
        <v>0</v>
      </c>
      <c r="FV44" s="842">
        <f t="shared" si="94"/>
        <v>0</v>
      </c>
      <c r="FW44" s="861">
        <v>9.76</v>
      </c>
      <c r="FX44" s="779" t="s">
        <v>2250</v>
      </c>
      <c r="FY44" s="851">
        <v>0.495</v>
      </c>
      <c r="FZ44" s="862" t="s">
        <v>2251</v>
      </c>
    </row>
    <row r="45" spans="3:184" ht="23.25" customHeight="1">
      <c r="C45" s="1482"/>
      <c r="D45" s="1484" t="s">
        <v>2254</v>
      </c>
      <c r="E45" s="1484"/>
      <c r="F45" s="1484"/>
      <c r="G45" s="846" t="s">
        <v>370</v>
      </c>
      <c r="H45" s="839"/>
      <c r="I45" s="839"/>
      <c r="J45" s="839"/>
      <c r="K45" s="839"/>
      <c r="L45" s="839"/>
      <c r="M45" s="839"/>
      <c r="N45" s="839"/>
      <c r="O45" s="839"/>
      <c r="P45" s="839"/>
      <c r="Q45" s="839"/>
      <c r="R45" s="839"/>
      <c r="S45" s="839"/>
      <c r="T45" s="839"/>
      <c r="U45" s="839"/>
      <c r="V45" s="839"/>
      <c r="W45" s="839"/>
      <c r="X45" s="839"/>
      <c r="Y45" s="839"/>
      <c r="Z45" s="839"/>
      <c r="AA45" s="839"/>
      <c r="AB45" s="839"/>
      <c r="AC45" s="839"/>
      <c r="AD45" s="839"/>
      <c r="AE45" s="839"/>
      <c r="AF45" s="839"/>
      <c r="AG45" s="839"/>
      <c r="AH45" s="839"/>
      <c r="AI45" s="852"/>
      <c r="AJ45" s="852"/>
      <c r="AK45" s="852"/>
      <c r="AL45" s="852"/>
      <c r="AM45" s="852"/>
      <c r="AN45" s="852"/>
      <c r="AO45" s="852"/>
      <c r="AP45" s="852"/>
      <c r="AQ45" s="852"/>
      <c r="AR45" s="852"/>
      <c r="AS45" s="852"/>
      <c r="AT45" s="852"/>
      <c r="AU45" s="852"/>
      <c r="AV45" s="852"/>
      <c r="AW45" s="852"/>
      <c r="AX45" s="852"/>
      <c r="AY45" s="852"/>
      <c r="AZ45" s="852"/>
      <c r="BA45" s="852"/>
      <c r="BB45" s="852"/>
      <c r="BC45" s="852"/>
      <c r="BD45" s="852"/>
      <c r="BE45" s="852"/>
      <c r="BF45" s="852"/>
      <c r="BG45" s="852"/>
      <c r="BH45" s="852"/>
      <c r="BI45" s="852"/>
      <c r="BJ45" s="840">
        <f t="shared" si="0"/>
        <v>0</v>
      </c>
      <c r="BK45" s="840">
        <f t="shared" si="1"/>
        <v>0</v>
      </c>
      <c r="BL45" s="840">
        <f t="shared" si="2"/>
        <v>0</v>
      </c>
      <c r="BM45" s="840">
        <f t="shared" si="3"/>
        <v>0</v>
      </c>
      <c r="BN45" s="840">
        <f t="shared" si="4"/>
        <v>0</v>
      </c>
      <c r="BO45" s="840">
        <f t="shared" si="5"/>
        <v>0</v>
      </c>
      <c r="BP45" s="840">
        <f t="shared" si="6"/>
        <v>0</v>
      </c>
      <c r="BQ45" s="840">
        <f t="shared" si="7"/>
        <v>0</v>
      </c>
      <c r="BR45" s="840">
        <f t="shared" si="8"/>
        <v>0</v>
      </c>
      <c r="BS45" s="840">
        <f t="shared" si="9"/>
        <v>0</v>
      </c>
      <c r="BT45" s="840">
        <f t="shared" si="10"/>
        <v>0</v>
      </c>
      <c r="BU45" s="840">
        <f t="shared" si="11"/>
        <v>0</v>
      </c>
      <c r="BV45" s="840">
        <f t="shared" si="12"/>
        <v>0</v>
      </c>
      <c r="BW45" s="840">
        <f t="shared" si="13"/>
        <v>0</v>
      </c>
      <c r="BX45" s="840">
        <f t="shared" si="14"/>
        <v>0</v>
      </c>
      <c r="BY45" s="840">
        <f t="shared" si="15"/>
        <v>0</v>
      </c>
      <c r="BZ45" s="840">
        <f t="shared" si="16"/>
        <v>0</v>
      </c>
      <c r="CA45" s="840">
        <f t="shared" si="48"/>
        <v>0</v>
      </c>
      <c r="CB45" s="840">
        <f t="shared" si="48"/>
        <v>0</v>
      </c>
      <c r="CC45" s="840">
        <f t="shared" si="48"/>
        <v>0</v>
      </c>
      <c r="CD45" s="840">
        <f t="shared" si="48"/>
        <v>0</v>
      </c>
      <c r="CE45" s="840">
        <f t="shared" si="48"/>
        <v>0</v>
      </c>
      <c r="CF45" s="840">
        <f t="shared" si="48"/>
        <v>0</v>
      </c>
      <c r="CG45" s="840">
        <f>VLOOKUP($G45,$GB$6:$GC$17,2,FALSE)</f>
        <v>1000</v>
      </c>
      <c r="CH45" s="841" t="s">
        <v>38</v>
      </c>
      <c r="CI45" s="840">
        <f t="shared" si="59"/>
        <v>0</v>
      </c>
      <c r="CJ45" s="840">
        <f t="shared" si="60"/>
        <v>0</v>
      </c>
      <c r="CK45" s="840">
        <f t="shared" si="61"/>
        <v>0</v>
      </c>
      <c r="CL45" s="840">
        <f t="shared" si="62"/>
        <v>0</v>
      </c>
      <c r="CM45" s="840">
        <f t="shared" si="63"/>
        <v>0</v>
      </c>
      <c r="CN45" s="840">
        <f t="shared" si="64"/>
        <v>0</v>
      </c>
      <c r="CO45" s="840">
        <f t="shared" si="65"/>
        <v>0</v>
      </c>
      <c r="CP45" s="840">
        <f t="shared" si="66"/>
        <v>0</v>
      </c>
      <c r="CQ45" s="840">
        <f t="shared" si="67"/>
        <v>0</v>
      </c>
      <c r="CR45" s="840">
        <f t="shared" si="68"/>
        <v>0</v>
      </c>
      <c r="CS45" s="840">
        <f t="shared" si="69"/>
        <v>0</v>
      </c>
      <c r="CT45" s="840">
        <f t="shared" si="70"/>
        <v>0</v>
      </c>
      <c r="CU45" s="840">
        <f t="shared" si="71"/>
        <v>0</v>
      </c>
      <c r="CV45" s="840">
        <f t="shared" si="72"/>
        <v>0</v>
      </c>
      <c r="CW45" s="840">
        <f t="shared" si="73"/>
        <v>0</v>
      </c>
      <c r="CX45" s="840">
        <f t="shared" si="74"/>
        <v>0</v>
      </c>
      <c r="CY45" s="840">
        <f t="shared" si="75"/>
        <v>0</v>
      </c>
      <c r="CZ45" s="840">
        <f t="shared" si="88"/>
        <v>0</v>
      </c>
      <c r="DA45" s="840">
        <f t="shared" si="88"/>
        <v>0</v>
      </c>
      <c r="DB45" s="840">
        <f t="shared" si="88"/>
        <v>0</v>
      </c>
      <c r="DC45" s="840">
        <f t="shared" si="88"/>
        <v>0</v>
      </c>
      <c r="DD45" s="840">
        <f t="shared" si="88"/>
        <v>0</v>
      </c>
      <c r="DE45" s="840">
        <f t="shared" si="88"/>
        <v>0</v>
      </c>
      <c r="DF45" s="852"/>
      <c r="DG45" s="852"/>
      <c r="DH45" s="852"/>
      <c r="DI45" s="852"/>
      <c r="DJ45" s="852"/>
      <c r="DK45" s="852"/>
      <c r="DL45" s="852"/>
      <c r="DM45" s="852"/>
      <c r="DN45" s="852"/>
      <c r="DO45" s="852"/>
      <c r="DP45" s="852"/>
      <c r="DQ45" s="852"/>
      <c r="DR45" s="852"/>
      <c r="DS45" s="852"/>
      <c r="DT45" s="852"/>
      <c r="DU45" s="852"/>
      <c r="DV45" s="852"/>
      <c r="DW45" s="852"/>
      <c r="DX45" s="852"/>
      <c r="DY45" s="852"/>
      <c r="DZ45" s="852"/>
      <c r="EA45" s="852"/>
      <c r="EB45" s="852"/>
      <c r="EC45" s="852"/>
      <c r="ED45" s="852"/>
      <c r="EE45" s="852"/>
      <c r="EF45" s="852"/>
      <c r="EG45" s="852"/>
      <c r="EH45" s="852"/>
      <c r="EI45" s="852"/>
      <c r="EJ45" s="852"/>
      <c r="EK45" s="852"/>
      <c r="EL45" s="852"/>
      <c r="EM45" s="852"/>
      <c r="EN45" s="852"/>
      <c r="EO45" s="852"/>
      <c r="EP45" s="852"/>
      <c r="EQ45" s="852"/>
      <c r="ER45" s="852"/>
      <c r="ES45" s="852"/>
      <c r="ET45" s="852"/>
      <c r="EU45" s="852"/>
      <c r="EV45" s="852"/>
      <c r="EW45" s="852"/>
      <c r="EX45" s="852"/>
      <c r="EY45" s="852"/>
      <c r="EZ45" s="842">
        <f t="shared" si="93"/>
        <v>0</v>
      </c>
      <c r="FA45" s="842">
        <f t="shared" si="93"/>
        <v>0</v>
      </c>
      <c r="FB45" s="842">
        <f t="shared" si="93"/>
        <v>0</v>
      </c>
      <c r="FC45" s="842">
        <f t="shared" si="93"/>
        <v>0</v>
      </c>
      <c r="FD45" s="842">
        <f t="shared" si="93"/>
        <v>0</v>
      </c>
      <c r="FE45" s="842">
        <f t="shared" si="93"/>
        <v>0</v>
      </c>
      <c r="FF45" s="842">
        <f t="shared" si="93"/>
        <v>0</v>
      </c>
      <c r="FG45" s="842">
        <f t="shared" si="93"/>
        <v>0</v>
      </c>
      <c r="FH45" s="842">
        <f t="shared" si="93"/>
        <v>0</v>
      </c>
      <c r="FI45" s="842">
        <f t="shared" si="93"/>
        <v>0</v>
      </c>
      <c r="FJ45" s="842">
        <f t="shared" si="94"/>
        <v>0</v>
      </c>
      <c r="FK45" s="842">
        <f t="shared" si="94"/>
        <v>0</v>
      </c>
      <c r="FL45" s="842">
        <f t="shared" si="94"/>
        <v>0</v>
      </c>
      <c r="FM45" s="842">
        <f t="shared" si="94"/>
        <v>0</v>
      </c>
      <c r="FN45" s="842">
        <f t="shared" si="94"/>
        <v>0</v>
      </c>
      <c r="FO45" s="842">
        <f t="shared" si="94"/>
        <v>0</v>
      </c>
      <c r="FP45" s="842">
        <f t="shared" si="94"/>
        <v>0</v>
      </c>
      <c r="FQ45" s="842">
        <f t="shared" si="94"/>
        <v>0</v>
      </c>
      <c r="FR45" s="842">
        <f t="shared" si="94"/>
        <v>0</v>
      </c>
      <c r="FS45" s="842">
        <f t="shared" si="94"/>
        <v>0</v>
      </c>
      <c r="FT45" s="842">
        <f t="shared" si="94"/>
        <v>0</v>
      </c>
      <c r="FU45" s="842">
        <f t="shared" si="94"/>
        <v>0</v>
      </c>
      <c r="FV45" s="842">
        <f t="shared" si="94"/>
        <v>0</v>
      </c>
      <c r="FW45" s="1481"/>
      <c r="FX45" s="1481"/>
      <c r="FY45" s="851">
        <v>0.495</v>
      </c>
      <c r="FZ45" s="862" t="s">
        <v>2251</v>
      </c>
    </row>
    <row r="46" spans="3:184" ht="23.25" customHeight="1">
      <c r="C46" s="1482"/>
      <c r="D46" s="1484" t="s">
        <v>2255</v>
      </c>
      <c r="E46" s="1484"/>
      <c r="F46" s="1484"/>
      <c r="G46" s="846" t="s">
        <v>370</v>
      </c>
      <c r="H46" s="839"/>
      <c r="I46" s="839"/>
      <c r="J46" s="839"/>
      <c r="K46" s="839"/>
      <c r="L46" s="839"/>
      <c r="M46" s="839"/>
      <c r="N46" s="839"/>
      <c r="O46" s="839"/>
      <c r="P46" s="839"/>
      <c r="Q46" s="839"/>
      <c r="R46" s="839"/>
      <c r="S46" s="839"/>
      <c r="T46" s="839"/>
      <c r="U46" s="839"/>
      <c r="V46" s="839"/>
      <c r="W46" s="839"/>
      <c r="X46" s="839"/>
      <c r="Y46" s="839"/>
      <c r="Z46" s="839"/>
      <c r="AA46" s="839"/>
      <c r="AB46" s="839"/>
      <c r="AC46" s="839"/>
      <c r="AD46" s="839"/>
      <c r="AE46" s="839"/>
      <c r="AF46" s="839"/>
      <c r="AG46" s="839"/>
      <c r="AH46" s="839"/>
      <c r="AI46" s="852"/>
      <c r="AJ46" s="852"/>
      <c r="AK46" s="852"/>
      <c r="AL46" s="852"/>
      <c r="AM46" s="852"/>
      <c r="AN46" s="852"/>
      <c r="AO46" s="852"/>
      <c r="AP46" s="852"/>
      <c r="AQ46" s="852"/>
      <c r="AR46" s="852"/>
      <c r="AS46" s="852"/>
      <c r="AT46" s="852"/>
      <c r="AU46" s="852"/>
      <c r="AV46" s="852"/>
      <c r="AW46" s="852"/>
      <c r="AX46" s="852"/>
      <c r="AY46" s="852"/>
      <c r="AZ46" s="852"/>
      <c r="BA46" s="852"/>
      <c r="BB46" s="852"/>
      <c r="BC46" s="852"/>
      <c r="BD46" s="852"/>
      <c r="BE46" s="852"/>
      <c r="BF46" s="852"/>
      <c r="BG46" s="852"/>
      <c r="BH46" s="852"/>
      <c r="BI46" s="852"/>
      <c r="BJ46" s="840">
        <f t="shared" si="0"/>
        <v>0</v>
      </c>
      <c r="BK46" s="840">
        <f t="shared" si="1"/>
        <v>0</v>
      </c>
      <c r="BL46" s="840">
        <f t="shared" si="2"/>
        <v>0</v>
      </c>
      <c r="BM46" s="840">
        <f t="shared" si="3"/>
        <v>0</v>
      </c>
      <c r="BN46" s="840">
        <f t="shared" si="4"/>
        <v>0</v>
      </c>
      <c r="BO46" s="840">
        <f t="shared" si="5"/>
        <v>0</v>
      </c>
      <c r="BP46" s="840">
        <f t="shared" si="6"/>
        <v>0</v>
      </c>
      <c r="BQ46" s="840">
        <f t="shared" si="7"/>
        <v>0</v>
      </c>
      <c r="BR46" s="840">
        <f t="shared" si="8"/>
        <v>0</v>
      </c>
      <c r="BS46" s="840">
        <f t="shared" si="9"/>
        <v>0</v>
      </c>
      <c r="BT46" s="840">
        <f t="shared" si="10"/>
        <v>0</v>
      </c>
      <c r="BU46" s="840">
        <f t="shared" si="11"/>
        <v>0</v>
      </c>
      <c r="BV46" s="840">
        <f t="shared" si="12"/>
        <v>0</v>
      </c>
      <c r="BW46" s="840">
        <f t="shared" si="13"/>
        <v>0</v>
      </c>
      <c r="BX46" s="840">
        <f t="shared" si="14"/>
        <v>0</v>
      </c>
      <c r="BY46" s="840">
        <f t="shared" si="15"/>
        <v>0</v>
      </c>
      <c r="BZ46" s="840">
        <f t="shared" si="16"/>
        <v>0</v>
      </c>
      <c r="CA46" s="840">
        <f t="shared" si="48"/>
        <v>0</v>
      </c>
      <c r="CB46" s="840">
        <f t="shared" si="48"/>
        <v>0</v>
      </c>
      <c r="CC46" s="840">
        <f t="shared" si="48"/>
        <v>0</v>
      </c>
      <c r="CD46" s="840">
        <f t="shared" si="48"/>
        <v>0</v>
      </c>
      <c r="CE46" s="840">
        <f t="shared" si="48"/>
        <v>0</v>
      </c>
      <c r="CF46" s="840">
        <f t="shared" si="48"/>
        <v>0</v>
      </c>
      <c r="CG46" s="840">
        <f>VLOOKUP($G46,$GB$6:$GC$17,2,FALSE)</f>
        <v>1000</v>
      </c>
      <c r="CH46" s="841" t="s">
        <v>38</v>
      </c>
      <c r="CI46" s="840">
        <f t="shared" si="59"/>
        <v>0</v>
      </c>
      <c r="CJ46" s="840">
        <f t="shared" si="60"/>
        <v>0</v>
      </c>
      <c r="CK46" s="840">
        <f t="shared" si="61"/>
        <v>0</v>
      </c>
      <c r="CL46" s="840">
        <f t="shared" si="62"/>
        <v>0</v>
      </c>
      <c r="CM46" s="840">
        <f t="shared" si="63"/>
        <v>0</v>
      </c>
      <c r="CN46" s="840">
        <f t="shared" si="64"/>
        <v>0</v>
      </c>
      <c r="CO46" s="840">
        <f t="shared" si="65"/>
        <v>0</v>
      </c>
      <c r="CP46" s="840">
        <f t="shared" si="66"/>
        <v>0</v>
      </c>
      <c r="CQ46" s="840">
        <f t="shared" si="67"/>
        <v>0</v>
      </c>
      <c r="CR46" s="840">
        <f t="shared" si="68"/>
        <v>0</v>
      </c>
      <c r="CS46" s="840">
        <f t="shared" si="69"/>
        <v>0</v>
      </c>
      <c r="CT46" s="840">
        <f t="shared" si="70"/>
        <v>0</v>
      </c>
      <c r="CU46" s="840">
        <f t="shared" si="71"/>
        <v>0</v>
      </c>
      <c r="CV46" s="840">
        <f t="shared" si="72"/>
        <v>0</v>
      </c>
      <c r="CW46" s="840">
        <f t="shared" si="73"/>
        <v>0</v>
      </c>
      <c r="CX46" s="840">
        <f t="shared" si="74"/>
        <v>0</v>
      </c>
      <c r="CY46" s="840">
        <f t="shared" si="75"/>
        <v>0</v>
      </c>
      <c r="CZ46" s="840">
        <f t="shared" si="88"/>
        <v>0</v>
      </c>
      <c r="DA46" s="840">
        <f t="shared" si="88"/>
        <v>0</v>
      </c>
      <c r="DB46" s="840">
        <f t="shared" si="88"/>
        <v>0</v>
      </c>
      <c r="DC46" s="840">
        <f t="shared" si="88"/>
        <v>0</v>
      </c>
      <c r="DD46" s="840">
        <f t="shared" si="88"/>
        <v>0</v>
      </c>
      <c r="DE46" s="840">
        <f t="shared" si="88"/>
        <v>0</v>
      </c>
      <c r="DF46" s="852"/>
      <c r="DG46" s="852"/>
      <c r="DH46" s="852"/>
      <c r="DI46" s="852"/>
      <c r="DJ46" s="852"/>
      <c r="DK46" s="852"/>
      <c r="DL46" s="852"/>
      <c r="DM46" s="852"/>
      <c r="DN46" s="852"/>
      <c r="DO46" s="852"/>
      <c r="DP46" s="852"/>
      <c r="DQ46" s="852"/>
      <c r="DR46" s="852"/>
      <c r="DS46" s="852"/>
      <c r="DT46" s="852"/>
      <c r="DU46" s="852"/>
      <c r="DV46" s="852"/>
      <c r="DW46" s="852"/>
      <c r="DX46" s="852"/>
      <c r="DY46" s="852"/>
      <c r="DZ46" s="852"/>
      <c r="EA46" s="852"/>
      <c r="EB46" s="852"/>
      <c r="EC46" s="852"/>
      <c r="ED46" s="852"/>
      <c r="EE46" s="852"/>
      <c r="EF46" s="852"/>
      <c r="EG46" s="852"/>
      <c r="EH46" s="852"/>
      <c r="EI46" s="852"/>
      <c r="EJ46" s="852"/>
      <c r="EK46" s="852"/>
      <c r="EL46" s="852"/>
      <c r="EM46" s="852"/>
      <c r="EN46" s="852"/>
      <c r="EO46" s="852"/>
      <c r="EP46" s="852"/>
      <c r="EQ46" s="852"/>
      <c r="ER46" s="852"/>
      <c r="ES46" s="852"/>
      <c r="ET46" s="852"/>
      <c r="EU46" s="852"/>
      <c r="EV46" s="852"/>
      <c r="EW46" s="852"/>
      <c r="EX46" s="852"/>
      <c r="EY46" s="852"/>
      <c r="EZ46" s="842">
        <f t="shared" ref="EZ46:FQ46" si="95">-ABS(CI46*$GA46)</f>
        <v>0</v>
      </c>
      <c r="FA46" s="842">
        <f t="shared" si="95"/>
        <v>0</v>
      </c>
      <c r="FB46" s="842">
        <f t="shared" si="95"/>
        <v>0</v>
      </c>
      <c r="FC46" s="842">
        <f t="shared" si="95"/>
        <v>0</v>
      </c>
      <c r="FD46" s="842">
        <f t="shared" si="95"/>
        <v>0</v>
      </c>
      <c r="FE46" s="842">
        <f t="shared" si="95"/>
        <v>0</v>
      </c>
      <c r="FF46" s="842">
        <f t="shared" si="95"/>
        <v>0</v>
      </c>
      <c r="FG46" s="842">
        <f t="shared" si="95"/>
        <v>0</v>
      </c>
      <c r="FH46" s="842">
        <f t="shared" si="95"/>
        <v>0</v>
      </c>
      <c r="FI46" s="842">
        <f t="shared" si="95"/>
        <v>0</v>
      </c>
      <c r="FJ46" s="842">
        <f t="shared" si="95"/>
        <v>0</v>
      </c>
      <c r="FK46" s="842">
        <f t="shared" si="95"/>
        <v>0</v>
      </c>
      <c r="FL46" s="842">
        <f t="shared" si="95"/>
        <v>0</v>
      </c>
      <c r="FM46" s="842">
        <f t="shared" si="95"/>
        <v>0</v>
      </c>
      <c r="FN46" s="842">
        <f t="shared" si="95"/>
        <v>0</v>
      </c>
      <c r="FO46" s="842">
        <f t="shared" si="95"/>
        <v>0</v>
      </c>
      <c r="FP46" s="842">
        <f t="shared" si="95"/>
        <v>0</v>
      </c>
      <c r="FQ46" s="842">
        <f t="shared" si="95"/>
        <v>0</v>
      </c>
      <c r="FR46" s="842">
        <f t="shared" ref="FR46:FS46" si="96">-ABS(DA46*$FY46)</f>
        <v>0</v>
      </c>
      <c r="FS46" s="842">
        <f t="shared" si="96"/>
        <v>0</v>
      </c>
      <c r="FT46" s="842">
        <f>-ABS(DC46*$FY46)</f>
        <v>0</v>
      </c>
      <c r="FU46" s="842">
        <f t="shared" ref="FU46:FV46" si="97">-ABS(DD46*$FY46)</f>
        <v>0</v>
      </c>
      <c r="FV46" s="842">
        <f t="shared" si="97"/>
        <v>0</v>
      </c>
      <c r="FW46" s="1481"/>
      <c r="FX46" s="1481"/>
      <c r="FY46" s="863">
        <v>-0.2445</v>
      </c>
      <c r="FZ46" s="862" t="s">
        <v>2251</v>
      </c>
      <c r="GA46" s="864">
        <v>-0.193</v>
      </c>
    </row>
    <row r="47" spans="3:184" ht="23.25" customHeight="1">
      <c r="C47" s="865"/>
      <c r="D47" s="1437" t="s">
        <v>2244</v>
      </c>
      <c r="E47" s="1438"/>
      <c r="F47" s="1439"/>
      <c r="G47" s="846"/>
      <c r="H47" s="839"/>
      <c r="I47" s="839"/>
      <c r="J47" s="839"/>
      <c r="K47" s="839"/>
      <c r="L47" s="839"/>
      <c r="M47" s="839"/>
      <c r="N47" s="839"/>
      <c r="O47" s="839"/>
      <c r="P47" s="839"/>
      <c r="Q47" s="839"/>
      <c r="R47" s="839"/>
      <c r="S47" s="839"/>
      <c r="T47" s="839"/>
      <c r="U47" s="839"/>
      <c r="V47" s="839"/>
      <c r="W47" s="839"/>
      <c r="X47" s="839"/>
      <c r="Y47" s="839"/>
      <c r="Z47" s="839"/>
      <c r="AA47" s="839"/>
      <c r="AB47" s="839"/>
      <c r="AC47" s="839"/>
      <c r="AD47" s="839"/>
      <c r="AE47" s="839"/>
      <c r="AF47" s="839"/>
      <c r="AG47" s="839"/>
      <c r="AH47" s="839"/>
      <c r="AI47" s="840"/>
      <c r="AJ47" s="840"/>
      <c r="AK47" s="840"/>
      <c r="AL47" s="840"/>
      <c r="AM47" s="840"/>
      <c r="AN47" s="840"/>
      <c r="AO47" s="840"/>
      <c r="AP47" s="840"/>
      <c r="AQ47" s="840"/>
      <c r="AR47" s="840"/>
      <c r="AS47" s="840"/>
      <c r="AT47" s="840"/>
      <c r="AU47" s="840"/>
      <c r="AV47" s="840"/>
      <c r="AW47" s="840"/>
      <c r="AX47" s="840"/>
      <c r="AY47" s="840"/>
      <c r="AZ47" s="840"/>
      <c r="BA47" s="840"/>
      <c r="BB47" s="840"/>
      <c r="BC47" s="840"/>
      <c r="BD47" s="840"/>
      <c r="BE47" s="840"/>
      <c r="BF47" s="840"/>
      <c r="BG47" s="840"/>
      <c r="BH47" s="840"/>
      <c r="BI47" s="840"/>
      <c r="BJ47" s="840"/>
      <c r="BK47" s="840"/>
      <c r="BL47" s="840"/>
      <c r="BM47" s="840"/>
      <c r="BN47" s="840"/>
      <c r="BO47" s="840"/>
      <c r="BP47" s="840"/>
      <c r="BQ47" s="840"/>
      <c r="BR47" s="840"/>
      <c r="BS47" s="840"/>
      <c r="BT47" s="840"/>
      <c r="BU47" s="840"/>
      <c r="BV47" s="840"/>
      <c r="BW47" s="840"/>
      <c r="BX47" s="840"/>
      <c r="BY47" s="840"/>
      <c r="BZ47" s="840"/>
      <c r="CA47" s="840"/>
      <c r="CB47" s="840"/>
      <c r="CC47" s="840"/>
      <c r="CD47" s="840"/>
      <c r="CE47" s="840"/>
      <c r="CF47" s="840"/>
      <c r="CG47" s="840"/>
      <c r="CH47" s="841"/>
      <c r="CI47" s="840"/>
      <c r="CJ47" s="840"/>
      <c r="CK47" s="840"/>
      <c r="CL47" s="840"/>
      <c r="CM47" s="840"/>
      <c r="CN47" s="840"/>
      <c r="CO47" s="840"/>
      <c r="CP47" s="840"/>
      <c r="CQ47" s="840"/>
      <c r="CR47" s="840"/>
      <c r="CS47" s="840"/>
      <c r="CT47" s="840"/>
      <c r="CU47" s="840"/>
      <c r="CV47" s="840"/>
      <c r="CW47" s="840"/>
      <c r="CX47" s="840"/>
      <c r="CY47" s="840"/>
      <c r="CZ47" s="840"/>
      <c r="DA47" s="840"/>
      <c r="DB47" s="840"/>
      <c r="DC47" s="840"/>
      <c r="DD47" s="840"/>
      <c r="DE47" s="840"/>
      <c r="DF47" s="839">
        <f t="shared" ref="DF47:DV47" si="98">SUBTOTAL(9,DF42:DF46)</f>
        <v>0</v>
      </c>
      <c r="DG47" s="839">
        <f t="shared" si="98"/>
        <v>0</v>
      </c>
      <c r="DH47" s="839">
        <f t="shared" si="98"/>
        <v>0</v>
      </c>
      <c r="DI47" s="839">
        <f t="shared" si="98"/>
        <v>0</v>
      </c>
      <c r="DJ47" s="839">
        <f t="shared" si="98"/>
        <v>0</v>
      </c>
      <c r="DK47" s="839">
        <f t="shared" si="98"/>
        <v>0</v>
      </c>
      <c r="DL47" s="839">
        <f t="shared" si="98"/>
        <v>0</v>
      </c>
      <c r="DM47" s="839">
        <f t="shared" si="98"/>
        <v>0</v>
      </c>
      <c r="DN47" s="839">
        <f t="shared" si="98"/>
        <v>0</v>
      </c>
      <c r="DO47" s="839">
        <f t="shared" si="98"/>
        <v>0</v>
      </c>
      <c r="DP47" s="839">
        <f t="shared" si="98"/>
        <v>0</v>
      </c>
      <c r="DQ47" s="839">
        <f t="shared" si="98"/>
        <v>0</v>
      </c>
      <c r="DR47" s="839">
        <f t="shared" si="98"/>
        <v>0</v>
      </c>
      <c r="DS47" s="839">
        <f t="shared" si="98"/>
        <v>0</v>
      </c>
      <c r="DT47" s="839">
        <f t="shared" si="98"/>
        <v>0</v>
      </c>
      <c r="DU47" s="839">
        <f t="shared" si="98"/>
        <v>0</v>
      </c>
      <c r="DV47" s="839">
        <f t="shared" si="98"/>
        <v>0</v>
      </c>
      <c r="DW47" s="839">
        <f>SUBTOTAL(9,DW42:DW46)</f>
        <v>0</v>
      </c>
      <c r="DX47" s="839">
        <f t="shared" ref="DX47:ES47" si="99">SUBTOTAL(9,DX42:DX46)</f>
        <v>0</v>
      </c>
      <c r="DY47" s="839">
        <f t="shared" si="99"/>
        <v>0</v>
      </c>
      <c r="DZ47" s="839">
        <f t="shared" si="99"/>
        <v>0</v>
      </c>
      <c r="EA47" s="839">
        <f t="shared" si="99"/>
        <v>0</v>
      </c>
      <c r="EB47" s="839">
        <f t="shared" si="99"/>
        <v>0</v>
      </c>
      <c r="EC47" s="839">
        <f t="shared" si="99"/>
        <v>0</v>
      </c>
      <c r="ED47" s="839">
        <f t="shared" si="99"/>
        <v>0</v>
      </c>
      <c r="EE47" s="839">
        <f t="shared" si="99"/>
        <v>0</v>
      </c>
      <c r="EF47" s="839">
        <f t="shared" si="99"/>
        <v>0</v>
      </c>
      <c r="EG47" s="839">
        <f t="shared" si="99"/>
        <v>0</v>
      </c>
      <c r="EH47" s="839">
        <f t="shared" si="99"/>
        <v>0</v>
      </c>
      <c r="EI47" s="839">
        <f t="shared" si="99"/>
        <v>0</v>
      </c>
      <c r="EJ47" s="839">
        <f t="shared" si="99"/>
        <v>0</v>
      </c>
      <c r="EK47" s="839">
        <f t="shared" si="99"/>
        <v>0</v>
      </c>
      <c r="EL47" s="839">
        <f t="shared" si="99"/>
        <v>0</v>
      </c>
      <c r="EM47" s="839">
        <f t="shared" si="99"/>
        <v>0</v>
      </c>
      <c r="EN47" s="839">
        <f t="shared" si="99"/>
        <v>0</v>
      </c>
      <c r="EO47" s="839">
        <f t="shared" si="99"/>
        <v>0</v>
      </c>
      <c r="EP47" s="839">
        <f t="shared" si="99"/>
        <v>0</v>
      </c>
      <c r="EQ47" s="839">
        <f t="shared" si="99"/>
        <v>0</v>
      </c>
      <c r="ER47" s="839">
        <f t="shared" si="99"/>
        <v>0</v>
      </c>
      <c r="ES47" s="839">
        <f t="shared" si="99"/>
        <v>0</v>
      </c>
      <c r="ET47" s="839">
        <f>SUBTOTAL(9,ET42:ET46)</f>
        <v>0</v>
      </c>
      <c r="EU47" s="839">
        <f t="shared" ref="EU47:FP47" si="100">SUBTOTAL(9,EU42:EU46)</f>
        <v>0</v>
      </c>
      <c r="EV47" s="839">
        <f t="shared" si="100"/>
        <v>0</v>
      </c>
      <c r="EW47" s="839">
        <f t="shared" si="100"/>
        <v>0</v>
      </c>
      <c r="EX47" s="839">
        <f t="shared" si="100"/>
        <v>0</v>
      </c>
      <c r="EY47" s="839">
        <f t="shared" si="100"/>
        <v>0</v>
      </c>
      <c r="EZ47" s="858">
        <f t="shared" si="100"/>
        <v>0</v>
      </c>
      <c r="FA47" s="858">
        <f t="shared" si="100"/>
        <v>0</v>
      </c>
      <c r="FB47" s="858">
        <f t="shared" si="100"/>
        <v>0</v>
      </c>
      <c r="FC47" s="858">
        <f t="shared" si="100"/>
        <v>0</v>
      </c>
      <c r="FD47" s="858">
        <f t="shared" si="100"/>
        <v>0</v>
      </c>
      <c r="FE47" s="858">
        <f t="shared" si="100"/>
        <v>0</v>
      </c>
      <c r="FF47" s="858">
        <f t="shared" si="100"/>
        <v>0</v>
      </c>
      <c r="FG47" s="858">
        <f t="shared" si="100"/>
        <v>0</v>
      </c>
      <c r="FH47" s="858">
        <f t="shared" si="100"/>
        <v>0</v>
      </c>
      <c r="FI47" s="858">
        <f t="shared" si="100"/>
        <v>0</v>
      </c>
      <c r="FJ47" s="858">
        <f t="shared" si="100"/>
        <v>0</v>
      </c>
      <c r="FK47" s="858">
        <f t="shared" si="100"/>
        <v>0</v>
      </c>
      <c r="FL47" s="858">
        <f t="shared" si="100"/>
        <v>0</v>
      </c>
      <c r="FM47" s="858">
        <f t="shared" si="100"/>
        <v>0</v>
      </c>
      <c r="FN47" s="858">
        <f t="shared" si="100"/>
        <v>0</v>
      </c>
      <c r="FO47" s="858">
        <f t="shared" si="100"/>
        <v>0</v>
      </c>
      <c r="FP47" s="858">
        <f t="shared" si="100"/>
        <v>0</v>
      </c>
      <c r="FQ47" s="858">
        <f>SUBTOTAL(9,FQ42:FQ46)</f>
        <v>0</v>
      </c>
      <c r="FR47" s="858">
        <f t="shared" ref="FR47:FV47" si="101">SUBTOTAL(9,FR42:FR46)</f>
        <v>0</v>
      </c>
      <c r="FS47" s="858">
        <f t="shared" si="101"/>
        <v>0</v>
      </c>
      <c r="FT47" s="858">
        <f t="shared" si="101"/>
        <v>0</v>
      </c>
      <c r="FU47" s="858">
        <f t="shared" si="101"/>
        <v>0</v>
      </c>
      <c r="FV47" s="858">
        <f t="shared" si="101"/>
        <v>0</v>
      </c>
      <c r="FW47" s="1433"/>
      <c r="FX47" s="1435"/>
      <c r="FY47" s="779"/>
      <c r="FZ47" s="862"/>
    </row>
    <row r="48" spans="3:184" ht="23.25" customHeight="1">
      <c r="C48" s="1480" t="s">
        <v>39</v>
      </c>
      <c r="D48" s="1476" t="s">
        <v>40</v>
      </c>
      <c r="E48" s="1476"/>
      <c r="F48" s="1476"/>
      <c r="G48" s="866" t="s">
        <v>1871</v>
      </c>
      <c r="H48" s="839"/>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39"/>
      <c r="AJ48" s="839"/>
      <c r="AK48" s="839"/>
      <c r="AL48" s="839"/>
      <c r="AM48" s="840">
        <f>'１．ガス単位換算_～R6建物系'!AG56</f>
        <v>0</v>
      </c>
      <c r="AN48" s="840">
        <f>'１．ガス単位換算_～R6建物系'!AH56</f>
        <v>0</v>
      </c>
      <c r="AO48" s="840">
        <f>'１．ガス単位換算_～R6建物系'!AI56</f>
        <v>0</v>
      </c>
      <c r="AP48" s="840">
        <f>'１．ガス単位換算_～R6建物系'!AJ56</f>
        <v>0</v>
      </c>
      <c r="AQ48" s="840">
        <f>'１．ガス単位換算_～R6建物系'!AK56</f>
        <v>0</v>
      </c>
      <c r="AR48" s="840">
        <f>'１．ガス単位換算_～R6建物系'!AL56</f>
        <v>0</v>
      </c>
      <c r="AS48" s="840">
        <f>'１．ガス単位換算_～R6建物系'!AM56</f>
        <v>0</v>
      </c>
      <c r="AT48" s="840">
        <f>'１．ガス単位換算_～R6建物系'!AN56</f>
        <v>0</v>
      </c>
      <c r="AU48" s="840">
        <f>'１．ガス単位換算_～R6建物系'!AO56</f>
        <v>0</v>
      </c>
      <c r="AV48" s="840">
        <f>'１．ガス単位換算_～R6建物系'!AP56</f>
        <v>0</v>
      </c>
      <c r="AW48" s="840">
        <f>'１．ガス単位換算_～R6建物系'!AQ56</f>
        <v>0</v>
      </c>
      <c r="AX48" s="840">
        <f>'１．ガス単位換算_～R6建物系'!AR56</f>
        <v>0</v>
      </c>
      <c r="AY48" s="840">
        <f>'１．ガス単位換算_～R6建物系'!AS56</f>
        <v>0</v>
      </c>
      <c r="AZ48" s="840">
        <f>'１．ガス単位換算_～R6建物系'!AT56</f>
        <v>0</v>
      </c>
      <c r="BA48" s="840">
        <f>'１．ガス単位換算_～R6建物系'!AU56</f>
        <v>0</v>
      </c>
      <c r="BB48" s="840">
        <f>'１．ガス単位換算_～R6建物系'!AV56</f>
        <v>0</v>
      </c>
      <c r="BC48" s="840">
        <f>'１．ガス単位換算_～R6建物系'!AW56</f>
        <v>0</v>
      </c>
      <c r="BD48" s="840">
        <f>'１．ガス単位換算_～R6建物系'!AX56</f>
        <v>0</v>
      </c>
      <c r="BE48" s="840">
        <f>'１．ガス単位換算_～R6建物系'!AY56</f>
        <v>0</v>
      </c>
      <c r="BF48" s="840">
        <f>'１．ガス単位換算_～R6建物系'!AZ56</f>
        <v>0</v>
      </c>
      <c r="BG48" s="840">
        <f>'１．ガス単位換算_～R6建物系'!BA56</f>
        <v>0</v>
      </c>
      <c r="BH48" s="840">
        <f>'１．ガス単位換算_～R6建物系'!BB56</f>
        <v>0</v>
      </c>
      <c r="BI48" s="840">
        <f>'１．ガス単位換算_～R6建物系'!BC56</f>
        <v>0</v>
      </c>
      <c r="BJ48" s="840">
        <f t="shared" ref="BJ48:BY49" si="102">AM48</f>
        <v>0</v>
      </c>
      <c r="BK48" s="840">
        <f t="shared" si="102"/>
        <v>0</v>
      </c>
      <c r="BL48" s="840">
        <f t="shared" si="102"/>
        <v>0</v>
      </c>
      <c r="BM48" s="840">
        <f t="shared" si="102"/>
        <v>0</v>
      </c>
      <c r="BN48" s="840">
        <f t="shared" si="102"/>
        <v>0</v>
      </c>
      <c r="BO48" s="840">
        <f t="shared" si="102"/>
        <v>0</v>
      </c>
      <c r="BP48" s="840">
        <f t="shared" si="102"/>
        <v>0</v>
      </c>
      <c r="BQ48" s="840">
        <f t="shared" si="102"/>
        <v>0</v>
      </c>
      <c r="BR48" s="840">
        <f t="shared" si="102"/>
        <v>0</v>
      </c>
      <c r="BS48" s="840">
        <f t="shared" si="102"/>
        <v>0</v>
      </c>
      <c r="BT48" s="840">
        <f t="shared" si="102"/>
        <v>0</v>
      </c>
      <c r="BU48" s="840">
        <f t="shared" si="102"/>
        <v>0</v>
      </c>
      <c r="BV48" s="840">
        <f t="shared" si="102"/>
        <v>0</v>
      </c>
      <c r="BW48" s="840">
        <f t="shared" si="102"/>
        <v>0</v>
      </c>
      <c r="BX48" s="840">
        <f t="shared" si="102"/>
        <v>0</v>
      </c>
      <c r="BY48" s="840">
        <f t="shared" si="102"/>
        <v>0</v>
      </c>
      <c r="BZ48" s="840">
        <f t="shared" ref="BT48:CF49" si="103">BC48</f>
        <v>0</v>
      </c>
      <c r="CA48" s="840">
        <f t="shared" si="103"/>
        <v>0</v>
      </c>
      <c r="CB48" s="840">
        <f t="shared" si="103"/>
        <v>0</v>
      </c>
      <c r="CC48" s="840">
        <f t="shared" si="103"/>
        <v>0</v>
      </c>
      <c r="CD48" s="840">
        <f t="shared" si="103"/>
        <v>0</v>
      </c>
      <c r="CE48" s="840">
        <f t="shared" si="103"/>
        <v>0</v>
      </c>
      <c r="CF48" s="840">
        <f t="shared" si="103"/>
        <v>0</v>
      </c>
      <c r="CG48" s="840">
        <f>VLOOKUP($G48,$GB$6:$GC$15,2,FALSE)</f>
        <v>1</v>
      </c>
      <c r="CH48" s="841" t="s">
        <v>7</v>
      </c>
      <c r="CI48" s="840">
        <f t="shared" si="59"/>
        <v>0</v>
      </c>
      <c r="CJ48" s="840">
        <f t="shared" si="60"/>
        <v>0</v>
      </c>
      <c r="CK48" s="840">
        <f t="shared" si="61"/>
        <v>0</v>
      </c>
      <c r="CL48" s="840">
        <f t="shared" si="62"/>
        <v>0</v>
      </c>
      <c r="CM48" s="840">
        <f t="shared" si="63"/>
        <v>0</v>
      </c>
      <c r="CN48" s="840">
        <f t="shared" si="64"/>
        <v>0</v>
      </c>
      <c r="CO48" s="840">
        <f t="shared" si="65"/>
        <v>0</v>
      </c>
      <c r="CP48" s="840">
        <f t="shared" si="66"/>
        <v>0</v>
      </c>
      <c r="CQ48" s="840">
        <f t="shared" si="67"/>
        <v>0</v>
      </c>
      <c r="CR48" s="840">
        <f t="shared" si="68"/>
        <v>0</v>
      </c>
      <c r="CS48" s="840">
        <f t="shared" si="69"/>
        <v>0</v>
      </c>
      <c r="CT48" s="840">
        <f t="shared" si="70"/>
        <v>0</v>
      </c>
      <c r="CU48" s="840">
        <f t="shared" si="71"/>
        <v>0</v>
      </c>
      <c r="CV48" s="840">
        <f t="shared" si="72"/>
        <v>0</v>
      </c>
      <c r="CW48" s="840">
        <f t="shared" si="73"/>
        <v>0</v>
      </c>
      <c r="CX48" s="840">
        <f t="shared" si="74"/>
        <v>0</v>
      </c>
      <c r="CY48" s="840">
        <f t="shared" si="75"/>
        <v>0</v>
      </c>
      <c r="CZ48" s="840">
        <f t="shared" ref="CZ48:DE49" si="104">ROUND(CA48/単位補正２,0)</f>
        <v>0</v>
      </c>
      <c r="DA48" s="840">
        <f t="shared" si="104"/>
        <v>0</v>
      </c>
      <c r="DB48" s="840">
        <f t="shared" si="104"/>
        <v>0</v>
      </c>
      <c r="DC48" s="840">
        <f t="shared" si="104"/>
        <v>0</v>
      </c>
      <c r="DD48" s="840">
        <f t="shared" si="104"/>
        <v>0</v>
      </c>
      <c r="DE48" s="840">
        <f t="shared" si="104"/>
        <v>0</v>
      </c>
      <c r="DF48" s="840">
        <f t="shared" ref="DF48:EB48" si="105">CI48</f>
        <v>0</v>
      </c>
      <c r="DG48" s="840">
        <f t="shared" si="105"/>
        <v>0</v>
      </c>
      <c r="DH48" s="840">
        <f t="shared" si="105"/>
        <v>0</v>
      </c>
      <c r="DI48" s="840">
        <f t="shared" si="105"/>
        <v>0</v>
      </c>
      <c r="DJ48" s="840">
        <f t="shared" si="105"/>
        <v>0</v>
      </c>
      <c r="DK48" s="840">
        <f t="shared" si="105"/>
        <v>0</v>
      </c>
      <c r="DL48" s="840">
        <f t="shared" si="105"/>
        <v>0</v>
      </c>
      <c r="DM48" s="840">
        <f t="shared" si="105"/>
        <v>0</v>
      </c>
      <c r="DN48" s="840">
        <f t="shared" si="105"/>
        <v>0</v>
      </c>
      <c r="DO48" s="840">
        <f t="shared" si="105"/>
        <v>0</v>
      </c>
      <c r="DP48" s="840">
        <f t="shared" si="105"/>
        <v>0</v>
      </c>
      <c r="DQ48" s="840">
        <f t="shared" si="105"/>
        <v>0</v>
      </c>
      <c r="DR48" s="840">
        <f t="shared" si="105"/>
        <v>0</v>
      </c>
      <c r="DS48" s="840">
        <f t="shared" si="105"/>
        <v>0</v>
      </c>
      <c r="DT48" s="840">
        <f t="shared" si="105"/>
        <v>0</v>
      </c>
      <c r="DU48" s="840">
        <f t="shared" si="105"/>
        <v>0</v>
      </c>
      <c r="DV48" s="840">
        <f t="shared" si="105"/>
        <v>0</v>
      </c>
      <c r="DW48" s="840">
        <f t="shared" si="105"/>
        <v>0</v>
      </c>
      <c r="DX48" s="840">
        <f t="shared" si="105"/>
        <v>0</v>
      </c>
      <c r="DY48" s="840">
        <f t="shared" si="105"/>
        <v>0</v>
      </c>
      <c r="DZ48" s="840">
        <f t="shared" si="105"/>
        <v>0</v>
      </c>
      <c r="EA48" s="840">
        <f t="shared" si="105"/>
        <v>0</v>
      </c>
      <c r="EB48" s="840">
        <f t="shared" si="105"/>
        <v>0</v>
      </c>
      <c r="EC48" s="852"/>
      <c r="ED48" s="852"/>
      <c r="EE48" s="852"/>
      <c r="EF48" s="852"/>
      <c r="EG48" s="852"/>
      <c r="EH48" s="852"/>
      <c r="EI48" s="852"/>
      <c r="EJ48" s="852"/>
      <c r="EK48" s="852"/>
      <c r="EL48" s="852"/>
      <c r="EM48" s="852"/>
      <c r="EN48" s="852"/>
      <c r="EO48" s="852"/>
      <c r="EP48" s="852"/>
      <c r="EQ48" s="852"/>
      <c r="ER48" s="852"/>
      <c r="ES48" s="852"/>
      <c r="ET48" s="852"/>
      <c r="EU48" s="852"/>
      <c r="EV48" s="852"/>
      <c r="EW48" s="852"/>
      <c r="EX48" s="852"/>
      <c r="EY48" s="852"/>
      <c r="EZ48" s="842">
        <f t="shared" ref="EZ48:FO49" si="106">IF(ISERROR(-ABS(CI48*$FY48)),"",(-ABS(CI48*$FY48)))</f>
        <v>0</v>
      </c>
      <c r="FA48" s="842">
        <f t="shared" si="106"/>
        <v>0</v>
      </c>
      <c r="FB48" s="842">
        <f t="shared" si="106"/>
        <v>0</v>
      </c>
      <c r="FC48" s="842">
        <f t="shared" si="106"/>
        <v>0</v>
      </c>
      <c r="FD48" s="842">
        <f t="shared" si="106"/>
        <v>0</v>
      </c>
      <c r="FE48" s="842">
        <f t="shared" si="106"/>
        <v>0</v>
      </c>
      <c r="FF48" s="842">
        <f t="shared" si="106"/>
        <v>0</v>
      </c>
      <c r="FG48" s="842">
        <f t="shared" si="106"/>
        <v>0</v>
      </c>
      <c r="FH48" s="842">
        <f t="shared" si="106"/>
        <v>0</v>
      </c>
      <c r="FI48" s="842">
        <f t="shared" si="106"/>
        <v>0</v>
      </c>
      <c r="FJ48" s="842">
        <f t="shared" si="106"/>
        <v>0</v>
      </c>
      <c r="FK48" s="842">
        <f t="shared" si="106"/>
        <v>0</v>
      </c>
      <c r="FL48" s="842">
        <f t="shared" si="106"/>
        <v>0</v>
      </c>
      <c r="FM48" s="842">
        <f t="shared" si="106"/>
        <v>0</v>
      </c>
      <c r="FN48" s="842">
        <f t="shared" si="106"/>
        <v>0</v>
      </c>
      <c r="FO48" s="842">
        <f t="shared" si="106"/>
        <v>0</v>
      </c>
      <c r="FP48" s="842">
        <f t="shared" ref="FJ48:FV49" si="107">IF(ISERROR(-ABS(CY48*$FY48)),"",(-ABS(CY48*$FY48)))</f>
        <v>0</v>
      </c>
      <c r="FQ48" s="842">
        <f t="shared" si="107"/>
        <v>0</v>
      </c>
      <c r="FR48" s="842">
        <f t="shared" si="107"/>
        <v>0</v>
      </c>
      <c r="FS48" s="842">
        <f t="shared" si="107"/>
        <v>0</v>
      </c>
      <c r="FT48" s="842">
        <f t="shared" si="107"/>
        <v>0</v>
      </c>
      <c r="FU48" s="842">
        <f t="shared" si="107"/>
        <v>0</v>
      </c>
      <c r="FV48" s="842">
        <f t="shared" si="107"/>
        <v>0</v>
      </c>
      <c r="FW48" s="1481"/>
      <c r="FX48" s="1481"/>
      <c r="FY48" s="867"/>
      <c r="FZ48" s="868"/>
    </row>
    <row r="49" spans="3:182" ht="23.25" customHeight="1">
      <c r="C49" s="1480"/>
      <c r="D49" s="1476" t="s">
        <v>41</v>
      </c>
      <c r="E49" s="1476"/>
      <c r="F49" s="1476"/>
      <c r="G49" s="866" t="s">
        <v>2237</v>
      </c>
      <c r="H49" s="839"/>
      <c r="I49" s="852"/>
      <c r="J49" s="852"/>
      <c r="K49" s="852"/>
      <c r="L49" s="852"/>
      <c r="M49" s="852"/>
      <c r="N49" s="852"/>
      <c r="O49" s="852"/>
      <c r="P49" s="852"/>
      <c r="Q49" s="852"/>
      <c r="R49" s="852"/>
      <c r="S49" s="852"/>
      <c r="T49" s="852"/>
      <c r="U49" s="852"/>
      <c r="V49" s="852"/>
      <c r="W49" s="852"/>
      <c r="X49" s="852"/>
      <c r="Y49" s="852"/>
      <c r="Z49" s="852"/>
      <c r="AA49" s="852"/>
      <c r="AB49" s="852"/>
      <c r="AC49" s="852"/>
      <c r="AD49" s="852"/>
      <c r="AE49" s="852"/>
      <c r="AF49" s="852"/>
      <c r="AG49" s="852"/>
      <c r="AH49" s="852"/>
      <c r="AI49" s="839"/>
      <c r="AJ49" s="839"/>
      <c r="AK49" s="839"/>
      <c r="AL49" s="839"/>
      <c r="AM49" s="840">
        <f>'１．ガス単位換算_～R6建物系'!AG54</f>
        <v>0</v>
      </c>
      <c r="AN49" s="840">
        <f>'１．ガス単位換算_～R6建物系'!AH54</f>
        <v>0</v>
      </c>
      <c r="AO49" s="840">
        <f>'１．ガス単位換算_～R6建物系'!AI54</f>
        <v>0</v>
      </c>
      <c r="AP49" s="840">
        <f>'１．ガス単位換算_～R6建物系'!AJ54</f>
        <v>0</v>
      </c>
      <c r="AQ49" s="840">
        <f>'１．ガス単位換算_～R6建物系'!AK54</f>
        <v>0</v>
      </c>
      <c r="AR49" s="840">
        <f>'１．ガス単位換算_～R6建物系'!AL54</f>
        <v>0</v>
      </c>
      <c r="AS49" s="840">
        <f>'１．ガス単位換算_～R6建物系'!AM54</f>
        <v>0</v>
      </c>
      <c r="AT49" s="840">
        <f>'１．ガス単位換算_～R6建物系'!AN54</f>
        <v>0</v>
      </c>
      <c r="AU49" s="840">
        <f>'１．ガス単位換算_～R6建物系'!AO54</f>
        <v>0</v>
      </c>
      <c r="AV49" s="840">
        <f>'１．ガス単位換算_～R6建物系'!AP54</f>
        <v>0</v>
      </c>
      <c r="AW49" s="840">
        <f>'１．ガス単位換算_～R6建物系'!AQ54</f>
        <v>0</v>
      </c>
      <c r="AX49" s="840">
        <f>'１．ガス単位換算_～R6建物系'!AR54</f>
        <v>0</v>
      </c>
      <c r="AY49" s="840">
        <f>'１．ガス単位換算_～R6建物系'!AS54</f>
        <v>0</v>
      </c>
      <c r="AZ49" s="840">
        <f>'１．ガス単位換算_～R6建物系'!AT54</f>
        <v>0</v>
      </c>
      <c r="BA49" s="840">
        <f>'１．ガス単位換算_～R6建物系'!AU54</f>
        <v>0</v>
      </c>
      <c r="BB49" s="840">
        <f>'１．ガス単位換算_～R6建物系'!AV54</f>
        <v>0</v>
      </c>
      <c r="BC49" s="840">
        <f>'１．ガス単位換算_～R6建物系'!AW54</f>
        <v>0</v>
      </c>
      <c r="BD49" s="840">
        <f>'１．ガス単位換算_～R6建物系'!AX54</f>
        <v>0</v>
      </c>
      <c r="BE49" s="840">
        <f>'１．ガス単位換算_～R6建物系'!AY54</f>
        <v>0</v>
      </c>
      <c r="BF49" s="840">
        <f>'１．ガス単位換算_～R6建物系'!AZ54</f>
        <v>0</v>
      </c>
      <c r="BG49" s="840">
        <f>'１．ガス単位換算_～R6建物系'!BA54</f>
        <v>0</v>
      </c>
      <c r="BH49" s="840">
        <f>'１．ガス単位換算_～R6建物系'!BB54</f>
        <v>0</v>
      </c>
      <c r="BI49" s="840">
        <f>'１．ガス単位換算_～R6建物系'!BC54</f>
        <v>0</v>
      </c>
      <c r="BJ49" s="840">
        <f t="shared" si="102"/>
        <v>0</v>
      </c>
      <c r="BK49" s="840">
        <f t="shared" si="102"/>
        <v>0</v>
      </c>
      <c r="BL49" s="840">
        <f t="shared" si="102"/>
        <v>0</v>
      </c>
      <c r="BM49" s="840">
        <f t="shared" si="102"/>
        <v>0</v>
      </c>
      <c r="BN49" s="840">
        <f t="shared" si="102"/>
        <v>0</v>
      </c>
      <c r="BO49" s="840">
        <f t="shared" si="102"/>
        <v>0</v>
      </c>
      <c r="BP49" s="840">
        <f t="shared" si="102"/>
        <v>0</v>
      </c>
      <c r="BQ49" s="840">
        <f t="shared" si="102"/>
        <v>0</v>
      </c>
      <c r="BR49" s="840">
        <f t="shared" si="102"/>
        <v>0</v>
      </c>
      <c r="BS49" s="840">
        <f t="shared" si="102"/>
        <v>0</v>
      </c>
      <c r="BT49" s="840">
        <f t="shared" si="103"/>
        <v>0</v>
      </c>
      <c r="BU49" s="840">
        <f t="shared" si="103"/>
        <v>0</v>
      </c>
      <c r="BV49" s="840">
        <f t="shared" si="103"/>
        <v>0</v>
      </c>
      <c r="BW49" s="840">
        <f t="shared" si="103"/>
        <v>0</v>
      </c>
      <c r="BX49" s="840">
        <f t="shared" si="103"/>
        <v>0</v>
      </c>
      <c r="BY49" s="840">
        <f t="shared" si="103"/>
        <v>0</v>
      </c>
      <c r="BZ49" s="840">
        <f t="shared" si="103"/>
        <v>0</v>
      </c>
      <c r="CA49" s="840">
        <f t="shared" si="103"/>
        <v>0</v>
      </c>
      <c r="CB49" s="840">
        <f t="shared" si="103"/>
        <v>0</v>
      </c>
      <c r="CC49" s="840">
        <f t="shared" si="103"/>
        <v>0</v>
      </c>
      <c r="CD49" s="840">
        <f t="shared" si="103"/>
        <v>0</v>
      </c>
      <c r="CE49" s="840">
        <f t="shared" si="103"/>
        <v>0</v>
      </c>
      <c r="CF49" s="840">
        <f t="shared" si="103"/>
        <v>0</v>
      </c>
      <c r="CG49" s="840">
        <f>VLOOKUP($G49,$GB$6:$GC$17,2,FALSE)</f>
        <v>1</v>
      </c>
      <c r="CH49" s="841" t="s">
        <v>38</v>
      </c>
      <c r="CI49" s="840">
        <f t="shared" si="59"/>
        <v>0</v>
      </c>
      <c r="CJ49" s="840">
        <f t="shared" si="60"/>
        <v>0</v>
      </c>
      <c r="CK49" s="840">
        <f t="shared" si="61"/>
        <v>0</v>
      </c>
      <c r="CL49" s="840">
        <f t="shared" si="62"/>
        <v>0</v>
      </c>
      <c r="CM49" s="840">
        <f t="shared" si="63"/>
        <v>0</v>
      </c>
      <c r="CN49" s="840">
        <f t="shared" si="64"/>
        <v>0</v>
      </c>
      <c r="CO49" s="840">
        <f t="shared" si="65"/>
        <v>0</v>
      </c>
      <c r="CP49" s="840">
        <f t="shared" si="66"/>
        <v>0</v>
      </c>
      <c r="CQ49" s="840">
        <f t="shared" si="67"/>
        <v>0</v>
      </c>
      <c r="CR49" s="840">
        <f t="shared" si="68"/>
        <v>0</v>
      </c>
      <c r="CS49" s="840">
        <f t="shared" si="69"/>
        <v>0</v>
      </c>
      <c r="CT49" s="840">
        <f t="shared" si="70"/>
        <v>0</v>
      </c>
      <c r="CU49" s="840">
        <f t="shared" si="71"/>
        <v>0</v>
      </c>
      <c r="CV49" s="840">
        <f t="shared" si="72"/>
        <v>0</v>
      </c>
      <c r="CW49" s="840">
        <f t="shared" si="73"/>
        <v>0</v>
      </c>
      <c r="CX49" s="840">
        <f t="shared" si="74"/>
        <v>0</v>
      </c>
      <c r="CY49" s="840">
        <f t="shared" si="75"/>
        <v>0</v>
      </c>
      <c r="CZ49" s="840">
        <f t="shared" si="104"/>
        <v>0</v>
      </c>
      <c r="DA49" s="840">
        <f t="shared" si="104"/>
        <v>0</v>
      </c>
      <c r="DB49" s="840">
        <f t="shared" si="104"/>
        <v>0</v>
      </c>
      <c r="DC49" s="840">
        <f t="shared" si="104"/>
        <v>0</v>
      </c>
      <c r="DD49" s="840">
        <f t="shared" si="104"/>
        <v>0</v>
      </c>
      <c r="DE49" s="840">
        <f t="shared" si="104"/>
        <v>0</v>
      </c>
      <c r="DF49" s="852"/>
      <c r="DG49" s="852"/>
      <c r="DH49" s="852"/>
      <c r="DI49" s="852"/>
      <c r="DJ49" s="852"/>
      <c r="DK49" s="852"/>
      <c r="DL49" s="852"/>
      <c r="DM49" s="852"/>
      <c r="DN49" s="852"/>
      <c r="DO49" s="852"/>
      <c r="DP49" s="852"/>
      <c r="DQ49" s="852"/>
      <c r="DR49" s="852"/>
      <c r="DS49" s="852"/>
      <c r="DT49" s="852"/>
      <c r="DU49" s="852"/>
      <c r="DV49" s="852"/>
      <c r="DW49" s="852"/>
      <c r="DX49" s="852"/>
      <c r="DY49" s="852"/>
      <c r="DZ49" s="852"/>
      <c r="EA49" s="852"/>
      <c r="EB49" s="852"/>
      <c r="EC49" s="852"/>
      <c r="ED49" s="852"/>
      <c r="EE49" s="852"/>
      <c r="EF49" s="852"/>
      <c r="EG49" s="852"/>
      <c r="EH49" s="852"/>
      <c r="EI49" s="852"/>
      <c r="EJ49" s="852"/>
      <c r="EK49" s="852"/>
      <c r="EL49" s="852"/>
      <c r="EM49" s="852"/>
      <c r="EN49" s="852"/>
      <c r="EO49" s="852"/>
      <c r="EP49" s="852"/>
      <c r="EQ49" s="852"/>
      <c r="ER49" s="852"/>
      <c r="ES49" s="852"/>
      <c r="ET49" s="852"/>
      <c r="EU49" s="852"/>
      <c r="EV49" s="852"/>
      <c r="EW49" s="852"/>
      <c r="EX49" s="852"/>
      <c r="EY49" s="852"/>
      <c r="EZ49" s="842">
        <f t="shared" si="106"/>
        <v>0</v>
      </c>
      <c r="FA49" s="842">
        <f t="shared" si="106"/>
        <v>0</v>
      </c>
      <c r="FB49" s="842">
        <f t="shared" si="106"/>
        <v>0</v>
      </c>
      <c r="FC49" s="842">
        <f t="shared" si="106"/>
        <v>0</v>
      </c>
      <c r="FD49" s="842">
        <f t="shared" si="106"/>
        <v>0</v>
      </c>
      <c r="FE49" s="842">
        <f t="shared" si="106"/>
        <v>0</v>
      </c>
      <c r="FF49" s="842">
        <f t="shared" si="106"/>
        <v>0</v>
      </c>
      <c r="FG49" s="842">
        <f t="shared" si="106"/>
        <v>0</v>
      </c>
      <c r="FH49" s="842">
        <f t="shared" si="106"/>
        <v>0</v>
      </c>
      <c r="FI49" s="842">
        <f t="shared" si="106"/>
        <v>0</v>
      </c>
      <c r="FJ49" s="842">
        <f t="shared" si="107"/>
        <v>0</v>
      </c>
      <c r="FK49" s="842">
        <f t="shared" si="107"/>
        <v>0</v>
      </c>
      <c r="FL49" s="842">
        <f t="shared" si="107"/>
        <v>0</v>
      </c>
      <c r="FM49" s="842">
        <f t="shared" si="107"/>
        <v>0</v>
      </c>
      <c r="FN49" s="842">
        <f t="shared" si="107"/>
        <v>0</v>
      </c>
      <c r="FO49" s="842">
        <f t="shared" si="107"/>
        <v>0</v>
      </c>
      <c r="FP49" s="842">
        <f t="shared" si="107"/>
        <v>0</v>
      </c>
      <c r="FQ49" s="842">
        <f t="shared" si="107"/>
        <v>0</v>
      </c>
      <c r="FR49" s="842">
        <f t="shared" si="107"/>
        <v>0</v>
      </c>
      <c r="FS49" s="842">
        <f t="shared" si="107"/>
        <v>0</v>
      </c>
      <c r="FT49" s="842">
        <f t="shared" si="107"/>
        <v>0</v>
      </c>
      <c r="FU49" s="842">
        <f t="shared" si="107"/>
        <v>0</v>
      </c>
      <c r="FV49" s="842">
        <f t="shared" si="107"/>
        <v>0</v>
      </c>
      <c r="FW49" s="1481"/>
      <c r="FX49" s="1481"/>
      <c r="FY49" s="867"/>
      <c r="FZ49" s="868"/>
    </row>
    <row r="50" spans="3:182" ht="23.25" customHeight="1">
      <c r="C50" s="869"/>
      <c r="D50" s="1437" t="s">
        <v>2244</v>
      </c>
      <c r="E50" s="1438"/>
      <c r="F50" s="1439"/>
      <c r="G50" s="870"/>
      <c r="H50" s="871"/>
      <c r="I50" s="872"/>
      <c r="J50" s="872"/>
      <c r="K50" s="872"/>
      <c r="L50" s="872"/>
      <c r="M50" s="872"/>
      <c r="N50" s="872"/>
      <c r="O50" s="872"/>
      <c r="P50" s="872"/>
      <c r="Q50" s="872"/>
      <c r="R50" s="872"/>
      <c r="S50" s="872"/>
      <c r="T50" s="872"/>
      <c r="U50" s="872"/>
      <c r="V50" s="872"/>
      <c r="W50" s="872"/>
      <c r="X50" s="872"/>
      <c r="Y50" s="872"/>
      <c r="Z50" s="872"/>
      <c r="AA50" s="872"/>
      <c r="AB50" s="872"/>
      <c r="AC50" s="872"/>
      <c r="AD50" s="872"/>
      <c r="AE50" s="872"/>
      <c r="AF50" s="872"/>
      <c r="AG50" s="872"/>
      <c r="AH50" s="872"/>
      <c r="AI50" s="871"/>
      <c r="AJ50" s="871"/>
      <c r="AK50" s="871"/>
      <c r="AL50" s="871"/>
      <c r="AM50" s="873"/>
      <c r="AN50" s="873"/>
      <c r="AO50" s="873"/>
      <c r="AP50" s="873"/>
      <c r="AQ50" s="873"/>
      <c r="AR50" s="873"/>
      <c r="AS50" s="873"/>
      <c r="AT50" s="873"/>
      <c r="AU50" s="873"/>
      <c r="AV50" s="873"/>
      <c r="AW50" s="873"/>
      <c r="AX50" s="873"/>
      <c r="AY50" s="873"/>
      <c r="AZ50" s="873"/>
      <c r="BA50" s="873"/>
      <c r="BB50" s="873"/>
      <c r="BC50" s="873"/>
      <c r="BD50" s="873"/>
      <c r="BE50" s="873"/>
      <c r="BF50" s="873"/>
      <c r="BG50" s="873"/>
      <c r="BH50" s="873"/>
      <c r="BI50" s="873"/>
      <c r="BJ50" s="873"/>
      <c r="BK50" s="873"/>
      <c r="BL50" s="873"/>
      <c r="BM50" s="873"/>
      <c r="BN50" s="873"/>
      <c r="BO50" s="873"/>
      <c r="BP50" s="873"/>
      <c r="BQ50" s="873"/>
      <c r="BR50" s="873"/>
      <c r="BS50" s="873"/>
      <c r="BT50" s="873"/>
      <c r="BU50" s="873"/>
      <c r="BV50" s="873"/>
      <c r="BW50" s="873"/>
      <c r="BX50" s="873"/>
      <c r="BY50" s="873"/>
      <c r="BZ50" s="873"/>
      <c r="CA50" s="873"/>
      <c r="CB50" s="873"/>
      <c r="CC50" s="873"/>
      <c r="CD50" s="873"/>
      <c r="CE50" s="873"/>
      <c r="CF50" s="873"/>
      <c r="CG50" s="873"/>
      <c r="CH50" s="874"/>
      <c r="CI50" s="840"/>
      <c r="CJ50" s="840"/>
      <c r="CK50" s="840"/>
      <c r="CL50" s="840"/>
      <c r="CM50" s="840"/>
      <c r="CN50" s="840"/>
      <c r="CO50" s="840"/>
      <c r="CP50" s="840"/>
      <c r="CQ50" s="840"/>
      <c r="CR50" s="840"/>
      <c r="CS50" s="840"/>
      <c r="CT50" s="840"/>
      <c r="CU50" s="840"/>
      <c r="CV50" s="840"/>
      <c r="CW50" s="840"/>
      <c r="CX50" s="840"/>
      <c r="CY50" s="840"/>
      <c r="CZ50" s="840"/>
      <c r="DA50" s="840"/>
      <c r="DB50" s="840"/>
      <c r="DC50" s="840"/>
      <c r="DD50" s="840"/>
      <c r="DE50" s="840"/>
      <c r="DF50" s="872"/>
      <c r="DG50" s="872"/>
      <c r="DH50" s="872"/>
      <c r="DI50" s="872"/>
      <c r="DJ50" s="872"/>
      <c r="DK50" s="872"/>
      <c r="DL50" s="872"/>
      <c r="DM50" s="872"/>
      <c r="DN50" s="872"/>
      <c r="DO50" s="872"/>
      <c r="DP50" s="872"/>
      <c r="DQ50" s="872"/>
      <c r="DR50" s="872"/>
      <c r="DS50" s="872"/>
      <c r="DT50" s="872"/>
      <c r="DU50" s="872"/>
      <c r="DV50" s="872"/>
      <c r="DW50" s="872"/>
      <c r="DX50" s="872"/>
      <c r="DY50" s="872"/>
      <c r="DZ50" s="872"/>
      <c r="EA50" s="872"/>
      <c r="EB50" s="872"/>
      <c r="EC50" s="872"/>
      <c r="ED50" s="872"/>
      <c r="EE50" s="872"/>
      <c r="EF50" s="872"/>
      <c r="EG50" s="872"/>
      <c r="EH50" s="872"/>
      <c r="EI50" s="872"/>
      <c r="EJ50" s="872"/>
      <c r="EK50" s="872"/>
      <c r="EL50" s="872"/>
      <c r="EM50" s="872"/>
      <c r="EN50" s="872"/>
      <c r="EO50" s="872"/>
      <c r="EP50" s="872"/>
      <c r="EQ50" s="872"/>
      <c r="ER50" s="872"/>
      <c r="ES50" s="872"/>
      <c r="ET50" s="872"/>
      <c r="EU50" s="872"/>
      <c r="EV50" s="872"/>
      <c r="EW50" s="872"/>
      <c r="EX50" s="872"/>
      <c r="EY50" s="872"/>
      <c r="EZ50" s="858">
        <f>SUBTOTAL(9,EZ48:EZ49)</f>
        <v>0</v>
      </c>
      <c r="FA50" s="858">
        <f t="shared" ref="FA50:FV50" si="108">SUBTOTAL(9,FA48:FA49)</f>
        <v>0</v>
      </c>
      <c r="FB50" s="858">
        <f t="shared" si="108"/>
        <v>0</v>
      </c>
      <c r="FC50" s="858">
        <f t="shared" si="108"/>
        <v>0</v>
      </c>
      <c r="FD50" s="858">
        <f t="shared" si="108"/>
        <v>0</v>
      </c>
      <c r="FE50" s="858">
        <f t="shared" si="108"/>
        <v>0</v>
      </c>
      <c r="FF50" s="858">
        <f t="shared" si="108"/>
        <v>0</v>
      </c>
      <c r="FG50" s="858">
        <f t="shared" si="108"/>
        <v>0</v>
      </c>
      <c r="FH50" s="858">
        <f t="shared" si="108"/>
        <v>0</v>
      </c>
      <c r="FI50" s="858">
        <f t="shared" si="108"/>
        <v>0</v>
      </c>
      <c r="FJ50" s="858">
        <f t="shared" si="108"/>
        <v>0</v>
      </c>
      <c r="FK50" s="858">
        <f t="shared" si="108"/>
        <v>0</v>
      </c>
      <c r="FL50" s="858">
        <f t="shared" si="108"/>
        <v>0</v>
      </c>
      <c r="FM50" s="858">
        <f t="shared" si="108"/>
        <v>0</v>
      </c>
      <c r="FN50" s="858">
        <f t="shared" si="108"/>
        <v>0</v>
      </c>
      <c r="FO50" s="858">
        <f t="shared" si="108"/>
        <v>0</v>
      </c>
      <c r="FP50" s="858">
        <f t="shared" si="108"/>
        <v>0</v>
      </c>
      <c r="FQ50" s="858">
        <f t="shared" si="108"/>
        <v>0</v>
      </c>
      <c r="FR50" s="858">
        <f t="shared" si="108"/>
        <v>0</v>
      </c>
      <c r="FS50" s="858">
        <f t="shared" si="108"/>
        <v>0</v>
      </c>
      <c r="FT50" s="858">
        <f t="shared" si="108"/>
        <v>0</v>
      </c>
      <c r="FU50" s="858">
        <f t="shared" si="108"/>
        <v>0</v>
      </c>
      <c r="FV50" s="858">
        <f t="shared" si="108"/>
        <v>0</v>
      </c>
      <c r="FW50" s="1433"/>
      <c r="FX50" s="1435"/>
      <c r="FY50" s="875"/>
      <c r="FZ50" s="876"/>
    </row>
    <row r="51" spans="3:182" ht="23.25" customHeight="1">
      <c r="C51" s="877"/>
      <c r="D51" s="1476" t="s">
        <v>2256</v>
      </c>
      <c r="E51" s="1476"/>
      <c r="F51" s="1476"/>
      <c r="G51" s="878" t="s">
        <v>2257</v>
      </c>
      <c r="H51" s="839"/>
      <c r="I51" s="802"/>
      <c r="J51" s="802"/>
      <c r="K51" s="802"/>
      <c r="L51" s="802"/>
      <c r="M51" s="802"/>
      <c r="N51" s="802"/>
      <c r="O51" s="802"/>
      <c r="P51" s="802"/>
      <c r="Q51" s="802"/>
      <c r="R51" s="802"/>
      <c r="S51" s="802"/>
      <c r="T51" s="879"/>
      <c r="U51" s="879"/>
      <c r="V51" s="879"/>
      <c r="W51" s="879"/>
      <c r="X51" s="879"/>
      <c r="Y51" s="879"/>
      <c r="Z51" s="879"/>
      <c r="AA51" s="879"/>
      <c r="AB51" s="879"/>
      <c r="AC51" s="879"/>
      <c r="AD51" s="879"/>
      <c r="AE51" s="879"/>
      <c r="AF51" s="879"/>
      <c r="AG51" s="879"/>
      <c r="AH51" s="879"/>
      <c r="AI51" s="839"/>
      <c r="AJ51" s="880"/>
      <c r="AK51" s="880"/>
      <c r="AL51" s="880"/>
      <c r="AM51" s="852"/>
      <c r="AN51" s="852"/>
      <c r="AO51" s="852"/>
      <c r="AP51" s="852"/>
      <c r="AQ51" s="852"/>
      <c r="AR51" s="852"/>
      <c r="AS51" s="852"/>
      <c r="AT51" s="852"/>
      <c r="AU51" s="852"/>
      <c r="AV51" s="852"/>
      <c r="AW51" s="852"/>
      <c r="AX51" s="852"/>
      <c r="AY51" s="852"/>
      <c r="AZ51" s="852"/>
      <c r="BA51" s="852"/>
      <c r="BB51" s="852"/>
      <c r="BC51" s="852"/>
      <c r="BD51" s="852"/>
      <c r="BE51" s="852"/>
      <c r="BF51" s="852"/>
      <c r="BG51" s="852"/>
      <c r="BH51" s="852"/>
      <c r="BI51" s="852"/>
      <c r="BJ51" s="881"/>
      <c r="BK51" s="881"/>
      <c r="BL51" s="881"/>
      <c r="BM51" s="881"/>
      <c r="BN51" s="881"/>
      <c r="BO51" s="881"/>
      <c r="BP51" s="881"/>
      <c r="BQ51" s="881"/>
      <c r="BR51" s="881"/>
      <c r="BS51" s="881"/>
      <c r="BT51" s="881"/>
      <c r="BU51" s="881"/>
      <c r="BV51" s="881"/>
      <c r="BW51" s="881"/>
      <c r="BX51" s="881"/>
      <c r="BY51" s="881"/>
      <c r="BZ51" s="881"/>
      <c r="CA51" s="881"/>
      <c r="CB51" s="881"/>
      <c r="CC51" s="881"/>
      <c r="CD51" s="881"/>
      <c r="CE51" s="881"/>
      <c r="CF51" s="881"/>
      <c r="CG51" s="802">
        <v>1</v>
      </c>
      <c r="CH51" s="882" t="s">
        <v>2258</v>
      </c>
      <c r="CI51" s="840">
        <f>H14_控除後使用量/単位補正２</f>
        <v>0</v>
      </c>
      <c r="CJ51" s="840">
        <f>H15_控除後使用量/単位補正２</f>
        <v>0</v>
      </c>
      <c r="CK51" s="840">
        <f>H16_控除後使用量/単位補正２</f>
        <v>0</v>
      </c>
      <c r="CL51" s="840">
        <f>H17_控除後使用量/単位補正２</f>
        <v>0</v>
      </c>
      <c r="CM51" s="840">
        <f>H18_控除後使用量/単位補正２</f>
        <v>0</v>
      </c>
      <c r="CN51" s="840">
        <f>H19_控除後使用量/単位補正２</f>
        <v>0</v>
      </c>
      <c r="CO51" s="840">
        <f>H20_控除後使用量/単位補正２</f>
        <v>0</v>
      </c>
      <c r="CP51" s="840">
        <f>H21_控除後使用量/単位補正２</f>
        <v>0</v>
      </c>
      <c r="CQ51" s="840">
        <f>H22_控除後使用量/単位補正２</f>
        <v>0</v>
      </c>
      <c r="CR51" s="840">
        <f>H23_控除後使用量/単位補正２</f>
        <v>0</v>
      </c>
      <c r="CS51" s="840">
        <f>H24_控除後使用量/単位補正２</f>
        <v>0</v>
      </c>
      <c r="CT51" s="840">
        <f>H25_控除後使用量/単位補正２</f>
        <v>0</v>
      </c>
      <c r="CU51" s="840">
        <f>H26_控除後使用量/単位補正２</f>
        <v>0</v>
      </c>
      <c r="CV51" s="840">
        <f>H27_控除後使用量/単位補正２</f>
        <v>0</v>
      </c>
      <c r="CW51" s="840">
        <f>H28_控除後使用量/単位補正２</f>
        <v>0</v>
      </c>
      <c r="CX51" s="840">
        <f>H29_控除後使用量/単位補正２</f>
        <v>0</v>
      </c>
      <c r="CY51" s="840">
        <f>H30_控除後使用量/単位補正２</f>
        <v>0</v>
      </c>
      <c r="CZ51" s="840">
        <f t="shared" ref="CZ51" si="109">ROUND(CA51/単位補正２,0)</f>
        <v>0</v>
      </c>
      <c r="DA51" s="840">
        <f t="shared" ref="DA51" si="110">ROUND(CB51/単位補正２,0)</f>
        <v>0</v>
      </c>
      <c r="DB51" s="840">
        <f t="shared" ref="DB51" si="111">ROUND(CC51/単位補正２,0)</f>
        <v>0</v>
      </c>
      <c r="DC51" s="840">
        <f t="shared" ref="DC51" si="112">ROUND(CD51/単位補正２,0)</f>
        <v>0</v>
      </c>
      <c r="DD51" s="840">
        <f t="shared" ref="DD51" si="113">ROUND(CE51/単位補正２,0)</f>
        <v>0</v>
      </c>
      <c r="DE51" s="840">
        <f t="shared" ref="DE51" si="114">ROUND(CF51/単位補正２,0)</f>
        <v>0</v>
      </c>
      <c r="DF51" s="852"/>
      <c r="DG51" s="852"/>
      <c r="DH51" s="852"/>
      <c r="DI51" s="852"/>
      <c r="DJ51" s="852"/>
      <c r="DK51" s="852"/>
      <c r="DL51" s="852"/>
      <c r="DM51" s="852"/>
      <c r="DN51" s="852"/>
      <c r="DO51" s="852"/>
      <c r="DP51" s="852"/>
      <c r="DQ51" s="852"/>
      <c r="DR51" s="852"/>
      <c r="DS51" s="852"/>
      <c r="DT51" s="852"/>
      <c r="DU51" s="852"/>
      <c r="DV51" s="852"/>
      <c r="DW51" s="852"/>
      <c r="DX51" s="852"/>
      <c r="DY51" s="852"/>
      <c r="DZ51" s="852"/>
      <c r="EA51" s="852"/>
      <c r="EB51" s="852"/>
      <c r="EC51" s="852"/>
      <c r="ED51" s="852"/>
      <c r="EE51" s="852"/>
      <c r="EF51" s="852"/>
      <c r="EG51" s="852"/>
      <c r="EH51" s="852"/>
      <c r="EI51" s="852"/>
      <c r="EJ51" s="852"/>
      <c r="EK51" s="852"/>
      <c r="EL51" s="852"/>
      <c r="EM51" s="852"/>
      <c r="EN51" s="852"/>
      <c r="EO51" s="852"/>
      <c r="EP51" s="852"/>
      <c r="EQ51" s="852"/>
      <c r="ER51" s="852"/>
      <c r="ES51" s="852"/>
      <c r="ET51" s="852"/>
      <c r="EU51" s="852"/>
      <c r="EV51" s="852"/>
      <c r="EW51" s="852"/>
      <c r="EX51" s="852"/>
      <c r="EY51" s="852"/>
      <c r="EZ51" s="842">
        <f t="shared" ref="EZ51:FO52" si="115">-ABS(L51)</f>
        <v>0</v>
      </c>
      <c r="FA51" s="842">
        <f t="shared" si="115"/>
        <v>0</v>
      </c>
      <c r="FB51" s="842">
        <f t="shared" si="115"/>
        <v>0</v>
      </c>
      <c r="FC51" s="842">
        <f t="shared" si="115"/>
        <v>0</v>
      </c>
      <c r="FD51" s="842">
        <f t="shared" si="115"/>
        <v>0</v>
      </c>
      <c r="FE51" s="842">
        <f t="shared" si="115"/>
        <v>0</v>
      </c>
      <c r="FF51" s="842">
        <f t="shared" si="115"/>
        <v>0</v>
      </c>
      <c r="FG51" s="842">
        <f t="shared" si="115"/>
        <v>0</v>
      </c>
      <c r="FH51" s="842">
        <f t="shared" si="115"/>
        <v>0</v>
      </c>
      <c r="FI51" s="842">
        <f t="shared" si="115"/>
        <v>0</v>
      </c>
      <c r="FJ51" s="842">
        <f t="shared" si="115"/>
        <v>0</v>
      </c>
      <c r="FK51" s="842">
        <f t="shared" si="115"/>
        <v>0</v>
      </c>
      <c r="FL51" s="842">
        <f t="shared" si="115"/>
        <v>0</v>
      </c>
      <c r="FM51" s="842">
        <f t="shared" si="115"/>
        <v>0</v>
      </c>
      <c r="FN51" s="842">
        <f t="shared" si="115"/>
        <v>0</v>
      </c>
      <c r="FO51" s="842">
        <f t="shared" si="115"/>
        <v>0</v>
      </c>
      <c r="FP51" s="842">
        <f t="shared" ref="FP51:FV52" si="116">-ABS(AB51)</f>
        <v>0</v>
      </c>
      <c r="FQ51" s="842">
        <f t="shared" si="116"/>
        <v>0</v>
      </c>
      <c r="FR51" s="842">
        <f t="shared" si="116"/>
        <v>0</v>
      </c>
      <c r="FS51" s="842">
        <f t="shared" si="116"/>
        <v>0</v>
      </c>
      <c r="FT51" s="842">
        <f t="shared" si="116"/>
        <v>0</v>
      </c>
      <c r="FU51" s="842">
        <f t="shared" si="116"/>
        <v>0</v>
      </c>
      <c r="FV51" s="842">
        <f t="shared" si="116"/>
        <v>0</v>
      </c>
      <c r="FW51" s="1477"/>
      <c r="FX51" s="1477"/>
      <c r="FY51" s="883"/>
      <c r="FZ51" s="884"/>
    </row>
    <row r="52" spans="3:182" ht="23.25" customHeight="1" thickBot="1">
      <c r="C52" s="885"/>
      <c r="D52" s="1478" t="s">
        <v>2259</v>
      </c>
      <c r="E52" s="1478"/>
      <c r="F52" s="1478"/>
      <c r="G52" s="886" t="s">
        <v>2257</v>
      </c>
      <c r="H52" s="887"/>
      <c r="I52" s="888"/>
      <c r="J52" s="888"/>
      <c r="K52" s="888"/>
      <c r="L52" s="888"/>
      <c r="M52" s="888"/>
      <c r="N52" s="888"/>
      <c r="O52" s="888"/>
      <c r="P52" s="888"/>
      <c r="Q52" s="888"/>
      <c r="R52" s="888"/>
      <c r="S52" s="888"/>
      <c r="T52" s="889"/>
      <c r="U52" s="889"/>
      <c r="V52" s="889"/>
      <c r="W52" s="889"/>
      <c r="X52" s="889"/>
      <c r="Y52" s="889"/>
      <c r="Z52" s="889"/>
      <c r="AA52" s="889"/>
      <c r="AB52" s="889"/>
      <c r="AC52" s="889"/>
      <c r="AD52" s="889"/>
      <c r="AE52" s="889"/>
      <c r="AF52" s="889"/>
      <c r="AG52" s="889"/>
      <c r="AH52" s="889"/>
      <c r="AI52" s="887"/>
      <c r="AJ52" s="890"/>
      <c r="AK52" s="890"/>
      <c r="AL52" s="890"/>
      <c r="AM52" s="891"/>
      <c r="AN52" s="891"/>
      <c r="AO52" s="891"/>
      <c r="AP52" s="891"/>
      <c r="AQ52" s="891"/>
      <c r="AR52" s="891"/>
      <c r="AS52" s="891"/>
      <c r="AT52" s="891"/>
      <c r="AU52" s="891"/>
      <c r="AV52" s="891"/>
      <c r="AW52" s="891"/>
      <c r="AX52" s="891"/>
      <c r="AY52" s="891"/>
      <c r="AZ52" s="891"/>
      <c r="BA52" s="891"/>
      <c r="BB52" s="891"/>
      <c r="BC52" s="891"/>
      <c r="BD52" s="891"/>
      <c r="BE52" s="891"/>
      <c r="BF52" s="891"/>
      <c r="BG52" s="891"/>
      <c r="BH52" s="891"/>
      <c r="BI52" s="891"/>
      <c r="BJ52" s="892"/>
      <c r="BK52" s="892"/>
      <c r="BL52" s="892"/>
      <c r="BM52" s="892"/>
      <c r="BN52" s="892"/>
      <c r="BO52" s="892"/>
      <c r="BP52" s="892"/>
      <c r="BQ52" s="892"/>
      <c r="BR52" s="892"/>
      <c r="BS52" s="892"/>
      <c r="BT52" s="892"/>
      <c r="BU52" s="892"/>
      <c r="BV52" s="892"/>
      <c r="BW52" s="892"/>
      <c r="BX52" s="892"/>
      <c r="BY52" s="892"/>
      <c r="BZ52" s="892"/>
      <c r="CA52" s="892"/>
      <c r="CB52" s="892"/>
      <c r="CC52" s="892"/>
      <c r="CD52" s="892"/>
      <c r="CE52" s="892"/>
      <c r="CF52" s="892"/>
      <c r="CG52" s="888">
        <v>1</v>
      </c>
      <c r="CH52" s="893" t="s">
        <v>2258</v>
      </c>
      <c r="CI52" s="894">
        <f>H14_控除後使用量/単位補正２</f>
        <v>0</v>
      </c>
      <c r="CJ52" s="894">
        <f>H15_控除後使用量/単位補正２</f>
        <v>0</v>
      </c>
      <c r="CK52" s="894">
        <f>H16_控除後使用量/単位補正２</f>
        <v>0</v>
      </c>
      <c r="CL52" s="894">
        <f>H17_控除後使用量/単位補正２</f>
        <v>0</v>
      </c>
      <c r="CM52" s="894">
        <f>H18_控除後使用量/単位補正２</f>
        <v>0</v>
      </c>
      <c r="CN52" s="894">
        <f>H19_控除後使用量/単位補正２</f>
        <v>0</v>
      </c>
      <c r="CO52" s="894">
        <f>H20_控除後使用量/単位補正２</f>
        <v>0</v>
      </c>
      <c r="CP52" s="894">
        <f>H21_控除後使用量/単位補正２</f>
        <v>0</v>
      </c>
      <c r="CQ52" s="894">
        <f>H22_控除後使用量/単位補正２</f>
        <v>0</v>
      </c>
      <c r="CR52" s="894">
        <f>H23_控除後使用量/単位補正２</f>
        <v>0</v>
      </c>
      <c r="CS52" s="894">
        <f>H24_控除後使用量/単位補正２</f>
        <v>0</v>
      </c>
      <c r="CT52" s="894">
        <f>H25_控除後使用量/単位補正２</f>
        <v>0</v>
      </c>
      <c r="CU52" s="894">
        <f>H26_控除後使用量/単位補正２</f>
        <v>0</v>
      </c>
      <c r="CV52" s="894">
        <f>H27_控除後使用量/単位補正２</f>
        <v>0</v>
      </c>
      <c r="CW52" s="894">
        <f>H28_控除後使用量/単位補正２</f>
        <v>0</v>
      </c>
      <c r="CX52" s="894">
        <f>H29_控除後使用量/単位補正２</f>
        <v>0</v>
      </c>
      <c r="CY52" s="894">
        <f>H30_控除後使用量/単位補正２</f>
        <v>0</v>
      </c>
      <c r="CZ52" s="894">
        <f t="shared" ref="CZ52:DE52" si="117">ROUND(CA52/単位補正２,0)</f>
        <v>0</v>
      </c>
      <c r="DA52" s="894">
        <f t="shared" si="117"/>
        <v>0</v>
      </c>
      <c r="DB52" s="894">
        <f t="shared" si="117"/>
        <v>0</v>
      </c>
      <c r="DC52" s="894">
        <f t="shared" si="117"/>
        <v>0</v>
      </c>
      <c r="DD52" s="894">
        <f t="shared" si="117"/>
        <v>0</v>
      </c>
      <c r="DE52" s="894">
        <f t="shared" si="117"/>
        <v>0</v>
      </c>
      <c r="DF52" s="891"/>
      <c r="DG52" s="891"/>
      <c r="DH52" s="891"/>
      <c r="DI52" s="891"/>
      <c r="DJ52" s="891"/>
      <c r="DK52" s="891"/>
      <c r="DL52" s="891"/>
      <c r="DM52" s="891"/>
      <c r="DN52" s="891"/>
      <c r="DO52" s="891"/>
      <c r="DP52" s="891"/>
      <c r="DQ52" s="891"/>
      <c r="DR52" s="891"/>
      <c r="DS52" s="891"/>
      <c r="DT52" s="891"/>
      <c r="DU52" s="891"/>
      <c r="DV52" s="891"/>
      <c r="DW52" s="891"/>
      <c r="DX52" s="891"/>
      <c r="DY52" s="891"/>
      <c r="DZ52" s="891"/>
      <c r="EA52" s="891"/>
      <c r="EB52" s="891"/>
      <c r="EC52" s="891"/>
      <c r="ED52" s="891"/>
      <c r="EE52" s="891"/>
      <c r="EF52" s="891"/>
      <c r="EG52" s="891"/>
      <c r="EH52" s="891"/>
      <c r="EI52" s="891"/>
      <c r="EJ52" s="891"/>
      <c r="EK52" s="891"/>
      <c r="EL52" s="891"/>
      <c r="EM52" s="891"/>
      <c r="EN52" s="891"/>
      <c r="EO52" s="891"/>
      <c r="EP52" s="891"/>
      <c r="EQ52" s="891"/>
      <c r="ER52" s="891"/>
      <c r="ES52" s="891"/>
      <c r="ET52" s="891"/>
      <c r="EU52" s="891"/>
      <c r="EV52" s="891"/>
      <c r="EW52" s="891"/>
      <c r="EX52" s="891"/>
      <c r="EY52" s="891"/>
      <c r="EZ52" s="895">
        <f t="shared" si="115"/>
        <v>0</v>
      </c>
      <c r="FA52" s="895">
        <f t="shared" si="115"/>
        <v>0</v>
      </c>
      <c r="FB52" s="895">
        <f t="shared" si="115"/>
        <v>0</v>
      </c>
      <c r="FC52" s="895">
        <f t="shared" si="115"/>
        <v>0</v>
      </c>
      <c r="FD52" s="895">
        <f t="shared" si="115"/>
        <v>0</v>
      </c>
      <c r="FE52" s="895">
        <f t="shared" si="115"/>
        <v>0</v>
      </c>
      <c r="FF52" s="895">
        <f t="shared" si="115"/>
        <v>0</v>
      </c>
      <c r="FG52" s="895">
        <f t="shared" si="115"/>
        <v>0</v>
      </c>
      <c r="FH52" s="895">
        <f t="shared" si="115"/>
        <v>0</v>
      </c>
      <c r="FI52" s="895">
        <f t="shared" si="115"/>
        <v>0</v>
      </c>
      <c r="FJ52" s="895">
        <f t="shared" si="115"/>
        <v>0</v>
      </c>
      <c r="FK52" s="895">
        <f t="shared" si="115"/>
        <v>0</v>
      </c>
      <c r="FL52" s="895">
        <f t="shared" si="115"/>
        <v>0</v>
      </c>
      <c r="FM52" s="895">
        <f t="shared" si="115"/>
        <v>0</v>
      </c>
      <c r="FN52" s="895">
        <f t="shared" si="115"/>
        <v>0</v>
      </c>
      <c r="FO52" s="895">
        <f t="shared" si="115"/>
        <v>0</v>
      </c>
      <c r="FP52" s="895">
        <f t="shared" si="116"/>
        <v>0</v>
      </c>
      <c r="FQ52" s="895">
        <f t="shared" si="116"/>
        <v>0</v>
      </c>
      <c r="FR52" s="895">
        <f t="shared" si="116"/>
        <v>0</v>
      </c>
      <c r="FS52" s="895">
        <f t="shared" si="116"/>
        <v>0</v>
      </c>
      <c r="FT52" s="895">
        <f t="shared" si="116"/>
        <v>0</v>
      </c>
      <c r="FU52" s="895">
        <f t="shared" si="116"/>
        <v>0</v>
      </c>
      <c r="FV52" s="895">
        <f t="shared" si="116"/>
        <v>0</v>
      </c>
      <c r="FW52" s="1479"/>
      <c r="FX52" s="1479"/>
      <c r="FY52" s="896"/>
      <c r="FZ52" s="897"/>
    </row>
    <row r="53" spans="3:182" ht="23.25" customHeight="1" thickTop="1" thickBot="1">
      <c r="C53" s="898"/>
      <c r="D53" s="1475" t="s">
        <v>2260</v>
      </c>
      <c r="E53" s="1475"/>
      <c r="F53" s="1475"/>
      <c r="G53" s="899"/>
      <c r="H53" s="900"/>
      <c r="I53" s="900"/>
      <c r="J53" s="900"/>
      <c r="K53" s="900"/>
      <c r="L53" s="900">
        <f t="shared" ref="L53:BI53" si="118">L35+L41+L47+L50</f>
        <v>0</v>
      </c>
      <c r="M53" s="900">
        <f t="shared" si="118"/>
        <v>0</v>
      </c>
      <c r="N53" s="900">
        <f t="shared" si="118"/>
        <v>0</v>
      </c>
      <c r="O53" s="900">
        <f t="shared" si="118"/>
        <v>0</v>
      </c>
      <c r="P53" s="900">
        <f t="shared" si="118"/>
        <v>0</v>
      </c>
      <c r="Q53" s="900">
        <f t="shared" si="118"/>
        <v>0</v>
      </c>
      <c r="R53" s="900">
        <f t="shared" si="118"/>
        <v>0</v>
      </c>
      <c r="S53" s="900">
        <f t="shared" si="118"/>
        <v>0</v>
      </c>
      <c r="T53" s="900">
        <f t="shared" si="118"/>
        <v>0</v>
      </c>
      <c r="U53" s="900">
        <f t="shared" si="118"/>
        <v>0</v>
      </c>
      <c r="V53" s="900">
        <f t="shared" si="118"/>
        <v>0</v>
      </c>
      <c r="W53" s="900">
        <f t="shared" si="118"/>
        <v>0</v>
      </c>
      <c r="X53" s="900">
        <f t="shared" si="118"/>
        <v>0</v>
      </c>
      <c r="Y53" s="900">
        <f t="shared" si="118"/>
        <v>0</v>
      </c>
      <c r="Z53" s="900">
        <f t="shared" si="118"/>
        <v>0</v>
      </c>
      <c r="AA53" s="900">
        <f t="shared" si="118"/>
        <v>0</v>
      </c>
      <c r="AB53" s="900">
        <f t="shared" si="118"/>
        <v>0</v>
      </c>
      <c r="AC53" s="900">
        <f t="shared" si="118"/>
        <v>0</v>
      </c>
      <c r="AD53" s="900">
        <f t="shared" si="118"/>
        <v>0</v>
      </c>
      <c r="AE53" s="900">
        <f t="shared" si="118"/>
        <v>0</v>
      </c>
      <c r="AF53" s="900">
        <f t="shared" si="118"/>
        <v>0</v>
      </c>
      <c r="AG53" s="900">
        <f t="shared" si="118"/>
        <v>0</v>
      </c>
      <c r="AH53" s="900">
        <f t="shared" si="118"/>
        <v>0</v>
      </c>
      <c r="AI53" s="900">
        <f t="shared" si="118"/>
        <v>0</v>
      </c>
      <c r="AJ53" s="900">
        <f t="shared" si="118"/>
        <v>0</v>
      </c>
      <c r="AK53" s="900">
        <f t="shared" si="118"/>
        <v>0</v>
      </c>
      <c r="AL53" s="900">
        <f t="shared" si="118"/>
        <v>0</v>
      </c>
      <c r="AM53" s="900">
        <f t="shared" si="118"/>
        <v>0</v>
      </c>
      <c r="AN53" s="900">
        <f t="shared" si="118"/>
        <v>0</v>
      </c>
      <c r="AO53" s="900">
        <f t="shared" si="118"/>
        <v>0</v>
      </c>
      <c r="AP53" s="900">
        <f t="shared" si="118"/>
        <v>0</v>
      </c>
      <c r="AQ53" s="900">
        <f t="shared" si="118"/>
        <v>0</v>
      </c>
      <c r="AR53" s="900">
        <f t="shared" si="118"/>
        <v>0</v>
      </c>
      <c r="AS53" s="900">
        <f t="shared" si="118"/>
        <v>0</v>
      </c>
      <c r="AT53" s="900">
        <f t="shared" si="118"/>
        <v>0</v>
      </c>
      <c r="AU53" s="900">
        <f t="shared" si="118"/>
        <v>0</v>
      </c>
      <c r="AV53" s="900">
        <f t="shared" si="118"/>
        <v>0</v>
      </c>
      <c r="AW53" s="900">
        <f t="shared" si="118"/>
        <v>0</v>
      </c>
      <c r="AX53" s="900">
        <f t="shared" si="118"/>
        <v>0</v>
      </c>
      <c r="AY53" s="900">
        <f t="shared" si="118"/>
        <v>0</v>
      </c>
      <c r="AZ53" s="900">
        <f t="shared" si="118"/>
        <v>0</v>
      </c>
      <c r="BA53" s="900">
        <f t="shared" si="118"/>
        <v>0</v>
      </c>
      <c r="BB53" s="900">
        <f t="shared" si="118"/>
        <v>0</v>
      </c>
      <c r="BC53" s="900">
        <f t="shared" si="118"/>
        <v>0</v>
      </c>
      <c r="BD53" s="900">
        <f t="shared" si="118"/>
        <v>0</v>
      </c>
      <c r="BE53" s="900">
        <f t="shared" si="118"/>
        <v>0</v>
      </c>
      <c r="BF53" s="900">
        <f t="shared" si="118"/>
        <v>0</v>
      </c>
      <c r="BG53" s="900">
        <f t="shared" si="118"/>
        <v>0</v>
      </c>
      <c r="BH53" s="900">
        <f t="shared" si="118"/>
        <v>0</v>
      </c>
      <c r="BI53" s="900">
        <f t="shared" si="118"/>
        <v>0</v>
      </c>
      <c r="BJ53" s="900"/>
      <c r="BK53" s="900"/>
      <c r="BL53" s="900"/>
      <c r="BM53" s="900"/>
      <c r="BN53" s="900"/>
      <c r="BO53" s="900"/>
      <c r="BP53" s="900"/>
      <c r="BQ53" s="900"/>
      <c r="BR53" s="900"/>
      <c r="BS53" s="900"/>
      <c r="BT53" s="900"/>
      <c r="BU53" s="900"/>
      <c r="BV53" s="900"/>
      <c r="BW53" s="900"/>
      <c r="BX53" s="900"/>
      <c r="BY53" s="900"/>
      <c r="BZ53" s="900"/>
      <c r="CA53" s="900"/>
      <c r="CB53" s="900"/>
      <c r="CC53" s="900"/>
      <c r="CD53" s="900"/>
      <c r="CE53" s="900"/>
      <c r="CF53" s="900"/>
      <c r="CG53" s="900"/>
      <c r="CH53" s="900"/>
      <c r="CI53" s="900"/>
      <c r="CJ53" s="900"/>
      <c r="CK53" s="900"/>
      <c r="CL53" s="900"/>
      <c r="CM53" s="900"/>
      <c r="CN53" s="900"/>
      <c r="CO53" s="900"/>
      <c r="CP53" s="900"/>
      <c r="CQ53" s="900"/>
      <c r="CR53" s="900"/>
      <c r="CS53" s="900"/>
      <c r="CT53" s="900"/>
      <c r="CU53" s="900"/>
      <c r="CV53" s="900"/>
      <c r="CW53" s="900"/>
      <c r="CX53" s="900"/>
      <c r="CY53" s="900"/>
      <c r="CZ53" s="900"/>
      <c r="DA53" s="900"/>
      <c r="DB53" s="900"/>
      <c r="DC53" s="900"/>
      <c r="DD53" s="900"/>
      <c r="DE53" s="900"/>
      <c r="DF53" s="900">
        <f t="shared" ref="DF53:EB53" si="119">DF35+DF41+DF47</f>
        <v>0</v>
      </c>
      <c r="DG53" s="900">
        <f t="shared" si="119"/>
        <v>0</v>
      </c>
      <c r="DH53" s="900">
        <f t="shared" si="119"/>
        <v>0</v>
      </c>
      <c r="DI53" s="900">
        <f t="shared" si="119"/>
        <v>0</v>
      </c>
      <c r="DJ53" s="900">
        <f t="shared" si="119"/>
        <v>0</v>
      </c>
      <c r="DK53" s="900">
        <f t="shared" si="119"/>
        <v>0</v>
      </c>
      <c r="DL53" s="900">
        <f t="shared" si="119"/>
        <v>0</v>
      </c>
      <c r="DM53" s="900">
        <f t="shared" si="119"/>
        <v>0</v>
      </c>
      <c r="DN53" s="900">
        <f t="shared" si="119"/>
        <v>0</v>
      </c>
      <c r="DO53" s="900">
        <f t="shared" si="119"/>
        <v>0</v>
      </c>
      <c r="DP53" s="900">
        <f t="shared" si="119"/>
        <v>0</v>
      </c>
      <c r="DQ53" s="900">
        <f t="shared" si="119"/>
        <v>0</v>
      </c>
      <c r="DR53" s="900">
        <f t="shared" si="119"/>
        <v>0</v>
      </c>
      <c r="DS53" s="900">
        <f t="shared" si="119"/>
        <v>0</v>
      </c>
      <c r="DT53" s="900">
        <f t="shared" si="119"/>
        <v>0</v>
      </c>
      <c r="DU53" s="900">
        <f t="shared" si="119"/>
        <v>0</v>
      </c>
      <c r="DV53" s="900">
        <f t="shared" si="119"/>
        <v>0</v>
      </c>
      <c r="DW53" s="900">
        <f t="shared" si="119"/>
        <v>0</v>
      </c>
      <c r="DX53" s="900">
        <f t="shared" si="119"/>
        <v>0</v>
      </c>
      <c r="DY53" s="900">
        <f t="shared" si="119"/>
        <v>0</v>
      </c>
      <c r="DZ53" s="900">
        <f t="shared" si="119"/>
        <v>0</v>
      </c>
      <c r="EA53" s="900">
        <f t="shared" si="119"/>
        <v>0</v>
      </c>
      <c r="EB53" s="900">
        <f t="shared" si="119"/>
        <v>0</v>
      </c>
      <c r="EC53" s="901">
        <f t="shared" ref="EC53:EY53" si="120">DF53*$GC$19</f>
        <v>0</v>
      </c>
      <c r="ED53" s="901">
        <f t="shared" si="120"/>
        <v>0</v>
      </c>
      <c r="EE53" s="901">
        <f t="shared" si="120"/>
        <v>0</v>
      </c>
      <c r="EF53" s="901">
        <f t="shared" si="120"/>
        <v>0</v>
      </c>
      <c r="EG53" s="901">
        <f t="shared" si="120"/>
        <v>0</v>
      </c>
      <c r="EH53" s="901">
        <f t="shared" si="120"/>
        <v>0</v>
      </c>
      <c r="EI53" s="901">
        <f t="shared" si="120"/>
        <v>0</v>
      </c>
      <c r="EJ53" s="901">
        <f t="shared" si="120"/>
        <v>0</v>
      </c>
      <c r="EK53" s="901">
        <f t="shared" si="120"/>
        <v>0</v>
      </c>
      <c r="EL53" s="901">
        <f t="shared" si="120"/>
        <v>0</v>
      </c>
      <c r="EM53" s="901">
        <f t="shared" si="120"/>
        <v>0</v>
      </c>
      <c r="EN53" s="901">
        <f t="shared" si="120"/>
        <v>0</v>
      </c>
      <c r="EO53" s="901">
        <f t="shared" si="120"/>
        <v>0</v>
      </c>
      <c r="EP53" s="901">
        <f t="shared" si="120"/>
        <v>0</v>
      </c>
      <c r="EQ53" s="901">
        <f t="shared" si="120"/>
        <v>0</v>
      </c>
      <c r="ER53" s="901">
        <f t="shared" si="120"/>
        <v>0</v>
      </c>
      <c r="ES53" s="901">
        <f t="shared" si="120"/>
        <v>0</v>
      </c>
      <c r="ET53" s="901">
        <f t="shared" si="120"/>
        <v>0</v>
      </c>
      <c r="EU53" s="901">
        <f t="shared" si="120"/>
        <v>0</v>
      </c>
      <c r="EV53" s="901">
        <f t="shared" si="120"/>
        <v>0</v>
      </c>
      <c r="EW53" s="901">
        <f t="shared" si="120"/>
        <v>0</v>
      </c>
      <c r="EX53" s="901">
        <f t="shared" si="120"/>
        <v>0</v>
      </c>
      <c r="EY53" s="901">
        <f t="shared" si="120"/>
        <v>0</v>
      </c>
      <c r="EZ53" s="900">
        <f>ROUND((IF(EZ35+EZ41+EZ47+EZ50+EZ52&lt;0,0,EZ35+EZ41+EZ47+EZ50+EZ51+EZ52)),0)</f>
        <v>0</v>
      </c>
      <c r="FA53" s="900">
        <f t="shared" ref="FA53:FV53" si="121">ROUND((IF(FA35+FA41+FA47+FA50+FA52&lt;0,0,FA35+FA41+FA47+FA50+FA51+FA52)),0)</f>
        <v>0</v>
      </c>
      <c r="FB53" s="900">
        <f t="shared" si="121"/>
        <v>0</v>
      </c>
      <c r="FC53" s="900">
        <f t="shared" si="121"/>
        <v>0</v>
      </c>
      <c r="FD53" s="900">
        <f t="shared" si="121"/>
        <v>0</v>
      </c>
      <c r="FE53" s="900">
        <f t="shared" si="121"/>
        <v>0</v>
      </c>
      <c r="FF53" s="900">
        <f t="shared" si="121"/>
        <v>0</v>
      </c>
      <c r="FG53" s="900">
        <f t="shared" si="121"/>
        <v>0</v>
      </c>
      <c r="FH53" s="900">
        <f t="shared" si="121"/>
        <v>0</v>
      </c>
      <c r="FI53" s="900">
        <f t="shared" si="121"/>
        <v>0</v>
      </c>
      <c r="FJ53" s="900">
        <f t="shared" si="121"/>
        <v>0</v>
      </c>
      <c r="FK53" s="900">
        <f t="shared" si="121"/>
        <v>0</v>
      </c>
      <c r="FL53" s="900">
        <f t="shared" si="121"/>
        <v>0</v>
      </c>
      <c r="FM53" s="900">
        <f t="shared" si="121"/>
        <v>0</v>
      </c>
      <c r="FN53" s="900">
        <f t="shared" si="121"/>
        <v>0</v>
      </c>
      <c r="FO53" s="900">
        <f t="shared" si="121"/>
        <v>0</v>
      </c>
      <c r="FP53" s="900">
        <f t="shared" si="121"/>
        <v>0</v>
      </c>
      <c r="FQ53" s="900">
        <f t="shared" si="121"/>
        <v>0</v>
      </c>
      <c r="FR53" s="900">
        <f t="shared" si="121"/>
        <v>0</v>
      </c>
      <c r="FS53" s="900">
        <f t="shared" si="121"/>
        <v>0</v>
      </c>
      <c r="FT53" s="900">
        <f t="shared" si="121"/>
        <v>0</v>
      </c>
      <c r="FU53" s="900">
        <f t="shared" si="121"/>
        <v>0</v>
      </c>
      <c r="FV53" s="900">
        <f t="shared" si="121"/>
        <v>0</v>
      </c>
      <c r="FW53" s="902"/>
      <c r="FX53" s="902"/>
      <c r="FY53" s="902"/>
      <c r="FZ53" s="903"/>
    </row>
    <row r="54" spans="3:182" ht="13.5" thickTop="1">
      <c r="G54" s="771"/>
      <c r="I54" s="771"/>
      <c r="J54" s="771"/>
      <c r="K54" s="771"/>
      <c r="L54" s="771"/>
      <c r="M54" s="771"/>
      <c r="N54" s="771"/>
      <c r="O54" s="771"/>
      <c r="P54" s="771"/>
      <c r="Q54" s="771"/>
      <c r="R54" s="771"/>
      <c r="S54" s="771"/>
      <c r="T54" s="771"/>
      <c r="U54" s="771"/>
      <c r="V54" s="771"/>
      <c r="W54" s="771"/>
      <c r="X54" s="771"/>
      <c r="Y54" s="771"/>
      <c r="Z54" s="771"/>
      <c r="AA54" s="771"/>
      <c r="AB54" s="771"/>
      <c r="AC54" s="771"/>
      <c r="AD54" s="771"/>
      <c r="AE54" s="771"/>
      <c r="AF54" s="771"/>
      <c r="AG54" s="771"/>
      <c r="AH54" s="771"/>
      <c r="AJ54" s="771"/>
      <c r="AK54" s="771"/>
      <c r="AL54" s="771"/>
      <c r="AM54" s="771"/>
      <c r="AN54" s="771"/>
      <c r="AO54" s="771"/>
      <c r="AP54" s="771"/>
      <c r="AQ54" s="771"/>
      <c r="AR54" s="771"/>
      <c r="AS54" s="771"/>
      <c r="AT54" s="771"/>
      <c r="AU54" s="771"/>
      <c r="AV54" s="771"/>
      <c r="AW54" s="771"/>
      <c r="AX54" s="771"/>
      <c r="AY54" s="771"/>
      <c r="AZ54" s="771"/>
      <c r="BA54" s="771"/>
      <c r="BB54" s="771"/>
      <c r="BC54" s="771"/>
      <c r="BD54" s="771"/>
      <c r="BE54" s="771"/>
      <c r="BF54" s="771"/>
      <c r="BG54" s="771"/>
      <c r="BH54" s="771"/>
      <c r="BI54" s="771"/>
      <c r="BJ54" s="771"/>
      <c r="BK54" s="771"/>
      <c r="BL54" s="771"/>
      <c r="BM54" s="771"/>
      <c r="BN54" s="771"/>
      <c r="BO54" s="771"/>
      <c r="BP54" s="771"/>
      <c r="BQ54" s="771"/>
      <c r="BR54" s="771"/>
      <c r="BS54" s="771"/>
      <c r="BT54" s="771"/>
      <c r="BU54" s="771"/>
      <c r="BV54" s="771"/>
      <c r="BW54" s="771"/>
      <c r="BX54" s="771"/>
      <c r="BY54" s="771"/>
      <c r="BZ54" s="771"/>
      <c r="CA54" s="771"/>
      <c r="CB54" s="771"/>
      <c r="CC54" s="771"/>
      <c r="CD54" s="771"/>
      <c r="CE54" s="771"/>
      <c r="CF54" s="771"/>
      <c r="CG54" s="771"/>
      <c r="CH54" s="771"/>
      <c r="CI54" s="771"/>
      <c r="CJ54" s="771"/>
      <c r="CK54" s="771"/>
      <c r="CL54" s="771"/>
      <c r="CM54" s="771"/>
      <c r="CN54" s="771"/>
      <c r="CO54" s="771"/>
      <c r="CP54" s="771"/>
      <c r="CQ54" s="771"/>
      <c r="CR54" s="771"/>
      <c r="CS54" s="771"/>
      <c r="CT54" s="771"/>
      <c r="CU54" s="771"/>
      <c r="CV54" s="771"/>
      <c r="CW54" s="771"/>
      <c r="CX54" s="771"/>
      <c r="CY54" s="771"/>
      <c r="CZ54" s="771"/>
      <c r="DA54" s="771"/>
      <c r="DB54" s="771"/>
      <c r="DC54" s="771"/>
      <c r="DD54" s="771"/>
      <c r="DE54" s="771"/>
    </row>
    <row r="55" spans="3:182">
      <c r="M55" s="771"/>
      <c r="N55" s="771"/>
      <c r="O55" s="771"/>
      <c r="P55" s="771"/>
      <c r="Q55" s="771"/>
      <c r="R55" s="771"/>
      <c r="S55" s="771"/>
      <c r="T55" s="771"/>
      <c r="U55" s="771"/>
      <c r="V55" s="771"/>
      <c r="W55" s="771"/>
      <c r="X55" s="771"/>
      <c r="Y55" s="771"/>
      <c r="Z55" s="771"/>
      <c r="AA55" s="771"/>
      <c r="AB55" s="771"/>
      <c r="AC55" s="771"/>
      <c r="AD55" s="771"/>
      <c r="AE55" s="771"/>
      <c r="AF55" s="771"/>
      <c r="AG55" s="771"/>
      <c r="AH55" s="771"/>
      <c r="AN55" s="771"/>
      <c r="AO55" s="771"/>
      <c r="AP55" s="771"/>
      <c r="AQ55" s="771"/>
      <c r="AR55" s="771"/>
      <c r="AS55" s="771"/>
      <c r="AT55" s="771"/>
      <c r="AU55" s="771"/>
      <c r="AV55" s="771"/>
      <c r="AW55" s="771"/>
      <c r="AX55" s="771"/>
      <c r="AY55" s="771"/>
      <c r="AZ55" s="771"/>
      <c r="BA55" s="771"/>
      <c r="BB55" s="771"/>
      <c r="BC55" s="771"/>
      <c r="BD55" s="771"/>
      <c r="BE55" s="771"/>
      <c r="BF55" s="771"/>
      <c r="BG55" s="771"/>
      <c r="BH55" s="771"/>
      <c r="BI55" s="771"/>
      <c r="BK55" s="771"/>
      <c r="BL55" s="771"/>
      <c r="BM55" s="771"/>
      <c r="BN55" s="771"/>
      <c r="BO55" s="771"/>
      <c r="BP55" s="771"/>
      <c r="BQ55" s="771"/>
      <c r="BR55" s="771"/>
      <c r="BS55" s="771"/>
      <c r="BT55" s="771"/>
      <c r="BU55" s="771"/>
      <c r="BV55" s="771"/>
      <c r="BW55" s="771"/>
      <c r="BX55" s="771"/>
      <c r="BY55" s="771"/>
      <c r="BZ55" s="771"/>
      <c r="CA55" s="771"/>
      <c r="CB55" s="771"/>
      <c r="CC55" s="771"/>
      <c r="CD55" s="771"/>
      <c r="CE55" s="771"/>
      <c r="CF55" s="771"/>
      <c r="CG55" s="771"/>
      <c r="CH55" s="771"/>
      <c r="CI55" s="771"/>
      <c r="CJ55" s="771"/>
      <c r="CK55" s="771"/>
      <c r="CL55" s="771"/>
      <c r="CM55" s="771"/>
      <c r="CN55" s="771"/>
      <c r="CO55" s="771"/>
      <c r="CP55" s="771"/>
      <c r="CQ55" s="771"/>
      <c r="CR55" s="771"/>
      <c r="CS55" s="771"/>
      <c r="CT55" s="771"/>
      <c r="CU55" s="771"/>
      <c r="CV55" s="771"/>
      <c r="CW55" s="771"/>
      <c r="CX55" s="771"/>
      <c r="CY55" s="771"/>
      <c r="CZ55" s="771"/>
      <c r="DA55" s="771"/>
      <c r="DB55" s="771"/>
      <c r="DC55" s="771"/>
      <c r="DD55" s="771"/>
      <c r="DE55" s="771"/>
      <c r="DF55" s="771"/>
      <c r="DG55" s="771"/>
      <c r="DH55" s="771"/>
      <c r="DI55" s="771"/>
      <c r="DJ55" s="771"/>
      <c r="DK55" s="771"/>
      <c r="DL55" s="771"/>
      <c r="DM55" s="771"/>
      <c r="DN55" s="771"/>
      <c r="DO55" s="771"/>
      <c r="DP55" s="771"/>
      <c r="DQ55" s="771"/>
      <c r="DR55" s="771"/>
      <c r="DS55" s="771"/>
      <c r="DT55" s="771"/>
      <c r="DU55" s="771"/>
      <c r="DV55" s="771"/>
      <c r="DW55" s="771"/>
      <c r="DX55" s="771"/>
      <c r="DY55" s="771"/>
      <c r="DZ55" s="771"/>
      <c r="EA55" s="771"/>
      <c r="EB55" s="771"/>
      <c r="EC55" s="771"/>
      <c r="ED55" s="771"/>
      <c r="EE55" s="771"/>
      <c r="EF55" s="771"/>
      <c r="EG55" s="771"/>
      <c r="EH55" s="771"/>
      <c r="EI55" s="771"/>
      <c r="EJ55" s="771"/>
      <c r="EK55" s="771"/>
      <c r="EL55" s="771"/>
      <c r="EM55" s="771"/>
      <c r="EN55" s="771"/>
      <c r="EO55" s="771"/>
      <c r="EP55" s="771"/>
      <c r="EQ55" s="771"/>
      <c r="ER55" s="771"/>
      <c r="ES55" s="771"/>
      <c r="ET55" s="771"/>
      <c r="EU55" s="771"/>
      <c r="EV55" s="771"/>
      <c r="EW55" s="771"/>
      <c r="EX55" s="771"/>
      <c r="EY55" s="771"/>
      <c r="EZ55" s="771"/>
      <c r="FA55" s="771"/>
      <c r="FB55" s="771"/>
      <c r="FC55" s="771"/>
      <c r="FD55" s="771"/>
      <c r="FE55" s="771"/>
      <c r="FF55" s="771"/>
      <c r="FG55" s="771"/>
      <c r="FH55" s="771"/>
      <c r="FI55" s="771"/>
      <c r="FJ55" s="771"/>
      <c r="FK55" s="771"/>
      <c r="FL55" s="771"/>
      <c r="FM55" s="771"/>
      <c r="FN55" s="771"/>
      <c r="FO55" s="771"/>
      <c r="FP55" s="771"/>
      <c r="FQ55" s="771"/>
      <c r="FR55" s="771"/>
      <c r="FS55" s="771"/>
      <c r="FT55" s="771"/>
      <c r="FU55" s="771"/>
      <c r="FV55" s="771"/>
    </row>
    <row r="56" spans="3:182" ht="21" customHeight="1">
      <c r="M56" s="771"/>
      <c r="N56" s="771"/>
      <c r="O56" s="771"/>
      <c r="P56" s="771"/>
      <c r="Q56" s="771"/>
      <c r="R56" s="771"/>
      <c r="S56" s="771"/>
      <c r="T56" s="771"/>
      <c r="U56" s="771"/>
      <c r="V56" s="771"/>
      <c r="W56" s="771"/>
      <c r="X56" s="771"/>
      <c r="Y56" s="771"/>
      <c r="Z56" s="771"/>
      <c r="AA56" s="771"/>
      <c r="AB56" s="771"/>
      <c r="AC56" s="771"/>
      <c r="AD56" s="771"/>
      <c r="AE56" s="771"/>
      <c r="AF56" s="771"/>
      <c r="AG56" s="771"/>
      <c r="AH56" s="771"/>
      <c r="AN56" s="771"/>
      <c r="AO56" s="771"/>
      <c r="AP56" s="771"/>
      <c r="AQ56" s="771"/>
      <c r="AR56" s="771"/>
      <c r="AS56" s="771"/>
      <c r="AT56" s="771"/>
      <c r="AU56" s="771"/>
      <c r="AV56" s="771"/>
      <c r="AW56" s="771"/>
      <c r="AX56" s="771"/>
      <c r="AY56" s="771"/>
      <c r="AZ56" s="771"/>
      <c r="BA56" s="771"/>
      <c r="BB56" s="771"/>
      <c r="BC56" s="771"/>
      <c r="BD56" s="771"/>
      <c r="BE56" s="771"/>
      <c r="BF56" s="771"/>
      <c r="BG56" s="771"/>
      <c r="BH56" s="771"/>
      <c r="BI56" s="771"/>
      <c r="BK56" s="771"/>
      <c r="BL56" s="771"/>
      <c r="BM56" s="771"/>
      <c r="BN56" s="771"/>
      <c r="BO56" s="771"/>
      <c r="BP56" s="771"/>
      <c r="BQ56" s="771"/>
      <c r="BR56" s="771"/>
      <c r="BS56" s="771"/>
      <c r="BT56" s="771"/>
      <c r="BU56" s="771"/>
      <c r="BV56" s="771"/>
      <c r="BW56" s="771"/>
      <c r="BX56" s="771"/>
      <c r="BY56" s="771"/>
      <c r="BZ56" s="771"/>
      <c r="CA56" s="771"/>
      <c r="CB56" s="771"/>
      <c r="CC56" s="771"/>
      <c r="CD56" s="771"/>
      <c r="CE56" s="771"/>
      <c r="CF56" s="771"/>
      <c r="CG56" s="771"/>
      <c r="CH56" s="771"/>
      <c r="CI56" s="771"/>
      <c r="CJ56" s="771"/>
      <c r="CK56" s="771"/>
      <c r="CL56" s="771"/>
      <c r="CM56" s="771"/>
      <c r="CN56" s="771"/>
      <c r="CO56" s="771"/>
      <c r="CP56" s="771"/>
      <c r="CQ56" s="771"/>
      <c r="CR56" s="771"/>
      <c r="CS56" s="771"/>
      <c r="CT56" s="771"/>
      <c r="CU56" s="771"/>
      <c r="CV56" s="771"/>
      <c r="CW56" s="771"/>
      <c r="CX56" s="771"/>
      <c r="CY56" s="771"/>
      <c r="CZ56" s="771"/>
      <c r="DA56" s="771"/>
      <c r="DB56" s="771"/>
      <c r="DC56" s="771"/>
      <c r="DD56" s="771"/>
      <c r="DE56" s="771"/>
      <c r="DF56" s="771"/>
      <c r="DG56" s="771"/>
      <c r="DH56" s="771"/>
      <c r="DI56" s="771"/>
      <c r="DJ56" s="771"/>
      <c r="DK56" s="771"/>
      <c r="DL56" s="771"/>
      <c r="DM56" s="771"/>
      <c r="DN56" s="771"/>
      <c r="DO56" s="771"/>
      <c r="DP56" s="771"/>
      <c r="DQ56" s="771"/>
      <c r="DR56" s="771"/>
      <c r="DS56" s="771"/>
      <c r="DT56" s="771"/>
      <c r="DU56" s="771"/>
      <c r="DV56" s="771"/>
      <c r="DW56" s="771"/>
      <c r="DX56" s="771"/>
      <c r="DY56" s="771"/>
      <c r="DZ56" s="771"/>
      <c r="EA56" s="771"/>
      <c r="EB56" s="771"/>
      <c r="EC56" s="771"/>
      <c r="ED56" s="771"/>
      <c r="EE56" s="771"/>
      <c r="EF56" s="771"/>
      <c r="EG56" s="771"/>
      <c r="EH56" s="771"/>
      <c r="EI56" s="771"/>
      <c r="EJ56" s="771"/>
      <c r="EK56" s="771"/>
      <c r="EL56" s="771"/>
      <c r="EM56" s="771"/>
      <c r="EN56" s="771"/>
      <c r="EO56" s="771"/>
      <c r="EP56" s="771"/>
      <c r="EQ56" s="771"/>
      <c r="ER56" s="771"/>
      <c r="ES56" s="771"/>
      <c r="ET56" s="771"/>
      <c r="EU56" s="771"/>
      <c r="EV56" s="771"/>
      <c r="EW56" s="771"/>
      <c r="EX56" s="771"/>
      <c r="EY56" s="771"/>
      <c r="EZ56" s="771"/>
      <c r="FA56" s="771"/>
      <c r="FB56" s="771"/>
      <c r="FC56" s="771"/>
      <c r="FD56" s="771"/>
      <c r="FE56" s="771"/>
      <c r="FF56" s="771"/>
      <c r="FG56" s="771"/>
      <c r="FH56" s="771"/>
      <c r="FI56" s="771"/>
      <c r="FJ56" s="771"/>
      <c r="FK56" s="771"/>
      <c r="FL56" s="771"/>
      <c r="FM56" s="771"/>
      <c r="FN56" s="771"/>
      <c r="FO56" s="771"/>
      <c r="FP56" s="771"/>
      <c r="FQ56" s="771"/>
      <c r="FR56" s="771"/>
      <c r="FS56" s="771"/>
      <c r="FT56" s="771"/>
      <c r="FU56" s="771"/>
      <c r="FV56" s="771"/>
    </row>
    <row r="57" spans="3:182" ht="21" customHeight="1">
      <c r="M57" s="771"/>
      <c r="N57" s="771"/>
      <c r="O57" s="771"/>
      <c r="P57" s="771"/>
      <c r="Q57" s="771"/>
      <c r="R57" s="771"/>
      <c r="S57" s="771"/>
      <c r="T57" s="771"/>
      <c r="U57" s="771"/>
      <c r="V57" s="771"/>
      <c r="W57" s="771"/>
      <c r="X57" s="771"/>
      <c r="Y57" s="771"/>
      <c r="Z57" s="771"/>
      <c r="AA57" s="771"/>
      <c r="AB57" s="771"/>
      <c r="AC57" s="771"/>
      <c r="AD57" s="771"/>
      <c r="AE57" s="771"/>
      <c r="AF57" s="771"/>
      <c r="AG57" s="771"/>
      <c r="AH57" s="771"/>
      <c r="AN57" s="771"/>
      <c r="AO57" s="771"/>
      <c r="AP57" s="771"/>
      <c r="AQ57" s="771"/>
      <c r="AR57" s="771"/>
      <c r="AS57" s="771"/>
      <c r="AT57" s="771"/>
      <c r="AU57" s="771"/>
      <c r="AV57" s="771"/>
      <c r="AW57" s="771"/>
      <c r="AX57" s="771"/>
      <c r="AY57" s="771"/>
      <c r="AZ57" s="771"/>
      <c r="BA57" s="771"/>
      <c r="BB57" s="771"/>
      <c r="BC57" s="771"/>
      <c r="BD57" s="771"/>
      <c r="BE57" s="771"/>
      <c r="BF57" s="771"/>
      <c r="BG57" s="771"/>
      <c r="BH57" s="771"/>
      <c r="BI57" s="771"/>
      <c r="BK57" s="771"/>
      <c r="BL57" s="771"/>
      <c r="BM57" s="771"/>
      <c r="BN57" s="771"/>
      <c r="BO57" s="771"/>
      <c r="BP57" s="771"/>
      <c r="BQ57" s="771"/>
      <c r="BR57" s="771"/>
      <c r="BS57" s="771"/>
      <c r="BT57" s="771"/>
      <c r="BU57" s="771"/>
      <c r="BV57" s="771"/>
      <c r="BW57" s="771"/>
      <c r="BX57" s="771"/>
      <c r="BY57" s="771"/>
      <c r="BZ57" s="771"/>
      <c r="CA57" s="771"/>
      <c r="CB57" s="771"/>
      <c r="CC57" s="771"/>
      <c r="CD57" s="771"/>
      <c r="CE57" s="771"/>
      <c r="CF57" s="771"/>
      <c r="CG57" s="771"/>
      <c r="CH57" s="771"/>
      <c r="CI57" s="771"/>
      <c r="CJ57" s="771"/>
      <c r="CK57" s="771"/>
      <c r="CL57" s="771"/>
      <c r="CM57" s="771"/>
      <c r="CN57" s="771"/>
      <c r="CO57" s="771"/>
      <c r="CP57" s="771"/>
      <c r="CQ57" s="771"/>
      <c r="CR57" s="771"/>
      <c r="CS57" s="771"/>
      <c r="CT57" s="771"/>
      <c r="CU57" s="771"/>
      <c r="CV57" s="771"/>
      <c r="CW57" s="771"/>
      <c r="CX57" s="771"/>
      <c r="CY57" s="771"/>
      <c r="CZ57" s="771"/>
      <c r="DA57" s="771"/>
      <c r="DB57" s="771"/>
      <c r="DC57" s="771"/>
      <c r="DD57" s="771"/>
      <c r="DE57" s="771"/>
      <c r="DF57" s="771"/>
      <c r="DG57" s="771"/>
      <c r="DH57" s="771"/>
      <c r="DI57" s="771"/>
      <c r="DJ57" s="771"/>
      <c r="DK57" s="771"/>
      <c r="DL57" s="771"/>
      <c r="DM57" s="771"/>
      <c r="DN57" s="771"/>
      <c r="DO57" s="771"/>
      <c r="DP57" s="771"/>
      <c r="DQ57" s="771"/>
      <c r="DR57" s="771"/>
      <c r="DS57" s="771"/>
      <c r="DT57" s="771"/>
      <c r="DU57" s="771"/>
      <c r="DV57" s="771"/>
      <c r="DW57" s="771"/>
      <c r="DX57" s="771"/>
      <c r="DY57" s="771"/>
      <c r="DZ57" s="771"/>
      <c r="EA57" s="771"/>
      <c r="EB57" s="771"/>
      <c r="EC57" s="771"/>
      <c r="ED57" s="771"/>
      <c r="EE57" s="771"/>
      <c r="EF57" s="771"/>
      <c r="EG57" s="771"/>
      <c r="EH57" s="771"/>
      <c r="EI57" s="771"/>
      <c r="EJ57" s="771"/>
      <c r="EK57" s="771"/>
      <c r="EL57" s="771"/>
      <c r="EM57" s="771"/>
      <c r="EN57" s="771"/>
      <c r="EO57" s="771"/>
      <c r="EP57" s="771"/>
      <c r="EQ57" s="771"/>
      <c r="ER57" s="771"/>
      <c r="ES57" s="771"/>
      <c r="ET57" s="771"/>
      <c r="EU57" s="771"/>
      <c r="EV57" s="771"/>
      <c r="EW57" s="771"/>
      <c r="EX57" s="771"/>
      <c r="EY57" s="771"/>
      <c r="EZ57" s="771"/>
      <c r="FA57" s="771"/>
      <c r="FB57" s="771"/>
      <c r="FC57" s="771"/>
      <c r="FD57" s="771"/>
      <c r="FE57" s="771"/>
      <c r="FF57" s="771"/>
      <c r="FG57" s="771"/>
      <c r="FH57" s="771"/>
      <c r="FI57" s="771"/>
      <c r="FJ57" s="771"/>
      <c r="FK57" s="771"/>
      <c r="FL57" s="771"/>
      <c r="FM57" s="771"/>
      <c r="FN57" s="771"/>
      <c r="FO57" s="771"/>
      <c r="FP57" s="771"/>
      <c r="FQ57" s="771"/>
      <c r="FR57" s="771"/>
      <c r="FS57" s="771"/>
      <c r="FT57" s="771"/>
      <c r="FU57" s="771"/>
      <c r="FV57" s="771"/>
    </row>
    <row r="58" spans="3:182" ht="21" customHeight="1">
      <c r="M58" s="771"/>
      <c r="N58" s="771"/>
      <c r="O58" s="771"/>
      <c r="P58" s="771"/>
      <c r="Q58" s="771"/>
      <c r="R58" s="771"/>
      <c r="S58" s="771"/>
      <c r="T58" s="771"/>
      <c r="U58" s="771"/>
      <c r="V58" s="771"/>
      <c r="W58" s="771"/>
      <c r="X58" s="771"/>
      <c r="Y58" s="771"/>
      <c r="Z58" s="771"/>
      <c r="AA58" s="771"/>
      <c r="AB58" s="771"/>
      <c r="AC58" s="771"/>
      <c r="AD58" s="771"/>
      <c r="AE58" s="771"/>
      <c r="AF58" s="771"/>
      <c r="AG58" s="771"/>
      <c r="AH58" s="771"/>
      <c r="AN58" s="771"/>
      <c r="AO58" s="771"/>
      <c r="AP58" s="771"/>
      <c r="AQ58" s="771"/>
      <c r="AR58" s="771"/>
      <c r="AS58" s="771"/>
      <c r="AT58" s="771"/>
      <c r="AU58" s="771"/>
      <c r="AV58" s="771"/>
      <c r="AW58" s="771"/>
      <c r="AX58" s="771"/>
      <c r="AY58" s="771"/>
      <c r="AZ58" s="771"/>
      <c r="BA58" s="771"/>
      <c r="BB58" s="771"/>
      <c r="BC58" s="771"/>
      <c r="BD58" s="771"/>
      <c r="BE58" s="771"/>
      <c r="BF58" s="771"/>
      <c r="BG58" s="771"/>
      <c r="BH58" s="771"/>
      <c r="BI58" s="771"/>
      <c r="BK58" s="771"/>
      <c r="BL58" s="771"/>
      <c r="BM58" s="771"/>
      <c r="BN58" s="771"/>
      <c r="BO58" s="771"/>
      <c r="BP58" s="771"/>
      <c r="BQ58" s="771"/>
      <c r="BR58" s="771"/>
      <c r="BS58" s="771"/>
      <c r="BT58" s="771"/>
      <c r="BU58" s="771"/>
      <c r="BV58" s="771"/>
      <c r="BW58" s="771"/>
      <c r="BX58" s="771"/>
      <c r="BY58" s="771"/>
      <c r="BZ58" s="771"/>
      <c r="CA58" s="771"/>
      <c r="CB58" s="771"/>
      <c r="CC58" s="771"/>
      <c r="CD58" s="771"/>
      <c r="CE58" s="771"/>
      <c r="CF58" s="771"/>
      <c r="CG58" s="771"/>
      <c r="CH58" s="771"/>
      <c r="CI58" s="771"/>
      <c r="CJ58" s="771"/>
      <c r="CK58" s="771"/>
      <c r="CL58" s="771"/>
      <c r="CM58" s="771"/>
      <c r="CN58" s="771"/>
      <c r="CO58" s="771"/>
      <c r="CP58" s="771"/>
      <c r="CQ58" s="771"/>
      <c r="CR58" s="771"/>
      <c r="CS58" s="771"/>
      <c r="CT58" s="771"/>
      <c r="CU58" s="771"/>
      <c r="CV58" s="771"/>
      <c r="CW58" s="771"/>
      <c r="CX58" s="771"/>
      <c r="CY58" s="771"/>
      <c r="CZ58" s="771"/>
      <c r="DA58" s="771"/>
      <c r="DB58" s="771"/>
      <c r="DC58" s="771"/>
      <c r="DD58" s="771"/>
      <c r="DE58" s="771"/>
      <c r="DF58" s="771"/>
      <c r="DG58" s="771"/>
      <c r="DH58" s="771"/>
      <c r="DI58" s="771"/>
      <c r="DJ58" s="771"/>
      <c r="DK58" s="771"/>
      <c r="DL58" s="771"/>
      <c r="DM58" s="771"/>
      <c r="DN58" s="771"/>
      <c r="DO58" s="771"/>
      <c r="DP58" s="771"/>
      <c r="DQ58" s="771"/>
      <c r="DR58" s="771"/>
      <c r="DS58" s="771"/>
      <c r="DT58" s="771"/>
      <c r="DU58" s="771"/>
      <c r="DV58" s="771"/>
      <c r="DW58" s="771"/>
      <c r="DX58" s="771"/>
      <c r="DY58" s="771"/>
      <c r="DZ58" s="771"/>
      <c r="EA58" s="771"/>
      <c r="EB58" s="771"/>
      <c r="EC58" s="771"/>
      <c r="ED58" s="771"/>
      <c r="EE58" s="771"/>
      <c r="EF58" s="771"/>
      <c r="EG58" s="771"/>
      <c r="EH58" s="771"/>
      <c r="EI58" s="771"/>
      <c r="EJ58" s="771"/>
      <c r="EK58" s="771"/>
      <c r="EL58" s="771"/>
      <c r="EM58" s="771"/>
      <c r="EN58" s="771"/>
      <c r="EO58" s="771"/>
      <c r="EP58" s="771"/>
      <c r="EQ58" s="771"/>
      <c r="ER58" s="771"/>
      <c r="ES58" s="771"/>
      <c r="ET58" s="771"/>
      <c r="EU58" s="771"/>
      <c r="EV58" s="771"/>
      <c r="EW58" s="771"/>
      <c r="EX58" s="771"/>
      <c r="EY58" s="771"/>
      <c r="EZ58" s="771"/>
      <c r="FA58" s="771"/>
      <c r="FB58" s="771"/>
      <c r="FC58" s="771"/>
      <c r="FD58" s="771"/>
      <c r="FE58" s="771"/>
      <c r="FF58" s="771"/>
      <c r="FG58" s="771"/>
      <c r="FH58" s="771"/>
      <c r="FI58" s="771"/>
      <c r="FJ58" s="771"/>
      <c r="FK58" s="771"/>
      <c r="FL58" s="771"/>
      <c r="FM58" s="771"/>
      <c r="FN58" s="771"/>
      <c r="FO58" s="771"/>
      <c r="FP58" s="771"/>
      <c r="FQ58" s="771"/>
      <c r="FR58" s="771"/>
      <c r="FS58" s="771"/>
      <c r="FT58" s="771"/>
      <c r="FU58" s="771"/>
      <c r="FV58" s="771"/>
    </row>
  </sheetData>
  <sheetProtection algorithmName="SHA-512" hashValue="ZlSueP7rab+4SwhziE2lOJPHPQ2u3uaRfNhM+zmDv6zlwHDSA3WwtuDDdcDkYewSjNtlzT/QO7m1C2tCzapW/w==" saltValue="KJGZ7KCcrMHhV7951yBN4g==" spinCount="100000" sheet="1" objects="1" scenarios="1" formatCells="0" formatColumns="0"/>
  <mergeCells count="77">
    <mergeCell ref="FX1:FZ1"/>
    <mergeCell ref="C3:C5"/>
    <mergeCell ref="D3:F5"/>
    <mergeCell ref="G3:G5"/>
    <mergeCell ref="H3:CU3"/>
    <mergeCell ref="FW3:FX5"/>
    <mergeCell ref="FY3:FZ5"/>
    <mergeCell ref="H4:AH4"/>
    <mergeCell ref="AI4:BI4"/>
    <mergeCell ref="BJ4:CA4"/>
    <mergeCell ref="EZ4:FV4"/>
    <mergeCell ref="CG4:CG5"/>
    <mergeCell ref="CH4:DE4"/>
    <mergeCell ref="DF4:EB4"/>
    <mergeCell ref="EC4:EY4"/>
    <mergeCell ref="D13:F13"/>
    <mergeCell ref="D14:F14"/>
    <mergeCell ref="D24:F24"/>
    <mergeCell ref="D16:D17"/>
    <mergeCell ref="E16:F16"/>
    <mergeCell ref="E17:F17"/>
    <mergeCell ref="D18:D19"/>
    <mergeCell ref="E18:F18"/>
    <mergeCell ref="E19:F19"/>
    <mergeCell ref="D20:D22"/>
    <mergeCell ref="E20:F20"/>
    <mergeCell ref="E21:F21"/>
    <mergeCell ref="E22:F22"/>
    <mergeCell ref="D23:F23"/>
    <mergeCell ref="D25:F25"/>
    <mergeCell ref="D26:F26"/>
    <mergeCell ref="D27:F27"/>
    <mergeCell ref="D28:D34"/>
    <mergeCell ref="E28:E32"/>
    <mergeCell ref="E33:F33"/>
    <mergeCell ref="E34:F34"/>
    <mergeCell ref="D35:F35"/>
    <mergeCell ref="C36:C41"/>
    <mergeCell ref="D36:F36"/>
    <mergeCell ref="D37:F37"/>
    <mergeCell ref="D38:F38"/>
    <mergeCell ref="D39:F39"/>
    <mergeCell ref="D40:F40"/>
    <mergeCell ref="C6:C35"/>
    <mergeCell ref="D6:F6"/>
    <mergeCell ref="D7:F7"/>
    <mergeCell ref="D8:F8"/>
    <mergeCell ref="D9:F9"/>
    <mergeCell ref="D15:F15"/>
    <mergeCell ref="D10:F10"/>
    <mergeCell ref="D11:F11"/>
    <mergeCell ref="D12:F12"/>
    <mergeCell ref="FW40:FX40"/>
    <mergeCell ref="D41:F41"/>
    <mergeCell ref="C42:C46"/>
    <mergeCell ref="D42:D43"/>
    <mergeCell ref="E42:F42"/>
    <mergeCell ref="E43:F43"/>
    <mergeCell ref="D44:F44"/>
    <mergeCell ref="D45:F45"/>
    <mergeCell ref="FW45:FX45"/>
    <mergeCell ref="D46:F46"/>
    <mergeCell ref="FW46:FX46"/>
    <mergeCell ref="D47:F47"/>
    <mergeCell ref="FW47:FX47"/>
    <mergeCell ref="C48:C49"/>
    <mergeCell ref="D48:F48"/>
    <mergeCell ref="FW48:FX48"/>
    <mergeCell ref="D49:F49"/>
    <mergeCell ref="FW49:FX49"/>
    <mergeCell ref="D53:F53"/>
    <mergeCell ref="D50:F50"/>
    <mergeCell ref="FW50:FX50"/>
    <mergeCell ref="D51:F51"/>
    <mergeCell ref="FW51:FX51"/>
    <mergeCell ref="D52:F52"/>
    <mergeCell ref="FW52:FX52"/>
  </mergeCells>
  <phoneticPr fontId="5"/>
  <conditionalFormatting sqref="E33:F34">
    <cfRule type="containsBlanks" dxfId="93" priority="29">
      <formula>LEN(TRIM(E33))=0</formula>
    </cfRule>
  </conditionalFormatting>
  <conditionalFormatting sqref="H6:BI52">
    <cfRule type="containsBlanks" dxfId="92" priority="6">
      <formula>LEN(TRIM(H6))=0</formula>
    </cfRule>
  </conditionalFormatting>
  <conditionalFormatting sqref="CH6:CH52">
    <cfRule type="containsBlanks" dxfId="91" priority="5">
      <formula>LEN(TRIM(CH6))=0</formula>
    </cfRule>
  </conditionalFormatting>
  <conditionalFormatting sqref="DF36:EB52">
    <cfRule type="containsBlanks" dxfId="90" priority="2">
      <formula>LEN(TRIM(DF36))=0</formula>
    </cfRule>
  </conditionalFormatting>
  <conditionalFormatting sqref="DF6:EY35">
    <cfRule type="containsBlanks" dxfId="89" priority="8">
      <formula>LEN(TRIM(DF6))=0</formula>
    </cfRule>
  </conditionalFormatting>
  <conditionalFormatting sqref="EC36:EY53">
    <cfRule type="containsBlanks" dxfId="88" priority="3">
      <formula>LEN(TRIM(EC36))=0</formula>
    </cfRule>
  </conditionalFormatting>
  <conditionalFormatting sqref="EZ6:FV52">
    <cfRule type="containsBlanks" dxfId="87" priority="4">
      <formula>LEN(TRIM(EZ6))=0</formula>
    </cfRule>
  </conditionalFormatting>
  <conditionalFormatting sqref="FW33:FW34">
    <cfRule type="containsBlanks" dxfId="86" priority="30">
      <formula>LEN(TRIM(FW33))=0</formula>
    </cfRule>
  </conditionalFormatting>
  <conditionalFormatting sqref="FY33:FY34">
    <cfRule type="containsBlanks" dxfId="85" priority="1">
      <formula>LEN(TRIM(FY33))=0</formula>
    </cfRule>
  </conditionalFormatting>
  <dataValidations count="8">
    <dataValidation type="list" allowBlank="1" showInputMessage="1" showErrorMessage="1" sqref="G36:G41" xr:uid="{A832FF64-CBF3-4BA0-A7D2-7906E851C8A5}">
      <formula1>$GB$12:$GB$13</formula1>
    </dataValidation>
    <dataValidation type="list" allowBlank="1" showInputMessage="1" showErrorMessage="1" sqref="G42:G47" xr:uid="{C72392BA-4F57-4310-B640-B9E76CE5E953}">
      <formula1>$GB$16:$GB$17</formula1>
    </dataValidation>
    <dataValidation type="list" allowBlank="1" showInputMessage="1" showErrorMessage="1" sqref="G6:G13 G35" xr:uid="{B9352E80-5836-484A-A559-A084CEEA1015}">
      <formula1>$GB$6:$GB$7</formula1>
    </dataValidation>
    <dataValidation type="list" allowBlank="1" showInputMessage="1" showErrorMessage="1" sqref="G20:G24 G14:G15 G18" xr:uid="{2EFFE111-48A2-4BA1-B26D-F55CE1312D29}">
      <formula1>$GB$8:$GB$9</formula1>
    </dataValidation>
    <dataValidation type="list" allowBlank="1" showInputMessage="1" showErrorMessage="1" sqref="G17" xr:uid="{28F85F9B-3D7D-4F6C-B995-3BA107F02210}">
      <formula1>$GB$10:$GB$11</formula1>
    </dataValidation>
    <dataValidation type="list" allowBlank="1" showInputMessage="1" showErrorMessage="1" sqref="J6:J52 AK6:AK52" xr:uid="{504366F8-7C61-4FBA-8B70-575D4ED93CEE}">
      <formula1>"有,無"</formula1>
    </dataValidation>
    <dataValidation type="list" allowBlank="1" showInputMessage="1" showErrorMessage="1" sqref="K6:K52 AL6:AL52" xr:uid="{6FA44F8D-520B-4E69-929F-5DEE98CE7197}">
      <formula1>"転記,自動"</formula1>
    </dataValidation>
    <dataValidation type="list" allowBlank="1" showInputMessage="1" showErrorMessage="1" sqref="G33:G34" xr:uid="{4CEA837F-D398-460D-92DD-BAD00C0E9CA2}">
      <formula1>"kg,t,L,kL,m3,Nm3"</formula1>
    </dataValidation>
  </dataValidations>
  <pageMargins left="0.78740157480314965" right="0.59055118110236227" top="0.78740157480314965" bottom="0.59055118110236227" header="0.31496062992125984" footer="0.31496062992125984"/>
  <pageSetup paperSize="9" scale="28" fitToHeight="0" orientation="portrait" r:id="rId1"/>
  <headerFooter>
    <oddHeader>&amp;R&amp;8ver.4.01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7A4A3-CCC7-49CE-A604-1B366B1F5BD0}">
  <sheetPr codeName="Sheet22">
    <tabColor theme="0" tint="-0.34998626667073579"/>
    <pageSetUpPr fitToPage="1"/>
  </sheetPr>
  <dimension ref="A1:BF67"/>
  <sheetViews>
    <sheetView showZeros="0" view="pageBreakPreview" zoomScale="70" zoomScaleNormal="85" zoomScaleSheetLayoutView="70" workbookViewId="0">
      <selection activeCell="U10" sqref="H10:U13"/>
    </sheetView>
  </sheetViews>
  <sheetFormatPr defaultRowHeight="18"/>
  <cols>
    <col min="1" max="1" width="14.83203125" customWidth="1"/>
    <col min="2" max="2" width="11.6640625" hidden="1" customWidth="1"/>
    <col min="3" max="3" width="13.58203125" hidden="1" customWidth="1"/>
    <col min="4" max="4" width="6.9140625" bestFit="1" customWidth="1"/>
    <col min="5" max="6" width="7.33203125" hidden="1" customWidth="1"/>
    <col min="7" max="21" width="7.33203125" customWidth="1"/>
    <col min="22" max="22" width="11.4140625" hidden="1" customWidth="1"/>
    <col min="23" max="23" width="7.4140625" hidden="1" customWidth="1"/>
    <col min="24" max="24" width="13.83203125" hidden="1" customWidth="1"/>
    <col min="25" max="25" width="8.4140625" hidden="1" customWidth="1"/>
    <col min="26" max="26" width="12.5" hidden="1" customWidth="1"/>
    <col min="27" max="27" width="14.08203125" hidden="1" customWidth="1"/>
    <col min="28" max="28" width="8.08203125" hidden="1" customWidth="1"/>
    <col min="29" max="29" width="8.1640625" hidden="1" customWidth="1"/>
    <col min="30" max="30" width="9" hidden="1" customWidth="1"/>
    <col min="31" max="31" width="9.9140625" hidden="1" customWidth="1"/>
    <col min="32" max="33" width="7.33203125" hidden="1" customWidth="1"/>
    <col min="34" max="39" width="7.33203125" customWidth="1"/>
    <col min="40" max="40" width="7.4140625" customWidth="1"/>
    <col min="41" max="43" width="8.83203125" customWidth="1"/>
    <col min="49" max="49" width="7.58203125" hidden="1" customWidth="1"/>
    <col min="50" max="50" width="0" hidden="1" customWidth="1"/>
    <col min="57" max="73" width="0" hidden="1" customWidth="1"/>
  </cols>
  <sheetData>
    <row r="1" spans="1:58" ht="39.9" customHeight="1">
      <c r="A1" s="904" t="s">
        <v>2261</v>
      </c>
      <c r="B1" s="905"/>
      <c r="C1" s="905"/>
      <c r="D1" s="905"/>
      <c r="E1" s="906"/>
      <c r="F1" s="906"/>
      <c r="G1" s="906"/>
      <c r="H1" s="906"/>
      <c r="I1" s="906"/>
      <c r="J1" s="906"/>
      <c r="K1" s="906"/>
      <c r="L1" s="906"/>
      <c r="M1" s="906"/>
      <c r="N1" s="906"/>
      <c r="O1" s="906"/>
      <c r="P1" s="906"/>
      <c r="Q1" s="906"/>
      <c r="R1" s="906"/>
      <c r="S1" s="906"/>
      <c r="T1" s="906"/>
      <c r="U1" s="906"/>
      <c r="V1" s="907">
        <v>0</v>
      </c>
      <c r="W1" s="905"/>
      <c r="X1" s="905"/>
      <c r="Y1" s="905"/>
      <c r="Z1" s="908"/>
      <c r="AA1" s="909"/>
      <c r="AB1" s="909"/>
      <c r="AC1" s="910"/>
      <c r="AD1" s="905"/>
      <c r="AF1" s="911"/>
      <c r="AJ1" s="911"/>
    </row>
    <row r="2" spans="1:58" ht="39.9" customHeight="1">
      <c r="A2" s="912" t="s">
        <v>2262</v>
      </c>
      <c r="B2" s="905"/>
      <c r="C2" s="905"/>
      <c r="D2" s="905"/>
      <c r="E2" s="906"/>
      <c r="F2" s="906"/>
      <c r="G2" s="906"/>
      <c r="H2" s="906"/>
      <c r="I2" s="906"/>
      <c r="J2" s="906"/>
      <c r="K2" s="906"/>
      <c r="L2" s="906"/>
      <c r="M2" s="906"/>
      <c r="N2" s="906"/>
      <c r="O2" s="906"/>
      <c r="P2" s="906"/>
      <c r="Q2" s="906"/>
      <c r="R2" s="906"/>
      <c r="S2" s="906"/>
      <c r="T2" s="906"/>
      <c r="U2" s="906"/>
      <c r="V2" s="907"/>
      <c r="W2" s="905"/>
      <c r="X2" s="905"/>
      <c r="Y2" s="905"/>
      <c r="Z2" s="908"/>
      <c r="AA2" s="909"/>
      <c r="AB2" s="909"/>
      <c r="AC2" s="910"/>
      <c r="AD2" s="905"/>
      <c r="AF2" s="911"/>
      <c r="AJ2" s="911"/>
    </row>
    <row r="3" spans="1:58" ht="39.9" customHeight="1">
      <c r="A3" s="913" t="s">
        <v>2263</v>
      </c>
      <c r="B3" s="914"/>
      <c r="C3" s="914"/>
      <c r="D3" s="1550"/>
      <c r="E3" s="1550"/>
      <c r="F3" s="1550"/>
      <c r="G3" s="1550"/>
      <c r="H3" s="1550"/>
      <c r="I3" s="1550"/>
      <c r="J3" s="1550"/>
      <c r="K3" s="1550"/>
      <c r="L3" s="1550"/>
      <c r="M3" s="1550"/>
      <c r="N3" s="1550"/>
      <c r="O3" s="1550"/>
      <c r="AJ3" s="911"/>
    </row>
    <row r="4" spans="1:58" ht="34.5" customHeight="1">
      <c r="A4" s="915" t="s">
        <v>2264</v>
      </c>
      <c r="B4" s="916" t="s">
        <v>2265</v>
      </c>
      <c r="C4" s="916" t="s">
        <v>2266</v>
      </c>
      <c r="D4" s="917"/>
      <c r="E4" s="918"/>
      <c r="F4" s="919"/>
      <c r="G4" s="919"/>
      <c r="H4" s="919"/>
      <c r="I4" s="919"/>
      <c r="J4" s="919"/>
      <c r="K4" s="919"/>
      <c r="L4" s="919"/>
      <c r="M4" s="919"/>
      <c r="N4" s="919"/>
      <c r="O4" s="919"/>
      <c r="AJ4" s="911"/>
    </row>
    <row r="5" spans="1:58" ht="39.9" customHeight="1">
      <c r="A5" s="1551"/>
      <c r="B5" s="1551"/>
      <c r="C5" s="1551"/>
      <c r="D5" s="1552" t="s">
        <v>2267</v>
      </c>
      <c r="E5" s="1553"/>
      <c r="F5" s="1553"/>
      <c r="G5" s="1553"/>
      <c r="H5" s="1553"/>
      <c r="I5" s="1553"/>
      <c r="J5" s="1553"/>
      <c r="K5" s="1553"/>
      <c r="L5" s="1553"/>
      <c r="M5" s="1553"/>
      <c r="N5" s="1553"/>
      <c r="O5" s="1553"/>
      <c r="P5" s="1553"/>
      <c r="Q5" s="1553"/>
      <c r="R5" s="1553"/>
      <c r="S5" s="1553"/>
      <c r="T5" s="1553"/>
      <c r="U5" s="1554"/>
      <c r="V5" s="1555" t="s">
        <v>2268</v>
      </c>
      <c r="W5" s="1555"/>
      <c r="X5" s="920" t="s">
        <v>2269</v>
      </c>
      <c r="Y5" s="921" t="s">
        <v>2270</v>
      </c>
      <c r="Z5" s="922" t="s">
        <v>2271</v>
      </c>
      <c r="AA5" s="923" t="s">
        <v>2272</v>
      </c>
      <c r="AB5" s="1556" t="s">
        <v>2212</v>
      </c>
      <c r="AC5" s="1556"/>
      <c r="AD5" s="922"/>
      <c r="AE5" s="924" t="s">
        <v>2273</v>
      </c>
      <c r="AF5" s="1557" t="s">
        <v>2274</v>
      </c>
      <c r="AG5" s="1558"/>
      <c r="AH5" s="1558"/>
      <c r="AI5" s="1558"/>
      <c r="AJ5" s="1558"/>
      <c r="AK5" s="1558"/>
      <c r="AL5" s="1558"/>
      <c r="AM5" s="1558"/>
      <c r="AN5" s="1558"/>
      <c r="AO5" s="1558"/>
      <c r="AP5" s="1558"/>
      <c r="AQ5" s="1558"/>
      <c r="AR5" s="1558"/>
      <c r="AS5" s="1558"/>
      <c r="AT5" s="1558"/>
      <c r="AU5" s="1558"/>
      <c r="AV5" s="1559"/>
      <c r="AW5" s="1560" t="s">
        <v>2275</v>
      </c>
      <c r="AX5" s="1561"/>
      <c r="BF5">
        <v>5</v>
      </c>
    </row>
    <row r="6" spans="1:58" ht="20.149999999999999" hidden="1" customHeight="1">
      <c r="A6" s="1551"/>
      <c r="B6" s="1551"/>
      <c r="C6" s="1551"/>
      <c r="D6" s="925"/>
      <c r="E6" s="925" t="s">
        <v>4</v>
      </c>
      <c r="F6" s="925"/>
      <c r="G6" s="925"/>
      <c r="H6" s="925"/>
      <c r="I6" s="925" t="s">
        <v>4</v>
      </c>
      <c r="J6" s="925"/>
      <c r="K6" s="925"/>
      <c r="L6" s="925"/>
      <c r="M6" s="925"/>
      <c r="N6" s="925"/>
      <c r="O6" s="925"/>
      <c r="P6" s="925"/>
      <c r="Q6" s="925"/>
      <c r="R6" s="925"/>
      <c r="S6" s="925"/>
      <c r="T6" s="925"/>
      <c r="U6" s="925"/>
      <c r="V6" s="923" t="s">
        <v>5</v>
      </c>
      <c r="W6" s="923"/>
      <c r="X6" s="925" t="s">
        <v>6</v>
      </c>
      <c r="Y6" s="923" t="s">
        <v>2276</v>
      </c>
      <c r="Z6" s="923"/>
      <c r="AA6" s="923" t="s">
        <v>2277</v>
      </c>
      <c r="AB6" s="923" t="s">
        <v>2278</v>
      </c>
      <c r="AC6" s="923"/>
      <c r="AD6" s="923" t="s">
        <v>2279</v>
      </c>
      <c r="AE6" s="923"/>
      <c r="AF6" s="926" t="s">
        <v>2280</v>
      </c>
      <c r="AG6" s="927"/>
      <c r="AH6" s="927"/>
      <c r="AI6" s="927"/>
      <c r="AJ6" s="926" t="s">
        <v>2280</v>
      </c>
      <c r="AK6" s="927"/>
      <c r="AL6" s="927"/>
      <c r="AM6" s="927"/>
      <c r="AW6" s="928"/>
      <c r="AX6" s="928"/>
    </row>
    <row r="7" spans="1:58" ht="39.9" customHeight="1">
      <c r="A7" s="1551"/>
      <c r="B7" s="1551"/>
      <c r="C7" s="1551"/>
      <c r="D7" s="925" t="s">
        <v>2103</v>
      </c>
      <c r="E7" s="929" t="s">
        <v>2281</v>
      </c>
      <c r="F7" s="929" t="s">
        <v>2282</v>
      </c>
      <c r="G7" s="929" t="s">
        <v>2283</v>
      </c>
      <c r="H7" s="929" t="s">
        <v>2284</v>
      </c>
      <c r="I7" s="929" t="s">
        <v>2285</v>
      </c>
      <c r="J7" s="929" t="s">
        <v>2286</v>
      </c>
      <c r="K7" s="929" t="s">
        <v>2287</v>
      </c>
      <c r="L7" s="929" t="s">
        <v>2288</v>
      </c>
      <c r="M7" s="929" t="s">
        <v>2289</v>
      </c>
      <c r="N7" s="929" t="s">
        <v>2290</v>
      </c>
      <c r="O7" s="929" t="s">
        <v>2291</v>
      </c>
      <c r="P7" s="929" t="s">
        <v>2292</v>
      </c>
      <c r="Q7" s="929" t="s">
        <v>2293</v>
      </c>
      <c r="R7" s="929" t="s">
        <v>2294</v>
      </c>
      <c r="S7" s="929" t="s">
        <v>2295</v>
      </c>
      <c r="T7" s="929" t="s">
        <v>2296</v>
      </c>
      <c r="U7" s="929" t="s">
        <v>2297</v>
      </c>
      <c r="V7" s="930"/>
      <c r="W7" s="930" t="s">
        <v>69</v>
      </c>
      <c r="X7" s="930" t="s">
        <v>7</v>
      </c>
      <c r="Y7" s="930" t="s">
        <v>2298</v>
      </c>
      <c r="Z7" s="930"/>
      <c r="AA7" s="930" t="s">
        <v>8</v>
      </c>
      <c r="AB7" s="930"/>
      <c r="AC7" s="930" t="s">
        <v>69</v>
      </c>
      <c r="AD7" s="930"/>
      <c r="AE7" s="929" t="s">
        <v>2299</v>
      </c>
      <c r="AF7" s="929" t="s">
        <v>2281</v>
      </c>
      <c r="AG7" s="929" t="s">
        <v>2282</v>
      </c>
      <c r="AH7" s="929" t="s">
        <v>2283</v>
      </c>
      <c r="AI7" s="929" t="s">
        <v>2284</v>
      </c>
      <c r="AJ7" s="929" t="s">
        <v>2285</v>
      </c>
      <c r="AK7" s="929" t="s">
        <v>2286</v>
      </c>
      <c r="AL7" s="929" t="s">
        <v>2287</v>
      </c>
      <c r="AM7" s="929" t="s">
        <v>2288</v>
      </c>
      <c r="AN7" s="929" t="s">
        <v>2289</v>
      </c>
      <c r="AO7" s="929" t="s">
        <v>2290</v>
      </c>
      <c r="AP7" s="929" t="s">
        <v>2291</v>
      </c>
      <c r="AQ7" s="929" t="s">
        <v>2292</v>
      </c>
      <c r="AR7" s="929" t="s">
        <v>2293</v>
      </c>
      <c r="AS7" s="929" t="s">
        <v>2294</v>
      </c>
      <c r="AT7" s="929" t="s">
        <v>2295</v>
      </c>
      <c r="AU7" s="929" t="s">
        <v>2296</v>
      </c>
      <c r="AV7" s="929" t="s">
        <v>2297</v>
      </c>
      <c r="AW7" s="931" t="s">
        <v>2300</v>
      </c>
      <c r="AX7" s="932" t="s">
        <v>69</v>
      </c>
    </row>
    <row r="8" spans="1:58" ht="20.149999999999999" hidden="1" customHeight="1">
      <c r="A8" s="1562" t="s">
        <v>9</v>
      </c>
      <c r="B8" s="1562"/>
      <c r="C8" s="1562"/>
      <c r="D8" s="933" t="s">
        <v>8</v>
      </c>
      <c r="E8" s="934"/>
      <c r="F8" s="934"/>
      <c r="G8" s="934"/>
      <c r="H8" s="934"/>
      <c r="I8" s="934"/>
      <c r="J8" s="934"/>
      <c r="K8" s="934"/>
      <c r="L8" s="934"/>
      <c r="M8" s="934"/>
      <c r="N8" s="934"/>
      <c r="O8" s="934"/>
      <c r="P8" s="934"/>
      <c r="Q8" s="934"/>
      <c r="R8" s="934"/>
      <c r="S8" s="934"/>
      <c r="T8" s="934"/>
      <c r="U8" s="934"/>
      <c r="V8" s="933">
        <v>38.200000000000003</v>
      </c>
      <c r="W8" s="933" t="s">
        <v>2301</v>
      </c>
      <c r="X8" s="935">
        <f>E8*V8</f>
        <v>0</v>
      </c>
      <c r="Y8" s="1538">
        <v>2.58E-2</v>
      </c>
      <c r="Z8" s="936">
        <f t="shared" ref="Z8:Z43" si="0">ROUNDDOWN(V8*Y$8,5-INT(LOG(ABS(V8*Y$8))))</f>
        <v>0.98555999999999999</v>
      </c>
      <c r="AA8" s="935">
        <f>E8*V8*Y$8</f>
        <v>0</v>
      </c>
      <c r="AB8" s="933">
        <v>1.8700000000000001E-2</v>
      </c>
      <c r="AC8" s="933" t="s">
        <v>2232</v>
      </c>
      <c r="AD8" s="937" t="s">
        <v>2302</v>
      </c>
      <c r="AE8" s="938">
        <f t="shared" ref="AE8:AE39" si="1">ROUNDDOWN(V8*AB8*44/12,2-INT(LOG(ABS(V8*Y$8*AB8*44/12))))</f>
        <v>2.6192000000000002</v>
      </c>
      <c r="AF8" s="935">
        <f>E8*V8*AB8*44/12</f>
        <v>0</v>
      </c>
      <c r="AG8" s="939"/>
      <c r="AH8" s="939"/>
      <c r="AI8" s="939"/>
      <c r="AJ8" s="935">
        <f>I8*Z8*AF8*44/12</f>
        <v>0</v>
      </c>
      <c r="AK8" s="939"/>
      <c r="AL8" s="939"/>
      <c r="AM8" s="939"/>
      <c r="AN8" s="939"/>
      <c r="AO8" s="939"/>
      <c r="AP8" s="939"/>
      <c r="AQ8" s="939"/>
      <c r="AR8" s="939"/>
      <c r="AS8" s="939"/>
      <c r="AT8" s="939"/>
      <c r="AU8" s="939"/>
      <c r="AV8" s="939"/>
    </row>
    <row r="9" spans="1:58" ht="20.149999999999999" hidden="1" customHeight="1">
      <c r="A9" s="1562" t="s">
        <v>10</v>
      </c>
      <c r="B9" s="1562"/>
      <c r="C9" s="1562"/>
      <c r="D9" s="933" t="s">
        <v>8</v>
      </c>
      <c r="E9" s="934"/>
      <c r="F9" s="934"/>
      <c r="G9" s="934"/>
      <c r="H9" s="934"/>
      <c r="I9" s="934"/>
      <c r="J9" s="934"/>
      <c r="K9" s="934"/>
      <c r="L9" s="934"/>
      <c r="M9" s="934"/>
      <c r="N9" s="934"/>
      <c r="O9" s="934"/>
      <c r="P9" s="934"/>
      <c r="Q9" s="934"/>
      <c r="R9" s="934"/>
      <c r="S9" s="934"/>
      <c r="T9" s="934"/>
      <c r="U9" s="934"/>
      <c r="V9" s="933">
        <v>35.299999999999997</v>
      </c>
      <c r="W9" s="933" t="s">
        <v>2301</v>
      </c>
      <c r="X9" s="935">
        <f>E9*V9</f>
        <v>0</v>
      </c>
      <c r="Y9" s="1563"/>
      <c r="Z9" s="936">
        <f t="shared" si="0"/>
        <v>0.91073999999999999</v>
      </c>
      <c r="AA9" s="935">
        <f>E9*V9*Y$8</f>
        <v>0</v>
      </c>
      <c r="AB9" s="933">
        <v>1.84E-2</v>
      </c>
      <c r="AC9" s="933" t="s">
        <v>2232</v>
      </c>
      <c r="AD9" s="937" t="s">
        <v>2302</v>
      </c>
      <c r="AE9" s="938">
        <f t="shared" si="1"/>
        <v>2.3815</v>
      </c>
      <c r="AF9" s="935">
        <f>E9*V9*AB9*44/12</f>
        <v>0</v>
      </c>
      <c r="AG9" s="939"/>
      <c r="AH9" s="939"/>
      <c r="AI9" s="939"/>
      <c r="AJ9" s="935">
        <f>I9*Z9*AF9*44/12</f>
        <v>0</v>
      </c>
      <c r="AK9" s="939"/>
      <c r="AL9" s="939"/>
      <c r="AM9" s="939"/>
      <c r="AN9" s="939"/>
      <c r="AO9" s="939"/>
      <c r="AP9" s="939"/>
      <c r="AQ9" s="939"/>
      <c r="AR9" s="939"/>
      <c r="AS9" s="939"/>
      <c r="AT9" s="939"/>
      <c r="AU9" s="939"/>
      <c r="AV9" s="939"/>
    </row>
    <row r="10" spans="1:58" ht="39.9" customHeight="1">
      <c r="A10" s="1542" t="s">
        <v>2303</v>
      </c>
      <c r="B10" s="1542"/>
      <c r="C10" s="1542"/>
      <c r="D10" s="940" t="s">
        <v>267</v>
      </c>
      <c r="E10" s="941"/>
      <c r="F10" s="941"/>
      <c r="G10" s="941"/>
      <c r="H10" s="941"/>
      <c r="I10" s="941"/>
      <c r="J10" s="941"/>
      <c r="K10" s="941"/>
      <c r="L10" s="941"/>
      <c r="M10" s="941"/>
      <c r="N10" s="941"/>
      <c r="O10" s="941"/>
      <c r="P10" s="941"/>
      <c r="Q10" s="941"/>
      <c r="R10" s="941"/>
      <c r="S10" s="941"/>
      <c r="T10" s="941"/>
      <c r="U10" s="941"/>
      <c r="V10" s="933">
        <v>34.6</v>
      </c>
      <c r="W10" s="933" t="s">
        <v>2301</v>
      </c>
      <c r="X10" s="935">
        <f>E10*V10/1000</f>
        <v>0</v>
      </c>
      <c r="Y10" s="1563"/>
      <c r="Z10" s="936">
        <f t="shared" si="0"/>
        <v>0.89268000000000003</v>
      </c>
      <c r="AA10" s="935">
        <f>E10*V10*Y$8/1000</f>
        <v>0</v>
      </c>
      <c r="AB10" s="933">
        <v>1.83E-2</v>
      </c>
      <c r="AC10" s="933" t="s">
        <v>12</v>
      </c>
      <c r="AD10" s="937" t="s">
        <v>2302</v>
      </c>
      <c r="AE10" s="938">
        <f t="shared" si="1"/>
        <v>2.3216000000000001</v>
      </c>
      <c r="AF10" s="942">
        <f t="shared" ref="AF10:AV10" si="2">ROUND(E10*$V10*$AB10*44/12,2)</f>
        <v>0</v>
      </c>
      <c r="AG10" s="942">
        <f t="shared" si="2"/>
        <v>0</v>
      </c>
      <c r="AH10" s="942">
        <f t="shared" si="2"/>
        <v>0</v>
      </c>
      <c r="AI10" s="942">
        <f t="shared" si="2"/>
        <v>0</v>
      </c>
      <c r="AJ10" s="942">
        <f t="shared" si="2"/>
        <v>0</v>
      </c>
      <c r="AK10" s="942">
        <f t="shared" si="2"/>
        <v>0</v>
      </c>
      <c r="AL10" s="942">
        <f t="shared" si="2"/>
        <v>0</v>
      </c>
      <c r="AM10" s="942">
        <f t="shared" si="2"/>
        <v>0</v>
      </c>
      <c r="AN10" s="942">
        <f t="shared" si="2"/>
        <v>0</v>
      </c>
      <c r="AO10" s="942">
        <f t="shared" si="2"/>
        <v>0</v>
      </c>
      <c r="AP10" s="942">
        <f t="shared" si="2"/>
        <v>0</v>
      </c>
      <c r="AQ10" s="942">
        <f t="shared" si="2"/>
        <v>0</v>
      </c>
      <c r="AR10" s="942">
        <f t="shared" si="2"/>
        <v>0</v>
      </c>
      <c r="AS10" s="942">
        <f t="shared" si="2"/>
        <v>0</v>
      </c>
      <c r="AT10" s="942">
        <f t="shared" si="2"/>
        <v>0</v>
      </c>
      <c r="AU10" s="942">
        <f t="shared" si="2"/>
        <v>0</v>
      </c>
      <c r="AV10" s="942">
        <f t="shared" si="2"/>
        <v>0</v>
      </c>
      <c r="AW10" s="1516"/>
      <c r="AX10" s="1517"/>
    </row>
    <row r="11" spans="1:58" ht="20.149999999999999" hidden="1" customHeight="1">
      <c r="A11" s="1542" t="s">
        <v>13</v>
      </c>
      <c r="B11" s="1542"/>
      <c r="C11" s="1542"/>
      <c r="D11" s="940" t="s">
        <v>267</v>
      </c>
      <c r="E11" s="941"/>
      <c r="F11" s="941"/>
      <c r="G11" s="941"/>
      <c r="H11" s="941"/>
      <c r="I11" s="941"/>
      <c r="J11" s="941"/>
      <c r="K11" s="941"/>
      <c r="L11" s="941"/>
      <c r="M11" s="941"/>
      <c r="N11" s="941"/>
      <c r="O11" s="941"/>
      <c r="P11" s="941"/>
      <c r="Q11" s="941"/>
      <c r="R11" s="941"/>
      <c r="S11" s="941"/>
      <c r="T11" s="941"/>
      <c r="U11" s="941"/>
      <c r="V11" s="933">
        <v>33.6</v>
      </c>
      <c r="W11" s="933" t="s">
        <v>2301</v>
      </c>
      <c r="X11" s="935">
        <f>E11*V11</f>
        <v>0</v>
      </c>
      <c r="Y11" s="1563"/>
      <c r="Z11" s="936">
        <f t="shared" si="0"/>
        <v>0.86687999999999998</v>
      </c>
      <c r="AA11" s="935">
        <f>E11*V11*Y$8</f>
        <v>0</v>
      </c>
      <c r="AB11" s="933">
        <v>1.8200000000000001E-2</v>
      </c>
      <c r="AC11" s="933" t="s">
        <v>12</v>
      </c>
      <c r="AD11" s="937" t="s">
        <v>2302</v>
      </c>
      <c r="AE11" s="938">
        <f t="shared" si="1"/>
        <v>2.2422</v>
      </c>
      <c r="AF11" s="942">
        <f t="shared" ref="AF11:AU12" si="3">E11*$V11*$AB11*44/12/1000</f>
        <v>0</v>
      </c>
      <c r="AG11" s="942">
        <f t="shared" si="3"/>
        <v>0</v>
      </c>
      <c r="AH11" s="942">
        <f t="shared" si="3"/>
        <v>0</v>
      </c>
      <c r="AI11" s="942">
        <f t="shared" si="3"/>
        <v>0</v>
      </c>
      <c r="AJ11" s="942">
        <f t="shared" si="3"/>
        <v>0</v>
      </c>
      <c r="AK11" s="942">
        <f t="shared" si="3"/>
        <v>0</v>
      </c>
      <c r="AL11" s="942">
        <f t="shared" si="3"/>
        <v>0</v>
      </c>
      <c r="AM11" s="942">
        <f t="shared" si="3"/>
        <v>0</v>
      </c>
      <c r="AN11" s="942">
        <f t="shared" si="3"/>
        <v>0</v>
      </c>
      <c r="AO11" s="942">
        <f t="shared" si="3"/>
        <v>0</v>
      </c>
      <c r="AP11" s="942">
        <f t="shared" si="3"/>
        <v>0</v>
      </c>
      <c r="AQ11" s="942">
        <f t="shared" si="3"/>
        <v>0</v>
      </c>
      <c r="AR11" s="942">
        <f t="shared" si="3"/>
        <v>0</v>
      </c>
      <c r="AS11" s="942">
        <f t="shared" si="3"/>
        <v>0</v>
      </c>
      <c r="AT11" s="942">
        <f t="shared" si="3"/>
        <v>0</v>
      </c>
      <c r="AU11" s="942">
        <f t="shared" si="3"/>
        <v>0</v>
      </c>
      <c r="AV11" s="942">
        <f t="shared" ref="AP11:AV12" si="4">U11*$V11*$AB11*44/12/1000</f>
        <v>0</v>
      </c>
      <c r="AW11" s="1516"/>
      <c r="AX11" s="1517"/>
    </row>
    <row r="12" spans="1:58" ht="20.149999999999999" hidden="1" customHeight="1">
      <c r="A12" s="1542" t="s">
        <v>14</v>
      </c>
      <c r="B12" s="1542"/>
      <c r="C12" s="1542"/>
      <c r="D12" s="940" t="s">
        <v>267</v>
      </c>
      <c r="E12" s="941"/>
      <c r="F12" s="941"/>
      <c r="G12" s="941"/>
      <c r="H12" s="941"/>
      <c r="I12" s="941"/>
      <c r="J12" s="941"/>
      <c r="K12" s="941"/>
      <c r="L12" s="941"/>
      <c r="M12" s="941"/>
      <c r="N12" s="941"/>
      <c r="O12" s="941"/>
      <c r="P12" s="941"/>
      <c r="Q12" s="941"/>
      <c r="R12" s="941"/>
      <c r="S12" s="941"/>
      <c r="T12" s="941"/>
      <c r="U12" s="941"/>
      <c r="V12" s="933">
        <v>36.700000000000003</v>
      </c>
      <c r="W12" s="933" t="s">
        <v>2301</v>
      </c>
      <c r="X12" s="935">
        <f>E12*V12</f>
        <v>0</v>
      </c>
      <c r="Y12" s="1563"/>
      <c r="Z12" s="936">
        <f t="shared" si="0"/>
        <v>0.94686000000000003</v>
      </c>
      <c r="AA12" s="935">
        <f>E12*V12*Y$8</f>
        <v>0</v>
      </c>
      <c r="AB12" s="933">
        <v>1.8499999999999999E-2</v>
      </c>
      <c r="AC12" s="933" t="s">
        <v>12</v>
      </c>
      <c r="AD12" s="937" t="s">
        <v>2302</v>
      </c>
      <c r="AE12" s="938">
        <f t="shared" si="1"/>
        <v>2.4893999999999998</v>
      </c>
      <c r="AF12" s="942">
        <f t="shared" si="3"/>
        <v>0</v>
      </c>
      <c r="AG12" s="942">
        <f t="shared" si="3"/>
        <v>0</v>
      </c>
      <c r="AH12" s="942">
        <f t="shared" si="3"/>
        <v>0</v>
      </c>
      <c r="AI12" s="942">
        <f t="shared" si="3"/>
        <v>0</v>
      </c>
      <c r="AJ12" s="942">
        <f t="shared" si="3"/>
        <v>0</v>
      </c>
      <c r="AK12" s="942">
        <f t="shared" si="3"/>
        <v>0</v>
      </c>
      <c r="AL12" s="942">
        <f t="shared" si="3"/>
        <v>0</v>
      </c>
      <c r="AM12" s="942">
        <f t="shared" si="3"/>
        <v>0</v>
      </c>
      <c r="AN12" s="942">
        <f t="shared" si="3"/>
        <v>0</v>
      </c>
      <c r="AO12" s="942">
        <f t="shared" si="3"/>
        <v>0</v>
      </c>
      <c r="AP12" s="942">
        <f t="shared" si="4"/>
        <v>0</v>
      </c>
      <c r="AQ12" s="942">
        <f t="shared" si="4"/>
        <v>0</v>
      </c>
      <c r="AR12" s="942">
        <f t="shared" si="4"/>
        <v>0</v>
      </c>
      <c r="AS12" s="942">
        <f t="shared" si="4"/>
        <v>0</v>
      </c>
      <c r="AT12" s="942">
        <f t="shared" si="4"/>
        <v>0</v>
      </c>
      <c r="AU12" s="942">
        <f t="shared" si="4"/>
        <v>0</v>
      </c>
      <c r="AV12" s="942">
        <f t="shared" si="4"/>
        <v>0</v>
      </c>
      <c r="AW12" s="1516"/>
      <c r="AX12" s="1517"/>
    </row>
    <row r="13" spans="1:58" ht="39.9" customHeight="1">
      <c r="A13" s="1542" t="s">
        <v>15</v>
      </c>
      <c r="B13" s="1542"/>
      <c r="C13" s="1542"/>
      <c r="D13" s="940" t="s">
        <v>267</v>
      </c>
      <c r="E13" s="941"/>
      <c r="F13" s="941"/>
      <c r="G13" s="941"/>
      <c r="H13" s="941"/>
      <c r="I13" s="941"/>
      <c r="J13" s="941"/>
      <c r="K13" s="941"/>
      <c r="L13" s="941"/>
      <c r="M13" s="941"/>
      <c r="N13" s="941"/>
      <c r="O13" s="941"/>
      <c r="P13" s="941"/>
      <c r="Q13" s="941"/>
      <c r="R13" s="941"/>
      <c r="S13" s="941"/>
      <c r="T13" s="941"/>
      <c r="U13" s="941"/>
      <c r="V13" s="933">
        <v>37.700000000000003</v>
      </c>
      <c r="W13" s="933" t="s">
        <v>2301</v>
      </c>
      <c r="X13" s="935">
        <f>E13*V13/1000</f>
        <v>0</v>
      </c>
      <c r="Y13" s="1563"/>
      <c r="Z13" s="936">
        <f t="shared" si="0"/>
        <v>0.97265999999999997</v>
      </c>
      <c r="AA13" s="935">
        <f>E13*V13*Y$8/1000</f>
        <v>0</v>
      </c>
      <c r="AB13" s="933">
        <v>1.8700000000000001E-2</v>
      </c>
      <c r="AC13" s="933" t="s">
        <v>12</v>
      </c>
      <c r="AD13" s="937" t="s">
        <v>2302</v>
      </c>
      <c r="AE13" s="938">
        <f t="shared" si="1"/>
        <v>2.5849000000000002</v>
      </c>
      <c r="AF13" s="942">
        <f t="shared" ref="AF13:AU14" si="5">ROUND(E13*$V13*$AB13*44/12,2)</f>
        <v>0</v>
      </c>
      <c r="AG13" s="942">
        <f t="shared" si="5"/>
        <v>0</v>
      </c>
      <c r="AH13" s="942">
        <f t="shared" si="5"/>
        <v>0</v>
      </c>
      <c r="AI13" s="942">
        <f t="shared" si="5"/>
        <v>0</v>
      </c>
      <c r="AJ13" s="942">
        <f t="shared" si="5"/>
        <v>0</v>
      </c>
      <c r="AK13" s="942">
        <f t="shared" si="5"/>
        <v>0</v>
      </c>
      <c r="AL13" s="942">
        <f t="shared" si="5"/>
        <v>0</v>
      </c>
      <c r="AM13" s="942">
        <f t="shared" si="5"/>
        <v>0</v>
      </c>
      <c r="AN13" s="942">
        <f t="shared" si="5"/>
        <v>0</v>
      </c>
      <c r="AO13" s="942">
        <f t="shared" si="5"/>
        <v>0</v>
      </c>
      <c r="AP13" s="942">
        <f t="shared" si="5"/>
        <v>0</v>
      </c>
      <c r="AQ13" s="942">
        <f t="shared" si="5"/>
        <v>0</v>
      </c>
      <c r="AR13" s="942">
        <f t="shared" si="5"/>
        <v>0</v>
      </c>
      <c r="AS13" s="942">
        <f t="shared" si="5"/>
        <v>0</v>
      </c>
      <c r="AT13" s="942">
        <f t="shared" si="5"/>
        <v>0</v>
      </c>
      <c r="AU13" s="942">
        <f t="shared" si="5"/>
        <v>0</v>
      </c>
      <c r="AV13" s="942">
        <f t="shared" ref="AP13:AV14" si="6">ROUND(U13*$V13*$AB13*44/12,2)</f>
        <v>0</v>
      </c>
      <c r="AW13" s="1516"/>
      <c r="AX13" s="1517"/>
    </row>
    <row r="14" spans="1:58" ht="39.9" customHeight="1">
      <c r="A14" s="1542" t="s">
        <v>2304</v>
      </c>
      <c r="B14" s="1542"/>
      <c r="C14" s="1542"/>
      <c r="D14" s="940" t="s">
        <v>267</v>
      </c>
      <c r="E14" s="941"/>
      <c r="F14" s="941"/>
      <c r="G14" s="941"/>
      <c r="H14" s="941"/>
      <c r="I14" s="941"/>
      <c r="J14" s="941"/>
      <c r="K14" s="941"/>
      <c r="L14" s="941"/>
      <c r="M14" s="941"/>
      <c r="N14" s="941"/>
      <c r="O14" s="941"/>
      <c r="P14" s="941"/>
      <c r="Q14" s="941"/>
      <c r="R14" s="941"/>
      <c r="S14" s="941"/>
      <c r="T14" s="941"/>
      <c r="U14" s="941"/>
      <c r="V14" s="933">
        <v>37.700000000000003</v>
      </c>
      <c r="W14" s="933" t="s">
        <v>2301</v>
      </c>
      <c r="X14" s="935">
        <f>E14*V14/1000</f>
        <v>0</v>
      </c>
      <c r="Y14" s="1563"/>
      <c r="Z14" s="936">
        <f>ROUNDDOWN(V14*Y$8,5-INT(LOG(ABS(V14*Y$8))))</f>
        <v>0.97265999999999997</v>
      </c>
      <c r="AA14" s="935">
        <f>E14*V14*Y$8/1000</f>
        <v>0</v>
      </c>
      <c r="AB14" s="933">
        <v>1.8700000000000001E-2</v>
      </c>
      <c r="AC14" s="933" t="s">
        <v>12</v>
      </c>
      <c r="AD14" s="937" t="s">
        <v>2302</v>
      </c>
      <c r="AE14" s="938">
        <f>ROUNDDOWN(V14*AB14*44/12,2-INT(LOG(ABS(V14*Y$8*AB14*44/12))))</f>
        <v>2.5849000000000002</v>
      </c>
      <c r="AF14" s="942">
        <f t="shared" si="5"/>
        <v>0</v>
      </c>
      <c r="AG14" s="942">
        <f t="shared" si="5"/>
        <v>0</v>
      </c>
      <c r="AH14" s="942">
        <f t="shared" si="5"/>
        <v>0</v>
      </c>
      <c r="AI14" s="942">
        <f t="shared" si="5"/>
        <v>0</v>
      </c>
      <c r="AJ14" s="942">
        <f t="shared" si="5"/>
        <v>0</v>
      </c>
      <c r="AK14" s="942">
        <f t="shared" si="5"/>
        <v>0</v>
      </c>
      <c r="AL14" s="942">
        <f t="shared" si="5"/>
        <v>0</v>
      </c>
      <c r="AM14" s="942">
        <f t="shared" si="5"/>
        <v>0</v>
      </c>
      <c r="AN14" s="942">
        <f t="shared" si="5"/>
        <v>0</v>
      </c>
      <c r="AO14" s="942">
        <f t="shared" si="5"/>
        <v>0</v>
      </c>
      <c r="AP14" s="942">
        <f t="shared" si="6"/>
        <v>0</v>
      </c>
      <c r="AQ14" s="942">
        <f t="shared" si="6"/>
        <v>0</v>
      </c>
      <c r="AR14" s="942">
        <f t="shared" si="6"/>
        <v>0</v>
      </c>
      <c r="AS14" s="942">
        <f t="shared" si="6"/>
        <v>0</v>
      </c>
      <c r="AT14" s="942">
        <f t="shared" si="6"/>
        <v>0</v>
      </c>
      <c r="AU14" s="942">
        <f t="shared" si="6"/>
        <v>0</v>
      </c>
      <c r="AV14" s="942">
        <f t="shared" si="6"/>
        <v>0</v>
      </c>
      <c r="AW14" s="1516"/>
      <c r="AX14" s="1517"/>
    </row>
    <row r="15" spans="1:58" ht="28.5" hidden="1" customHeight="1">
      <c r="A15" s="1542" t="s">
        <v>16</v>
      </c>
      <c r="B15" s="1542"/>
      <c r="C15" s="1542"/>
      <c r="D15" s="940" t="s">
        <v>8</v>
      </c>
      <c r="E15" s="941"/>
      <c r="F15" s="941"/>
      <c r="G15" s="941"/>
      <c r="H15" s="941"/>
      <c r="I15" s="941"/>
      <c r="J15" s="941"/>
      <c r="K15" s="941"/>
      <c r="L15" s="941"/>
      <c r="M15" s="941"/>
      <c r="N15" s="941"/>
      <c r="O15" s="941"/>
      <c r="P15" s="941"/>
      <c r="Q15" s="941"/>
      <c r="R15" s="941"/>
      <c r="S15" s="941"/>
      <c r="T15" s="941"/>
      <c r="U15" s="941"/>
      <c r="V15" s="933">
        <v>39.1</v>
      </c>
      <c r="W15" s="933" t="s">
        <v>2301</v>
      </c>
      <c r="X15" s="935">
        <f>E15*V15</f>
        <v>0</v>
      </c>
      <c r="Y15" s="1563"/>
      <c r="Z15" s="936">
        <f t="shared" si="0"/>
        <v>1.00878</v>
      </c>
      <c r="AA15" s="935">
        <f>E15*V15*Y$8</f>
        <v>0</v>
      </c>
      <c r="AB15" s="933">
        <v>1.89E-2</v>
      </c>
      <c r="AC15" s="933" t="s">
        <v>12</v>
      </c>
      <c r="AD15" s="937" t="s">
        <v>2302</v>
      </c>
      <c r="AE15" s="938">
        <f t="shared" si="1"/>
        <v>2.7096</v>
      </c>
      <c r="AF15" s="942">
        <f t="shared" ref="AF15:AU18" si="7">E15*$V15*$AB15*44/12/1000</f>
        <v>0</v>
      </c>
      <c r="AG15" s="942">
        <f t="shared" si="7"/>
        <v>0</v>
      </c>
      <c r="AH15" s="942">
        <f t="shared" si="7"/>
        <v>0</v>
      </c>
      <c r="AI15" s="942">
        <f t="shared" si="7"/>
        <v>0</v>
      </c>
      <c r="AJ15" s="942">
        <f t="shared" si="7"/>
        <v>0</v>
      </c>
      <c r="AK15" s="942">
        <f t="shared" si="7"/>
        <v>0</v>
      </c>
      <c r="AL15" s="942">
        <f t="shared" si="7"/>
        <v>0</v>
      </c>
      <c r="AM15" s="942">
        <f t="shared" si="7"/>
        <v>0</v>
      </c>
      <c r="AN15" s="942">
        <f t="shared" si="7"/>
        <v>0</v>
      </c>
      <c r="AO15" s="942">
        <f t="shared" si="7"/>
        <v>0</v>
      </c>
      <c r="AP15" s="942">
        <f t="shared" si="7"/>
        <v>0</v>
      </c>
      <c r="AQ15" s="942">
        <f t="shared" si="7"/>
        <v>0</v>
      </c>
      <c r="AR15" s="942">
        <f t="shared" si="7"/>
        <v>0</v>
      </c>
      <c r="AS15" s="942">
        <f t="shared" si="7"/>
        <v>0</v>
      </c>
      <c r="AT15" s="942">
        <f t="shared" si="7"/>
        <v>0</v>
      </c>
      <c r="AU15" s="942">
        <f t="shared" si="7"/>
        <v>0</v>
      </c>
      <c r="AV15" s="942">
        <f t="shared" ref="AP15:AV18" si="8">U15*$V15*$AB15*44/12/1000</f>
        <v>0</v>
      </c>
      <c r="AW15" s="1516"/>
      <c r="AX15" s="1517"/>
    </row>
    <row r="16" spans="1:58" ht="28.5" hidden="1" customHeight="1">
      <c r="A16" s="1542" t="s">
        <v>17</v>
      </c>
      <c r="B16" s="1542"/>
      <c r="C16" s="1542"/>
      <c r="D16" s="940" t="s">
        <v>8</v>
      </c>
      <c r="E16" s="941"/>
      <c r="F16" s="941"/>
      <c r="G16" s="941"/>
      <c r="H16" s="941"/>
      <c r="I16" s="941"/>
      <c r="J16" s="941"/>
      <c r="K16" s="941"/>
      <c r="L16" s="941"/>
      <c r="M16" s="941"/>
      <c r="N16" s="941"/>
      <c r="O16" s="941"/>
      <c r="P16" s="941"/>
      <c r="Q16" s="941"/>
      <c r="R16" s="941"/>
      <c r="S16" s="941"/>
      <c r="T16" s="941"/>
      <c r="U16" s="941"/>
      <c r="V16" s="933">
        <v>41.9</v>
      </c>
      <c r="W16" s="933" t="s">
        <v>2301</v>
      </c>
      <c r="X16" s="935">
        <f>E16*V16</f>
        <v>0</v>
      </c>
      <c r="Y16" s="1563"/>
      <c r="Z16" s="936">
        <f t="shared" si="0"/>
        <v>1.0810200000000001</v>
      </c>
      <c r="AA16" s="935">
        <f>E16*V16*Y$8</f>
        <v>0</v>
      </c>
      <c r="AB16" s="933">
        <v>1.95E-2</v>
      </c>
      <c r="AC16" s="933" t="s">
        <v>12</v>
      </c>
      <c r="AD16" s="937" t="s">
        <v>2302</v>
      </c>
      <c r="AE16" s="938">
        <f t="shared" si="1"/>
        <v>2.9958</v>
      </c>
      <c r="AF16" s="942">
        <f t="shared" si="7"/>
        <v>0</v>
      </c>
      <c r="AG16" s="942">
        <f t="shared" si="7"/>
        <v>0</v>
      </c>
      <c r="AH16" s="942">
        <f t="shared" si="7"/>
        <v>0</v>
      </c>
      <c r="AI16" s="942">
        <f t="shared" si="7"/>
        <v>0</v>
      </c>
      <c r="AJ16" s="942">
        <f t="shared" si="7"/>
        <v>0</v>
      </c>
      <c r="AK16" s="942">
        <f t="shared" si="7"/>
        <v>0</v>
      </c>
      <c r="AL16" s="942">
        <f t="shared" si="7"/>
        <v>0</v>
      </c>
      <c r="AM16" s="942">
        <f t="shared" si="7"/>
        <v>0</v>
      </c>
      <c r="AN16" s="942">
        <f t="shared" si="7"/>
        <v>0</v>
      </c>
      <c r="AO16" s="942">
        <f t="shared" si="7"/>
        <v>0</v>
      </c>
      <c r="AP16" s="942">
        <f t="shared" si="8"/>
        <v>0</v>
      </c>
      <c r="AQ16" s="942">
        <f t="shared" si="8"/>
        <v>0</v>
      </c>
      <c r="AR16" s="942">
        <f t="shared" si="8"/>
        <v>0</v>
      </c>
      <c r="AS16" s="942">
        <f t="shared" si="8"/>
        <v>0</v>
      </c>
      <c r="AT16" s="942">
        <f t="shared" si="8"/>
        <v>0</v>
      </c>
      <c r="AU16" s="942">
        <f t="shared" si="8"/>
        <v>0</v>
      </c>
      <c r="AV16" s="942">
        <f t="shared" si="8"/>
        <v>0</v>
      </c>
      <c r="AW16" s="1516"/>
      <c r="AX16" s="1517"/>
    </row>
    <row r="17" spans="1:50" ht="28.5" hidden="1" customHeight="1">
      <c r="A17" s="1542" t="s">
        <v>18</v>
      </c>
      <c r="B17" s="1542"/>
      <c r="C17" s="1542"/>
      <c r="D17" s="940" t="s">
        <v>19</v>
      </c>
      <c r="E17" s="941"/>
      <c r="F17" s="941"/>
      <c r="G17" s="941"/>
      <c r="H17" s="941"/>
      <c r="I17" s="941"/>
      <c r="J17" s="941"/>
      <c r="K17" s="941"/>
      <c r="L17" s="941"/>
      <c r="M17" s="941"/>
      <c r="N17" s="941"/>
      <c r="O17" s="941"/>
      <c r="P17" s="941"/>
      <c r="Q17" s="941"/>
      <c r="R17" s="941"/>
      <c r="S17" s="941"/>
      <c r="T17" s="941"/>
      <c r="U17" s="941"/>
      <c r="V17" s="933">
        <v>40.9</v>
      </c>
      <c r="W17" s="933" t="s">
        <v>2305</v>
      </c>
      <c r="X17" s="935">
        <f>E17*V17</f>
        <v>0</v>
      </c>
      <c r="Y17" s="1563"/>
      <c r="Z17" s="936">
        <f t="shared" si="0"/>
        <v>1.05522</v>
      </c>
      <c r="AA17" s="935">
        <f>E17*V17*Y$8</f>
        <v>0</v>
      </c>
      <c r="AB17" s="933">
        <v>2.0799999999999999E-2</v>
      </c>
      <c r="AC17" s="933" t="s">
        <v>12</v>
      </c>
      <c r="AD17" s="937" t="s">
        <v>2302</v>
      </c>
      <c r="AE17" s="938">
        <f t="shared" si="1"/>
        <v>3.1193</v>
      </c>
      <c r="AF17" s="942">
        <f t="shared" si="7"/>
        <v>0</v>
      </c>
      <c r="AG17" s="942">
        <f t="shared" si="7"/>
        <v>0</v>
      </c>
      <c r="AH17" s="942">
        <f t="shared" si="7"/>
        <v>0</v>
      </c>
      <c r="AI17" s="942">
        <f t="shared" si="7"/>
        <v>0</v>
      </c>
      <c r="AJ17" s="942">
        <f t="shared" si="7"/>
        <v>0</v>
      </c>
      <c r="AK17" s="942">
        <f t="shared" si="7"/>
        <v>0</v>
      </c>
      <c r="AL17" s="942">
        <f t="shared" si="7"/>
        <v>0</v>
      </c>
      <c r="AM17" s="942">
        <f t="shared" si="7"/>
        <v>0</v>
      </c>
      <c r="AN17" s="942">
        <f t="shared" si="7"/>
        <v>0</v>
      </c>
      <c r="AO17" s="942">
        <f t="shared" si="7"/>
        <v>0</v>
      </c>
      <c r="AP17" s="942">
        <f t="shared" si="8"/>
        <v>0</v>
      </c>
      <c r="AQ17" s="942">
        <f t="shared" si="8"/>
        <v>0</v>
      </c>
      <c r="AR17" s="942">
        <f t="shared" si="8"/>
        <v>0</v>
      </c>
      <c r="AS17" s="942">
        <f t="shared" si="8"/>
        <v>0</v>
      </c>
      <c r="AT17" s="942">
        <f t="shared" si="8"/>
        <v>0</v>
      </c>
      <c r="AU17" s="942">
        <f t="shared" si="8"/>
        <v>0</v>
      </c>
      <c r="AV17" s="942">
        <f t="shared" si="8"/>
        <v>0</v>
      </c>
      <c r="AW17" s="1516"/>
      <c r="AX17" s="1517"/>
    </row>
    <row r="18" spans="1:50" ht="28.5" hidden="1" customHeight="1">
      <c r="A18" s="1542" t="s">
        <v>20</v>
      </c>
      <c r="B18" s="1542"/>
      <c r="C18" s="1542"/>
      <c r="D18" s="940" t="s">
        <v>19</v>
      </c>
      <c r="E18" s="941"/>
      <c r="F18" s="941"/>
      <c r="G18" s="941"/>
      <c r="H18" s="941"/>
      <c r="I18" s="941"/>
      <c r="J18" s="941"/>
      <c r="K18" s="941"/>
      <c r="L18" s="941"/>
      <c r="M18" s="941"/>
      <c r="N18" s="941"/>
      <c r="O18" s="941"/>
      <c r="P18" s="941"/>
      <c r="Q18" s="941"/>
      <c r="R18" s="941"/>
      <c r="S18" s="941"/>
      <c r="T18" s="941"/>
      <c r="U18" s="941"/>
      <c r="V18" s="933">
        <v>29.9</v>
      </c>
      <c r="W18" s="933" t="s">
        <v>2305</v>
      </c>
      <c r="X18" s="935">
        <f>E18*V18</f>
        <v>0</v>
      </c>
      <c r="Y18" s="1563"/>
      <c r="Z18" s="936">
        <f t="shared" si="0"/>
        <v>0.77141999999999999</v>
      </c>
      <c r="AA18" s="935">
        <f>E18*V18*Y$8</f>
        <v>0</v>
      </c>
      <c r="AB18" s="933">
        <v>2.5399999999999999E-2</v>
      </c>
      <c r="AC18" s="933" t="s">
        <v>12</v>
      </c>
      <c r="AD18" s="937" t="s">
        <v>2302</v>
      </c>
      <c r="AE18" s="938">
        <f t="shared" si="1"/>
        <v>2.7846000000000002</v>
      </c>
      <c r="AF18" s="942">
        <f t="shared" si="7"/>
        <v>0</v>
      </c>
      <c r="AG18" s="942">
        <f t="shared" si="7"/>
        <v>0</v>
      </c>
      <c r="AH18" s="942">
        <f t="shared" si="7"/>
        <v>0</v>
      </c>
      <c r="AI18" s="942">
        <f t="shared" si="7"/>
        <v>0</v>
      </c>
      <c r="AJ18" s="942">
        <f t="shared" si="7"/>
        <v>0</v>
      </c>
      <c r="AK18" s="942">
        <f t="shared" si="7"/>
        <v>0</v>
      </c>
      <c r="AL18" s="942">
        <f t="shared" si="7"/>
        <v>0</v>
      </c>
      <c r="AM18" s="942">
        <f t="shared" si="7"/>
        <v>0</v>
      </c>
      <c r="AN18" s="942">
        <f t="shared" si="7"/>
        <v>0</v>
      </c>
      <c r="AO18" s="942">
        <f t="shared" si="7"/>
        <v>0</v>
      </c>
      <c r="AP18" s="942">
        <f t="shared" si="8"/>
        <v>0</v>
      </c>
      <c r="AQ18" s="942">
        <f t="shared" si="8"/>
        <v>0</v>
      </c>
      <c r="AR18" s="942">
        <f t="shared" si="8"/>
        <v>0</v>
      </c>
      <c r="AS18" s="942">
        <f t="shared" si="8"/>
        <v>0</v>
      </c>
      <c r="AT18" s="942">
        <f t="shared" si="8"/>
        <v>0</v>
      </c>
      <c r="AU18" s="942">
        <f t="shared" si="8"/>
        <v>0</v>
      </c>
      <c r="AV18" s="942">
        <f t="shared" si="8"/>
        <v>0</v>
      </c>
      <c r="AW18" s="1516"/>
      <c r="AX18" s="1517"/>
    </row>
    <row r="19" spans="1:50" ht="39.9" customHeight="1">
      <c r="A19" s="1544" t="s">
        <v>2306</v>
      </c>
      <c r="B19" s="1545"/>
      <c r="C19" s="1546"/>
      <c r="D19" s="940" t="s">
        <v>2307</v>
      </c>
      <c r="E19" s="941"/>
      <c r="F19" s="941"/>
      <c r="G19" s="941"/>
      <c r="H19" s="941"/>
      <c r="I19" s="941"/>
      <c r="J19" s="941"/>
      <c r="K19" s="941"/>
      <c r="L19" s="941"/>
      <c r="M19" s="941"/>
      <c r="N19" s="941"/>
      <c r="O19" s="941"/>
      <c r="P19" s="941"/>
      <c r="Q19" s="941"/>
      <c r="R19" s="941"/>
      <c r="S19" s="941"/>
      <c r="T19" s="941"/>
      <c r="U19" s="941"/>
      <c r="V19" s="933">
        <v>50.8</v>
      </c>
      <c r="W19" s="933" t="s">
        <v>2305</v>
      </c>
      <c r="X19" s="935">
        <f>E19*V19/1000</f>
        <v>0</v>
      </c>
      <c r="Y19" s="1563"/>
      <c r="Z19" s="936">
        <f t="shared" si="0"/>
        <v>1.31064</v>
      </c>
      <c r="AA19" s="935">
        <f>E19*V19*Y$8/1000</f>
        <v>0</v>
      </c>
      <c r="AB19" s="933">
        <v>1.61E-2</v>
      </c>
      <c r="AC19" s="933" t="s">
        <v>12</v>
      </c>
      <c r="AD19" s="937" t="s">
        <v>2302</v>
      </c>
      <c r="AE19" s="938">
        <f t="shared" si="1"/>
        <v>2.9988000000000001</v>
      </c>
      <c r="AF19" s="942">
        <f t="shared" ref="AF19:AV19" si="9">ROUND(E19*$V19*$AB19*44/12/0.458,2)</f>
        <v>0</v>
      </c>
      <c r="AG19" s="942">
        <f t="shared" si="9"/>
        <v>0</v>
      </c>
      <c r="AH19" s="942">
        <f t="shared" si="9"/>
        <v>0</v>
      </c>
      <c r="AI19" s="942">
        <f t="shared" si="9"/>
        <v>0</v>
      </c>
      <c r="AJ19" s="942">
        <f t="shared" si="9"/>
        <v>0</v>
      </c>
      <c r="AK19" s="942">
        <f t="shared" si="9"/>
        <v>0</v>
      </c>
      <c r="AL19" s="942">
        <f t="shared" si="9"/>
        <v>0</v>
      </c>
      <c r="AM19" s="942">
        <f t="shared" si="9"/>
        <v>0</v>
      </c>
      <c r="AN19" s="942">
        <f t="shared" si="9"/>
        <v>0</v>
      </c>
      <c r="AO19" s="942">
        <f t="shared" si="9"/>
        <v>0</v>
      </c>
      <c r="AP19" s="942">
        <f t="shared" si="9"/>
        <v>0</v>
      </c>
      <c r="AQ19" s="942">
        <f t="shared" si="9"/>
        <v>0</v>
      </c>
      <c r="AR19" s="942">
        <f t="shared" si="9"/>
        <v>0</v>
      </c>
      <c r="AS19" s="942">
        <f t="shared" si="9"/>
        <v>0</v>
      </c>
      <c r="AT19" s="942">
        <f t="shared" si="9"/>
        <v>0</v>
      </c>
      <c r="AU19" s="942">
        <f t="shared" si="9"/>
        <v>0</v>
      </c>
      <c r="AV19" s="942">
        <f t="shared" si="9"/>
        <v>0</v>
      </c>
      <c r="AW19" s="1516"/>
      <c r="AX19" s="1517"/>
    </row>
    <row r="20" spans="1:50" ht="39.9" customHeight="1">
      <c r="A20" s="1547"/>
      <c r="B20" s="1548"/>
      <c r="C20" s="1549"/>
      <c r="D20" s="940" t="s">
        <v>19</v>
      </c>
      <c r="E20" s="941"/>
      <c r="F20" s="941"/>
      <c r="G20" s="941"/>
      <c r="H20" s="941"/>
      <c r="I20" s="941"/>
      <c r="J20" s="941"/>
      <c r="K20" s="941"/>
      <c r="L20" s="941"/>
      <c r="M20" s="941"/>
      <c r="N20" s="941"/>
      <c r="O20" s="941"/>
      <c r="P20" s="941"/>
      <c r="Q20" s="941"/>
      <c r="R20" s="941"/>
      <c r="S20" s="941"/>
      <c r="T20" s="941"/>
      <c r="U20" s="941"/>
      <c r="V20" s="933">
        <v>50.8</v>
      </c>
      <c r="W20" s="933" t="s">
        <v>2305</v>
      </c>
      <c r="X20" s="935">
        <f>E20*V20/1000</f>
        <v>0</v>
      </c>
      <c r="Y20" s="1563"/>
      <c r="Z20" s="936">
        <f>ROUNDDOWN(V20*Y$8,5-INT(LOG(ABS(V20*Y$8))))</f>
        <v>1.31064</v>
      </c>
      <c r="AA20" s="935">
        <f>E20*V20*Y$8/1000</f>
        <v>0</v>
      </c>
      <c r="AB20" s="933">
        <v>1.61E-2</v>
      </c>
      <c r="AC20" s="933" t="s">
        <v>12</v>
      </c>
      <c r="AD20" s="937" t="s">
        <v>2302</v>
      </c>
      <c r="AE20" s="938">
        <f>ROUNDDOWN(V20*AB20*44/12,2-INT(LOG(ABS(V20*Y$8*AB20*44/12))))</f>
        <v>2.9988000000000001</v>
      </c>
      <c r="AF20" s="942">
        <f t="shared" ref="AF20:AV20" si="10">ROUND(E20*$V20*$AB20*44/12,2)</f>
        <v>0</v>
      </c>
      <c r="AG20" s="942">
        <f t="shared" si="10"/>
        <v>0</v>
      </c>
      <c r="AH20" s="942">
        <f t="shared" si="10"/>
        <v>0</v>
      </c>
      <c r="AI20" s="942">
        <f t="shared" si="10"/>
        <v>0</v>
      </c>
      <c r="AJ20" s="942">
        <f t="shared" si="10"/>
        <v>0</v>
      </c>
      <c r="AK20" s="942">
        <f t="shared" si="10"/>
        <v>0</v>
      </c>
      <c r="AL20" s="942">
        <f t="shared" si="10"/>
        <v>0</v>
      </c>
      <c r="AM20" s="942">
        <f t="shared" si="10"/>
        <v>0</v>
      </c>
      <c r="AN20" s="942">
        <f t="shared" si="10"/>
        <v>0</v>
      </c>
      <c r="AO20" s="942">
        <f t="shared" si="10"/>
        <v>0</v>
      </c>
      <c r="AP20" s="942">
        <f t="shared" si="10"/>
        <v>0</v>
      </c>
      <c r="AQ20" s="942">
        <f t="shared" si="10"/>
        <v>0</v>
      </c>
      <c r="AR20" s="942">
        <f t="shared" si="10"/>
        <v>0</v>
      </c>
      <c r="AS20" s="942">
        <f t="shared" si="10"/>
        <v>0</v>
      </c>
      <c r="AT20" s="942">
        <f t="shared" si="10"/>
        <v>0</v>
      </c>
      <c r="AU20" s="942">
        <f t="shared" si="10"/>
        <v>0</v>
      </c>
      <c r="AV20" s="942">
        <f t="shared" si="10"/>
        <v>0</v>
      </c>
      <c r="AW20" s="1516"/>
      <c r="AX20" s="1517"/>
    </row>
    <row r="21" spans="1:50" ht="28.5" hidden="1" customHeight="1">
      <c r="A21" s="920"/>
      <c r="B21" s="920" t="s">
        <v>23</v>
      </c>
      <c r="C21" s="920"/>
      <c r="D21" s="940" t="s">
        <v>2308</v>
      </c>
      <c r="E21" s="941"/>
      <c r="F21" s="941"/>
      <c r="G21" s="941"/>
      <c r="H21" s="941"/>
      <c r="I21" s="941"/>
      <c r="J21" s="941"/>
      <c r="K21" s="941"/>
      <c r="L21" s="941"/>
      <c r="M21" s="941"/>
      <c r="N21" s="941"/>
      <c r="O21" s="941"/>
      <c r="P21" s="941"/>
      <c r="Q21" s="941"/>
      <c r="R21" s="941"/>
      <c r="S21" s="941"/>
      <c r="T21" s="941"/>
      <c r="U21" s="941"/>
      <c r="V21" s="933">
        <v>44.9</v>
      </c>
      <c r="W21" s="933" t="s">
        <v>2309</v>
      </c>
      <c r="X21" s="935">
        <f t="shared" ref="X21:X31" si="11">E21*V21</f>
        <v>0</v>
      </c>
      <c r="Y21" s="1563"/>
      <c r="Z21" s="936">
        <f t="shared" si="0"/>
        <v>1.15842</v>
      </c>
      <c r="AA21" s="935">
        <f t="shared" ref="AA21:AA31" si="12">E21*V21*Y$8</f>
        <v>0</v>
      </c>
      <c r="AB21" s="933">
        <v>1.4200000000000001E-2</v>
      </c>
      <c r="AC21" s="933" t="s">
        <v>12</v>
      </c>
      <c r="AD21" s="937" t="s">
        <v>2302</v>
      </c>
      <c r="AE21" s="938">
        <f t="shared" si="1"/>
        <v>2.3376999999999999</v>
      </c>
      <c r="AF21" s="942">
        <f t="shared" ref="AF21:AU31" si="13">E21*$V21*$AB21*44/12/1000</f>
        <v>0</v>
      </c>
      <c r="AG21" s="942">
        <f t="shared" si="13"/>
        <v>0</v>
      </c>
      <c r="AH21" s="942">
        <f t="shared" si="13"/>
        <v>0</v>
      </c>
      <c r="AI21" s="942">
        <f t="shared" si="13"/>
        <v>0</v>
      </c>
      <c r="AJ21" s="942">
        <f t="shared" si="13"/>
        <v>0</v>
      </c>
      <c r="AK21" s="942">
        <f t="shared" si="13"/>
        <v>0</v>
      </c>
      <c r="AL21" s="942">
        <f t="shared" si="13"/>
        <v>0</v>
      </c>
      <c r="AM21" s="942">
        <f t="shared" si="13"/>
        <v>0</v>
      </c>
      <c r="AN21" s="942">
        <f t="shared" si="13"/>
        <v>0</v>
      </c>
      <c r="AO21" s="942">
        <f t="shared" si="13"/>
        <v>0</v>
      </c>
      <c r="AP21" s="942">
        <f t="shared" si="13"/>
        <v>0</v>
      </c>
      <c r="AQ21" s="942">
        <f t="shared" si="13"/>
        <v>0</v>
      </c>
      <c r="AR21" s="942">
        <f t="shared" si="13"/>
        <v>0</v>
      </c>
      <c r="AS21" s="942">
        <f t="shared" si="13"/>
        <v>0</v>
      </c>
      <c r="AT21" s="942">
        <f t="shared" si="13"/>
        <v>0</v>
      </c>
      <c r="AU21" s="942">
        <f t="shared" si="13"/>
        <v>0</v>
      </c>
      <c r="AV21" s="942">
        <f t="shared" ref="AV21:AV31" si="14">U21*$V21*$AB21*44/12/1000</f>
        <v>0</v>
      </c>
      <c r="AW21" s="1516"/>
      <c r="AX21" s="1517"/>
    </row>
    <row r="22" spans="1:50" ht="28.5" hidden="1" customHeight="1">
      <c r="A22" s="1537" t="s">
        <v>24</v>
      </c>
      <c r="B22" s="1542" t="s">
        <v>114</v>
      </c>
      <c r="C22" s="1542"/>
      <c r="D22" s="940" t="s">
        <v>19</v>
      </c>
      <c r="E22" s="941"/>
      <c r="F22" s="941"/>
      <c r="G22" s="941"/>
      <c r="H22" s="941"/>
      <c r="I22" s="941"/>
      <c r="J22" s="941"/>
      <c r="K22" s="941"/>
      <c r="L22" s="941"/>
      <c r="M22" s="941"/>
      <c r="N22" s="941"/>
      <c r="O22" s="941"/>
      <c r="P22" s="941"/>
      <c r="Q22" s="941"/>
      <c r="R22" s="941"/>
      <c r="S22" s="941"/>
      <c r="T22" s="941"/>
      <c r="U22" s="941"/>
      <c r="V22" s="933">
        <v>54.6</v>
      </c>
      <c r="W22" s="933" t="s">
        <v>2305</v>
      </c>
      <c r="X22" s="935">
        <f t="shared" si="11"/>
        <v>0</v>
      </c>
      <c r="Y22" s="1563"/>
      <c r="Z22" s="936">
        <f t="shared" si="0"/>
        <v>1.4086799999999999</v>
      </c>
      <c r="AA22" s="935">
        <f t="shared" si="12"/>
        <v>0</v>
      </c>
      <c r="AB22" s="933">
        <v>1.35E-2</v>
      </c>
      <c r="AC22" s="933" t="s">
        <v>12</v>
      </c>
      <c r="AD22" s="937" t="s">
        <v>2302</v>
      </c>
      <c r="AE22" s="938">
        <f t="shared" si="1"/>
        <v>2.7027000000000001</v>
      </c>
      <c r="AF22" s="942">
        <f t="shared" si="13"/>
        <v>0</v>
      </c>
      <c r="AG22" s="942">
        <f t="shared" si="13"/>
        <v>0</v>
      </c>
      <c r="AH22" s="942">
        <f t="shared" si="13"/>
        <v>0</v>
      </c>
      <c r="AI22" s="942">
        <f t="shared" si="13"/>
        <v>0</v>
      </c>
      <c r="AJ22" s="942">
        <f t="shared" si="13"/>
        <v>0</v>
      </c>
      <c r="AK22" s="942">
        <f t="shared" si="13"/>
        <v>0</v>
      </c>
      <c r="AL22" s="942">
        <f t="shared" si="13"/>
        <v>0</v>
      </c>
      <c r="AM22" s="942">
        <f t="shared" si="13"/>
        <v>0</v>
      </c>
      <c r="AN22" s="942">
        <f t="shared" si="13"/>
        <v>0</v>
      </c>
      <c r="AO22" s="942">
        <f t="shared" si="13"/>
        <v>0</v>
      </c>
      <c r="AP22" s="942">
        <f t="shared" si="13"/>
        <v>0</v>
      </c>
      <c r="AQ22" s="942">
        <f t="shared" si="13"/>
        <v>0</v>
      </c>
      <c r="AR22" s="942">
        <f t="shared" si="13"/>
        <v>0</v>
      </c>
      <c r="AS22" s="942">
        <f t="shared" si="13"/>
        <v>0</v>
      </c>
      <c r="AT22" s="942">
        <f t="shared" si="13"/>
        <v>0</v>
      </c>
      <c r="AU22" s="942">
        <f t="shared" si="13"/>
        <v>0</v>
      </c>
      <c r="AV22" s="942">
        <f t="shared" si="14"/>
        <v>0</v>
      </c>
      <c r="AW22" s="1516"/>
      <c r="AX22" s="1517"/>
    </row>
    <row r="23" spans="1:50" ht="28.5" hidden="1" customHeight="1">
      <c r="A23" s="1542"/>
      <c r="B23" s="1542" t="s">
        <v>26</v>
      </c>
      <c r="C23" s="1542"/>
      <c r="D23" s="940" t="s">
        <v>2308</v>
      </c>
      <c r="E23" s="941"/>
      <c r="F23" s="941"/>
      <c r="G23" s="941"/>
      <c r="H23" s="941"/>
      <c r="I23" s="941"/>
      <c r="J23" s="941"/>
      <c r="K23" s="941"/>
      <c r="L23" s="941"/>
      <c r="M23" s="941"/>
      <c r="N23" s="941"/>
      <c r="O23" s="941"/>
      <c r="P23" s="941"/>
      <c r="Q23" s="941"/>
      <c r="R23" s="941"/>
      <c r="S23" s="941"/>
      <c r="T23" s="941"/>
      <c r="U23" s="941"/>
      <c r="V23" s="933">
        <v>43.5</v>
      </c>
      <c r="W23" s="933" t="s">
        <v>2309</v>
      </c>
      <c r="X23" s="935">
        <f t="shared" si="11"/>
        <v>0</v>
      </c>
      <c r="Y23" s="1563"/>
      <c r="Z23" s="936">
        <f t="shared" si="0"/>
        <v>1.1223000000000001</v>
      </c>
      <c r="AA23" s="935">
        <f t="shared" si="12"/>
        <v>0</v>
      </c>
      <c r="AB23" s="933">
        <v>1.3899999999999999E-2</v>
      </c>
      <c r="AC23" s="933" t="s">
        <v>12</v>
      </c>
      <c r="AD23" s="937" t="s">
        <v>2302</v>
      </c>
      <c r="AE23" s="938">
        <f t="shared" si="1"/>
        <v>2.2170000000000001</v>
      </c>
      <c r="AF23" s="942">
        <f t="shared" si="13"/>
        <v>0</v>
      </c>
      <c r="AG23" s="942">
        <f t="shared" si="13"/>
        <v>0</v>
      </c>
      <c r="AH23" s="942">
        <f t="shared" si="13"/>
        <v>0</v>
      </c>
      <c r="AI23" s="942">
        <f t="shared" si="13"/>
        <v>0</v>
      </c>
      <c r="AJ23" s="942">
        <f t="shared" si="13"/>
        <v>0</v>
      </c>
      <c r="AK23" s="942">
        <f t="shared" si="13"/>
        <v>0</v>
      </c>
      <c r="AL23" s="942">
        <f t="shared" si="13"/>
        <v>0</v>
      </c>
      <c r="AM23" s="942">
        <f t="shared" si="13"/>
        <v>0</v>
      </c>
      <c r="AN23" s="942">
        <f t="shared" si="13"/>
        <v>0</v>
      </c>
      <c r="AO23" s="942">
        <f t="shared" si="13"/>
        <v>0</v>
      </c>
      <c r="AP23" s="942">
        <f t="shared" si="13"/>
        <v>0</v>
      </c>
      <c r="AQ23" s="942">
        <f t="shared" si="13"/>
        <v>0</v>
      </c>
      <c r="AR23" s="942">
        <f t="shared" si="13"/>
        <v>0</v>
      </c>
      <c r="AS23" s="942">
        <f t="shared" si="13"/>
        <v>0</v>
      </c>
      <c r="AT23" s="942">
        <f t="shared" si="13"/>
        <v>0</v>
      </c>
      <c r="AU23" s="942">
        <f t="shared" si="13"/>
        <v>0</v>
      </c>
      <c r="AV23" s="942">
        <f t="shared" si="14"/>
        <v>0</v>
      </c>
      <c r="AW23" s="1516"/>
      <c r="AX23" s="1517"/>
    </row>
    <row r="24" spans="1:50" ht="28.5" hidden="1" customHeight="1">
      <c r="A24" s="1542" t="s">
        <v>68</v>
      </c>
      <c r="B24" s="1542" t="s">
        <v>2240</v>
      </c>
      <c r="C24" s="1542"/>
      <c r="D24" s="940" t="s">
        <v>19</v>
      </c>
      <c r="E24" s="941"/>
      <c r="F24" s="941"/>
      <c r="G24" s="941"/>
      <c r="H24" s="941"/>
      <c r="I24" s="941"/>
      <c r="J24" s="941"/>
      <c r="K24" s="941"/>
      <c r="L24" s="941"/>
      <c r="M24" s="941"/>
      <c r="N24" s="941"/>
      <c r="O24" s="941"/>
      <c r="P24" s="941"/>
      <c r="Q24" s="941"/>
      <c r="R24" s="941"/>
      <c r="S24" s="941"/>
      <c r="T24" s="941"/>
      <c r="U24" s="941"/>
      <c r="V24" s="933">
        <v>29</v>
      </c>
      <c r="W24" s="933" t="s">
        <v>2305</v>
      </c>
      <c r="X24" s="935">
        <f t="shared" si="11"/>
        <v>0</v>
      </c>
      <c r="Y24" s="1563"/>
      <c r="Z24" s="936">
        <f t="shared" si="0"/>
        <v>0.74819999999999998</v>
      </c>
      <c r="AA24" s="935">
        <f t="shared" si="12"/>
        <v>0</v>
      </c>
      <c r="AB24" s="933">
        <v>2.4500000000000001E-2</v>
      </c>
      <c r="AC24" s="933" t="s">
        <v>12</v>
      </c>
      <c r="AD24" s="937" t="s">
        <v>2302</v>
      </c>
      <c r="AE24" s="938">
        <f t="shared" si="1"/>
        <v>2.6051000000000002</v>
      </c>
      <c r="AF24" s="942">
        <f t="shared" si="13"/>
        <v>0</v>
      </c>
      <c r="AG24" s="942">
        <f t="shared" si="13"/>
        <v>0</v>
      </c>
      <c r="AH24" s="942">
        <f t="shared" si="13"/>
        <v>0</v>
      </c>
      <c r="AI24" s="942">
        <f t="shared" si="13"/>
        <v>0</v>
      </c>
      <c r="AJ24" s="942">
        <f t="shared" si="13"/>
        <v>0</v>
      </c>
      <c r="AK24" s="942">
        <f t="shared" si="13"/>
        <v>0</v>
      </c>
      <c r="AL24" s="942">
        <f t="shared" si="13"/>
        <v>0</v>
      </c>
      <c r="AM24" s="942">
        <f t="shared" si="13"/>
        <v>0</v>
      </c>
      <c r="AN24" s="942">
        <f t="shared" si="13"/>
        <v>0</v>
      </c>
      <c r="AO24" s="942">
        <f t="shared" si="13"/>
        <v>0</v>
      </c>
      <c r="AP24" s="942">
        <f t="shared" si="13"/>
        <v>0</v>
      </c>
      <c r="AQ24" s="942">
        <f t="shared" si="13"/>
        <v>0</v>
      </c>
      <c r="AR24" s="942">
        <f t="shared" si="13"/>
        <v>0</v>
      </c>
      <c r="AS24" s="942">
        <f t="shared" si="13"/>
        <v>0</v>
      </c>
      <c r="AT24" s="942">
        <f t="shared" si="13"/>
        <v>0</v>
      </c>
      <c r="AU24" s="942">
        <f t="shared" si="13"/>
        <v>0</v>
      </c>
      <c r="AV24" s="942">
        <f t="shared" si="14"/>
        <v>0</v>
      </c>
      <c r="AW24" s="1516"/>
      <c r="AX24" s="1517"/>
    </row>
    <row r="25" spans="1:50" ht="28.5" hidden="1" customHeight="1">
      <c r="A25" s="1542"/>
      <c r="B25" s="1542" t="s">
        <v>2241</v>
      </c>
      <c r="C25" s="1542"/>
      <c r="D25" s="940" t="s">
        <v>19</v>
      </c>
      <c r="E25" s="941"/>
      <c r="F25" s="941"/>
      <c r="G25" s="941"/>
      <c r="H25" s="941"/>
      <c r="I25" s="941"/>
      <c r="J25" s="941"/>
      <c r="K25" s="941"/>
      <c r="L25" s="941"/>
      <c r="M25" s="941"/>
      <c r="N25" s="941"/>
      <c r="O25" s="941"/>
      <c r="P25" s="941"/>
      <c r="Q25" s="941"/>
      <c r="R25" s="941"/>
      <c r="S25" s="941"/>
      <c r="T25" s="941"/>
      <c r="U25" s="941"/>
      <c r="V25" s="933">
        <v>25.7</v>
      </c>
      <c r="W25" s="933" t="s">
        <v>2305</v>
      </c>
      <c r="X25" s="935">
        <f t="shared" si="11"/>
        <v>0</v>
      </c>
      <c r="Y25" s="1563"/>
      <c r="Z25" s="936">
        <f t="shared" si="0"/>
        <v>0.66305999999999998</v>
      </c>
      <c r="AA25" s="935">
        <f t="shared" si="12"/>
        <v>0</v>
      </c>
      <c r="AB25" s="933">
        <v>2.47E-2</v>
      </c>
      <c r="AC25" s="933" t="s">
        <v>12</v>
      </c>
      <c r="AD25" s="937" t="s">
        <v>2302</v>
      </c>
      <c r="AE25" s="938">
        <f t="shared" si="1"/>
        <v>2.3275000000000001</v>
      </c>
      <c r="AF25" s="942">
        <f t="shared" si="13"/>
        <v>0</v>
      </c>
      <c r="AG25" s="942">
        <f t="shared" si="13"/>
        <v>0</v>
      </c>
      <c r="AH25" s="942">
        <f t="shared" si="13"/>
        <v>0</v>
      </c>
      <c r="AI25" s="942">
        <f t="shared" si="13"/>
        <v>0</v>
      </c>
      <c r="AJ25" s="942">
        <f t="shared" si="13"/>
        <v>0</v>
      </c>
      <c r="AK25" s="942">
        <f t="shared" si="13"/>
        <v>0</v>
      </c>
      <c r="AL25" s="942">
        <f t="shared" si="13"/>
        <v>0</v>
      </c>
      <c r="AM25" s="942">
        <f t="shared" si="13"/>
        <v>0</v>
      </c>
      <c r="AN25" s="942">
        <f t="shared" si="13"/>
        <v>0</v>
      </c>
      <c r="AO25" s="942">
        <f t="shared" si="13"/>
        <v>0</v>
      </c>
      <c r="AP25" s="942">
        <f t="shared" si="13"/>
        <v>0</v>
      </c>
      <c r="AQ25" s="942">
        <f t="shared" si="13"/>
        <v>0</v>
      </c>
      <c r="AR25" s="942">
        <f t="shared" si="13"/>
        <v>0</v>
      </c>
      <c r="AS25" s="942">
        <f t="shared" si="13"/>
        <v>0</v>
      </c>
      <c r="AT25" s="942">
        <f t="shared" si="13"/>
        <v>0</v>
      </c>
      <c r="AU25" s="942">
        <f t="shared" si="13"/>
        <v>0</v>
      </c>
      <c r="AV25" s="942">
        <f t="shared" si="14"/>
        <v>0</v>
      </c>
      <c r="AW25" s="1516"/>
      <c r="AX25" s="1517"/>
    </row>
    <row r="26" spans="1:50" ht="28.5" hidden="1" customHeight="1">
      <c r="A26" s="1542"/>
      <c r="B26" s="1542" t="s">
        <v>1636</v>
      </c>
      <c r="C26" s="1542"/>
      <c r="D26" s="940" t="s">
        <v>19</v>
      </c>
      <c r="E26" s="941"/>
      <c r="F26" s="941"/>
      <c r="G26" s="941"/>
      <c r="H26" s="941"/>
      <c r="I26" s="941"/>
      <c r="J26" s="941"/>
      <c r="K26" s="941"/>
      <c r="L26" s="941"/>
      <c r="M26" s="941"/>
      <c r="N26" s="941"/>
      <c r="O26" s="941"/>
      <c r="P26" s="941"/>
      <c r="Q26" s="941"/>
      <c r="R26" s="941"/>
      <c r="S26" s="941"/>
      <c r="T26" s="941"/>
      <c r="U26" s="941"/>
      <c r="V26" s="933">
        <v>26.9</v>
      </c>
      <c r="W26" s="933" t="s">
        <v>2305</v>
      </c>
      <c r="X26" s="935">
        <f t="shared" si="11"/>
        <v>0</v>
      </c>
      <c r="Y26" s="1563"/>
      <c r="Z26" s="936">
        <f t="shared" si="0"/>
        <v>0.69401999999999997</v>
      </c>
      <c r="AA26" s="935">
        <f t="shared" si="12"/>
        <v>0</v>
      </c>
      <c r="AB26" s="933">
        <v>2.5499999999999998E-2</v>
      </c>
      <c r="AC26" s="933" t="s">
        <v>12</v>
      </c>
      <c r="AD26" s="937" t="s">
        <v>2302</v>
      </c>
      <c r="AE26" s="938">
        <f t="shared" si="1"/>
        <v>2.5150999999999999</v>
      </c>
      <c r="AF26" s="942">
        <f t="shared" si="13"/>
        <v>0</v>
      </c>
      <c r="AG26" s="942">
        <f t="shared" si="13"/>
        <v>0</v>
      </c>
      <c r="AH26" s="942">
        <f t="shared" si="13"/>
        <v>0</v>
      </c>
      <c r="AI26" s="942">
        <f t="shared" si="13"/>
        <v>0</v>
      </c>
      <c r="AJ26" s="942">
        <f t="shared" si="13"/>
        <v>0</v>
      </c>
      <c r="AK26" s="942">
        <f t="shared" si="13"/>
        <v>0</v>
      </c>
      <c r="AL26" s="942">
        <f t="shared" si="13"/>
        <v>0</v>
      </c>
      <c r="AM26" s="942">
        <f t="shared" si="13"/>
        <v>0</v>
      </c>
      <c r="AN26" s="942">
        <f t="shared" si="13"/>
        <v>0</v>
      </c>
      <c r="AO26" s="942">
        <f t="shared" si="13"/>
        <v>0</v>
      </c>
      <c r="AP26" s="942">
        <f t="shared" si="13"/>
        <v>0</v>
      </c>
      <c r="AQ26" s="942">
        <f t="shared" si="13"/>
        <v>0</v>
      </c>
      <c r="AR26" s="942">
        <f t="shared" si="13"/>
        <v>0</v>
      </c>
      <c r="AS26" s="942">
        <f t="shared" si="13"/>
        <v>0</v>
      </c>
      <c r="AT26" s="942">
        <f t="shared" si="13"/>
        <v>0</v>
      </c>
      <c r="AU26" s="942">
        <f t="shared" si="13"/>
        <v>0</v>
      </c>
      <c r="AV26" s="942">
        <f t="shared" si="14"/>
        <v>0</v>
      </c>
      <c r="AW26" s="1516"/>
      <c r="AX26" s="1517"/>
    </row>
    <row r="27" spans="1:50" ht="28.5" hidden="1" customHeight="1">
      <c r="A27" s="1542" t="s">
        <v>27</v>
      </c>
      <c r="B27" s="1542"/>
      <c r="C27" s="1542"/>
      <c r="D27" s="940" t="s">
        <v>19</v>
      </c>
      <c r="E27" s="941"/>
      <c r="F27" s="941"/>
      <c r="G27" s="941"/>
      <c r="H27" s="941"/>
      <c r="I27" s="941"/>
      <c r="J27" s="941"/>
      <c r="K27" s="941"/>
      <c r="L27" s="941"/>
      <c r="M27" s="941"/>
      <c r="N27" s="941"/>
      <c r="O27" s="941"/>
      <c r="P27" s="941"/>
      <c r="Q27" s="941"/>
      <c r="R27" s="941"/>
      <c r="S27" s="941"/>
      <c r="T27" s="941"/>
      <c r="U27" s="941"/>
      <c r="V27" s="933">
        <v>29.4</v>
      </c>
      <c r="W27" s="933" t="s">
        <v>2305</v>
      </c>
      <c r="X27" s="935">
        <f t="shared" si="11"/>
        <v>0</v>
      </c>
      <c r="Y27" s="1563"/>
      <c r="Z27" s="936">
        <f t="shared" si="0"/>
        <v>0.75851999999999997</v>
      </c>
      <c r="AA27" s="935">
        <f t="shared" si="12"/>
        <v>0</v>
      </c>
      <c r="AB27" s="933">
        <v>2.9399999999999999E-2</v>
      </c>
      <c r="AC27" s="933" t="s">
        <v>12</v>
      </c>
      <c r="AD27" s="937" t="s">
        <v>2302</v>
      </c>
      <c r="AE27" s="938">
        <f t="shared" si="1"/>
        <v>3.1692999999999998</v>
      </c>
      <c r="AF27" s="942">
        <f t="shared" si="13"/>
        <v>0</v>
      </c>
      <c r="AG27" s="942">
        <f t="shared" si="13"/>
        <v>0</v>
      </c>
      <c r="AH27" s="942">
        <f t="shared" si="13"/>
        <v>0</v>
      </c>
      <c r="AI27" s="942">
        <f t="shared" si="13"/>
        <v>0</v>
      </c>
      <c r="AJ27" s="942">
        <f t="shared" si="13"/>
        <v>0</v>
      </c>
      <c r="AK27" s="942">
        <f t="shared" si="13"/>
        <v>0</v>
      </c>
      <c r="AL27" s="942">
        <f t="shared" si="13"/>
        <v>0</v>
      </c>
      <c r="AM27" s="942">
        <f t="shared" si="13"/>
        <v>0</v>
      </c>
      <c r="AN27" s="942">
        <f t="shared" si="13"/>
        <v>0</v>
      </c>
      <c r="AO27" s="942">
        <f t="shared" si="13"/>
        <v>0</v>
      </c>
      <c r="AP27" s="942">
        <f t="shared" si="13"/>
        <v>0</v>
      </c>
      <c r="AQ27" s="942">
        <f t="shared" si="13"/>
        <v>0</v>
      </c>
      <c r="AR27" s="942">
        <f t="shared" si="13"/>
        <v>0</v>
      </c>
      <c r="AS27" s="942">
        <f t="shared" si="13"/>
        <v>0</v>
      </c>
      <c r="AT27" s="942">
        <f t="shared" si="13"/>
        <v>0</v>
      </c>
      <c r="AU27" s="942">
        <f t="shared" si="13"/>
        <v>0</v>
      </c>
      <c r="AV27" s="942">
        <f t="shared" si="14"/>
        <v>0</v>
      </c>
      <c r="AW27" s="1516"/>
      <c r="AX27" s="1517"/>
    </row>
    <row r="28" spans="1:50" ht="28.5" hidden="1" customHeight="1">
      <c r="A28" s="1542" t="s">
        <v>28</v>
      </c>
      <c r="B28" s="1542"/>
      <c r="C28" s="1542"/>
      <c r="D28" s="940" t="s">
        <v>19</v>
      </c>
      <c r="E28" s="941"/>
      <c r="F28" s="941"/>
      <c r="G28" s="941"/>
      <c r="H28" s="941"/>
      <c r="I28" s="941"/>
      <c r="J28" s="941"/>
      <c r="K28" s="941"/>
      <c r="L28" s="941"/>
      <c r="M28" s="941"/>
      <c r="N28" s="941"/>
      <c r="O28" s="941"/>
      <c r="P28" s="941"/>
      <c r="Q28" s="941"/>
      <c r="R28" s="941"/>
      <c r="S28" s="941"/>
      <c r="T28" s="941"/>
      <c r="U28" s="941"/>
      <c r="V28" s="933">
        <v>37.299999999999997</v>
      </c>
      <c r="W28" s="933" t="s">
        <v>2305</v>
      </c>
      <c r="X28" s="935">
        <f t="shared" si="11"/>
        <v>0</v>
      </c>
      <c r="Y28" s="1563"/>
      <c r="Z28" s="936">
        <f t="shared" si="0"/>
        <v>0.96233999999999997</v>
      </c>
      <c r="AA28" s="935">
        <f t="shared" si="12"/>
        <v>0</v>
      </c>
      <c r="AB28" s="933">
        <v>2.0899999999999998E-2</v>
      </c>
      <c r="AC28" s="933" t="s">
        <v>12</v>
      </c>
      <c r="AD28" s="937" t="s">
        <v>2302</v>
      </c>
      <c r="AE28" s="938">
        <f t="shared" si="1"/>
        <v>2.8584000000000001</v>
      </c>
      <c r="AF28" s="942">
        <f t="shared" si="13"/>
        <v>0</v>
      </c>
      <c r="AG28" s="942">
        <f t="shared" si="13"/>
        <v>0</v>
      </c>
      <c r="AH28" s="942">
        <f t="shared" si="13"/>
        <v>0</v>
      </c>
      <c r="AI28" s="942">
        <f t="shared" si="13"/>
        <v>0</v>
      </c>
      <c r="AJ28" s="942">
        <f t="shared" si="13"/>
        <v>0</v>
      </c>
      <c r="AK28" s="942">
        <f t="shared" si="13"/>
        <v>0</v>
      </c>
      <c r="AL28" s="942">
        <f t="shared" si="13"/>
        <v>0</v>
      </c>
      <c r="AM28" s="942">
        <f t="shared" si="13"/>
        <v>0</v>
      </c>
      <c r="AN28" s="942">
        <f t="shared" si="13"/>
        <v>0</v>
      </c>
      <c r="AO28" s="942">
        <f t="shared" si="13"/>
        <v>0</v>
      </c>
      <c r="AP28" s="942">
        <f t="shared" si="13"/>
        <v>0</v>
      </c>
      <c r="AQ28" s="942">
        <f t="shared" si="13"/>
        <v>0</v>
      </c>
      <c r="AR28" s="942">
        <f t="shared" si="13"/>
        <v>0</v>
      </c>
      <c r="AS28" s="942">
        <f t="shared" si="13"/>
        <v>0</v>
      </c>
      <c r="AT28" s="942">
        <f t="shared" si="13"/>
        <v>0</v>
      </c>
      <c r="AU28" s="942">
        <f t="shared" si="13"/>
        <v>0</v>
      </c>
      <c r="AV28" s="942">
        <f t="shared" si="14"/>
        <v>0</v>
      </c>
      <c r="AW28" s="1516"/>
      <c r="AX28" s="1517"/>
    </row>
    <row r="29" spans="1:50" ht="28.5" hidden="1" customHeight="1">
      <c r="A29" s="1542" t="s">
        <v>29</v>
      </c>
      <c r="B29" s="1542"/>
      <c r="C29" s="1542"/>
      <c r="D29" s="940" t="s">
        <v>2308</v>
      </c>
      <c r="E29" s="941"/>
      <c r="F29" s="941"/>
      <c r="G29" s="941"/>
      <c r="H29" s="941"/>
      <c r="I29" s="941"/>
      <c r="J29" s="941"/>
      <c r="K29" s="941"/>
      <c r="L29" s="941"/>
      <c r="M29" s="941"/>
      <c r="N29" s="941"/>
      <c r="O29" s="941"/>
      <c r="P29" s="941"/>
      <c r="Q29" s="941"/>
      <c r="R29" s="941"/>
      <c r="S29" s="941"/>
      <c r="T29" s="941"/>
      <c r="U29" s="941"/>
      <c r="V29" s="933">
        <v>21.1</v>
      </c>
      <c r="W29" s="933" t="s">
        <v>2309</v>
      </c>
      <c r="X29" s="935">
        <f t="shared" si="11"/>
        <v>0</v>
      </c>
      <c r="Y29" s="1563"/>
      <c r="Z29" s="936">
        <f t="shared" si="0"/>
        <v>0.54437999999999998</v>
      </c>
      <c r="AA29" s="935">
        <f t="shared" si="12"/>
        <v>0</v>
      </c>
      <c r="AB29" s="933">
        <v>1.0999999999999999E-2</v>
      </c>
      <c r="AC29" s="933" t="s">
        <v>12</v>
      </c>
      <c r="AD29" s="937" t="s">
        <v>2302</v>
      </c>
      <c r="AE29" s="938">
        <f t="shared" si="1"/>
        <v>0.85099999999999998</v>
      </c>
      <c r="AF29" s="942">
        <f t="shared" si="13"/>
        <v>0</v>
      </c>
      <c r="AG29" s="942">
        <f t="shared" si="13"/>
        <v>0</v>
      </c>
      <c r="AH29" s="942">
        <f t="shared" si="13"/>
        <v>0</v>
      </c>
      <c r="AI29" s="942">
        <f t="shared" si="13"/>
        <v>0</v>
      </c>
      <c r="AJ29" s="942">
        <f t="shared" si="13"/>
        <v>0</v>
      </c>
      <c r="AK29" s="942">
        <f t="shared" si="13"/>
        <v>0</v>
      </c>
      <c r="AL29" s="942">
        <f t="shared" si="13"/>
        <v>0</v>
      </c>
      <c r="AM29" s="942">
        <f t="shared" si="13"/>
        <v>0</v>
      </c>
      <c r="AN29" s="942">
        <f t="shared" si="13"/>
        <v>0</v>
      </c>
      <c r="AO29" s="942">
        <f t="shared" si="13"/>
        <v>0</v>
      </c>
      <c r="AP29" s="942">
        <f t="shared" si="13"/>
        <v>0</v>
      </c>
      <c r="AQ29" s="942">
        <f t="shared" si="13"/>
        <v>0</v>
      </c>
      <c r="AR29" s="942">
        <f t="shared" si="13"/>
        <v>0</v>
      </c>
      <c r="AS29" s="942">
        <f t="shared" si="13"/>
        <v>0</v>
      </c>
      <c r="AT29" s="942">
        <f t="shared" si="13"/>
        <v>0</v>
      </c>
      <c r="AU29" s="942">
        <f t="shared" si="13"/>
        <v>0</v>
      </c>
      <c r="AV29" s="942">
        <f t="shared" si="14"/>
        <v>0</v>
      </c>
      <c r="AW29" s="1516"/>
      <c r="AX29" s="1517"/>
    </row>
    <row r="30" spans="1:50" ht="28.5" hidden="1" customHeight="1">
      <c r="A30" s="1542" t="s">
        <v>1637</v>
      </c>
      <c r="B30" s="1542"/>
      <c r="C30" s="1542"/>
      <c r="D30" s="940" t="s">
        <v>2308</v>
      </c>
      <c r="E30" s="941"/>
      <c r="F30" s="941"/>
      <c r="G30" s="941"/>
      <c r="H30" s="941"/>
      <c r="I30" s="941"/>
      <c r="J30" s="941"/>
      <c r="K30" s="941"/>
      <c r="L30" s="941"/>
      <c r="M30" s="941"/>
      <c r="N30" s="941"/>
      <c r="O30" s="941"/>
      <c r="P30" s="941"/>
      <c r="Q30" s="941"/>
      <c r="R30" s="941"/>
      <c r="S30" s="941"/>
      <c r="T30" s="941"/>
      <c r="U30" s="941"/>
      <c r="V30" s="933">
        <v>3.41</v>
      </c>
      <c r="W30" s="933" t="s">
        <v>2309</v>
      </c>
      <c r="X30" s="935">
        <f t="shared" si="11"/>
        <v>0</v>
      </c>
      <c r="Y30" s="1563"/>
      <c r="Z30" s="936">
        <f t="shared" si="0"/>
        <v>8.7978000000000001E-2</v>
      </c>
      <c r="AA30" s="935">
        <f t="shared" si="12"/>
        <v>0</v>
      </c>
      <c r="AB30" s="933">
        <v>2.6599999999999999E-2</v>
      </c>
      <c r="AC30" s="933" t="s">
        <v>12</v>
      </c>
      <c r="AD30" s="937" t="s">
        <v>2302</v>
      </c>
      <c r="AE30" s="938">
        <f t="shared" si="1"/>
        <v>0.33257999999999999</v>
      </c>
      <c r="AF30" s="942">
        <f t="shared" si="13"/>
        <v>0</v>
      </c>
      <c r="AG30" s="942">
        <f t="shared" si="13"/>
        <v>0</v>
      </c>
      <c r="AH30" s="942">
        <f t="shared" si="13"/>
        <v>0</v>
      </c>
      <c r="AI30" s="942">
        <f t="shared" si="13"/>
        <v>0</v>
      </c>
      <c r="AJ30" s="942">
        <f t="shared" si="13"/>
        <v>0</v>
      </c>
      <c r="AK30" s="942">
        <f t="shared" si="13"/>
        <v>0</v>
      </c>
      <c r="AL30" s="942">
        <f t="shared" si="13"/>
        <v>0</v>
      </c>
      <c r="AM30" s="942">
        <f t="shared" si="13"/>
        <v>0</v>
      </c>
      <c r="AN30" s="942">
        <f t="shared" si="13"/>
        <v>0</v>
      </c>
      <c r="AO30" s="942">
        <f t="shared" si="13"/>
        <v>0</v>
      </c>
      <c r="AP30" s="942">
        <f t="shared" si="13"/>
        <v>0</v>
      </c>
      <c r="AQ30" s="942">
        <f t="shared" si="13"/>
        <v>0</v>
      </c>
      <c r="AR30" s="942">
        <f t="shared" si="13"/>
        <v>0</v>
      </c>
      <c r="AS30" s="942">
        <f t="shared" si="13"/>
        <v>0</v>
      </c>
      <c r="AT30" s="942">
        <f t="shared" si="13"/>
        <v>0</v>
      </c>
      <c r="AU30" s="942">
        <f t="shared" si="13"/>
        <v>0</v>
      </c>
      <c r="AV30" s="942">
        <f t="shared" si="14"/>
        <v>0</v>
      </c>
      <c r="AW30" s="1516"/>
      <c r="AX30" s="1517"/>
    </row>
    <row r="31" spans="1:50" ht="28.5" hidden="1" customHeight="1">
      <c r="A31" s="1542" t="s">
        <v>30</v>
      </c>
      <c r="B31" s="1542"/>
      <c r="C31" s="1542"/>
      <c r="D31" s="940" t="s">
        <v>2308</v>
      </c>
      <c r="E31" s="941"/>
      <c r="F31" s="941"/>
      <c r="G31" s="941"/>
      <c r="H31" s="941"/>
      <c r="I31" s="941"/>
      <c r="J31" s="941"/>
      <c r="K31" s="941"/>
      <c r="L31" s="941"/>
      <c r="M31" s="941"/>
      <c r="N31" s="941"/>
      <c r="O31" s="941"/>
      <c r="P31" s="941"/>
      <c r="Q31" s="941"/>
      <c r="R31" s="941"/>
      <c r="S31" s="941"/>
      <c r="T31" s="941"/>
      <c r="U31" s="941"/>
      <c r="V31" s="933">
        <v>8.41</v>
      </c>
      <c r="W31" s="933" t="s">
        <v>2309</v>
      </c>
      <c r="X31" s="935">
        <f t="shared" si="11"/>
        <v>0</v>
      </c>
      <c r="Y31" s="1563"/>
      <c r="Z31" s="936">
        <f t="shared" si="0"/>
        <v>0.216978</v>
      </c>
      <c r="AA31" s="935">
        <f t="shared" si="12"/>
        <v>0</v>
      </c>
      <c r="AB31" s="933">
        <v>3.8399999999999997E-2</v>
      </c>
      <c r="AC31" s="933" t="s">
        <v>12</v>
      </c>
      <c r="AD31" s="937" t="s">
        <v>2302</v>
      </c>
      <c r="AE31" s="938">
        <f t="shared" si="1"/>
        <v>1.1840999999999999</v>
      </c>
      <c r="AF31" s="942">
        <f t="shared" si="13"/>
        <v>0</v>
      </c>
      <c r="AG31" s="942">
        <f t="shared" si="13"/>
        <v>0</v>
      </c>
      <c r="AH31" s="942">
        <f t="shared" si="13"/>
        <v>0</v>
      </c>
      <c r="AI31" s="942">
        <f t="shared" si="13"/>
        <v>0</v>
      </c>
      <c r="AJ31" s="942">
        <f t="shared" si="13"/>
        <v>0</v>
      </c>
      <c r="AK31" s="942">
        <f t="shared" si="13"/>
        <v>0</v>
      </c>
      <c r="AL31" s="942">
        <f t="shared" si="13"/>
        <v>0</v>
      </c>
      <c r="AM31" s="942">
        <f t="shared" si="13"/>
        <v>0</v>
      </c>
      <c r="AN31" s="942">
        <f t="shared" si="13"/>
        <v>0</v>
      </c>
      <c r="AO31" s="942">
        <f t="shared" si="13"/>
        <v>0</v>
      </c>
      <c r="AP31" s="942">
        <f t="shared" si="13"/>
        <v>0</v>
      </c>
      <c r="AQ31" s="942">
        <f t="shared" si="13"/>
        <v>0</v>
      </c>
      <c r="AR31" s="942">
        <f t="shared" si="13"/>
        <v>0</v>
      </c>
      <c r="AS31" s="942">
        <f t="shared" si="13"/>
        <v>0</v>
      </c>
      <c r="AT31" s="942">
        <f t="shared" si="13"/>
        <v>0</v>
      </c>
      <c r="AU31" s="942">
        <f t="shared" si="13"/>
        <v>0</v>
      </c>
      <c r="AV31" s="942">
        <f t="shared" si="14"/>
        <v>0</v>
      </c>
      <c r="AW31" s="1516"/>
      <c r="AX31" s="1517"/>
    </row>
    <row r="32" spans="1:50" ht="39.9" customHeight="1">
      <c r="A32" s="1542" t="s">
        <v>2310</v>
      </c>
      <c r="B32" s="1542"/>
      <c r="C32" s="1542"/>
      <c r="D32" s="940" t="s">
        <v>2307</v>
      </c>
      <c r="E32" s="941"/>
      <c r="F32" s="941"/>
      <c r="G32" s="941"/>
      <c r="H32" s="941"/>
      <c r="I32" s="941"/>
      <c r="J32" s="941"/>
      <c r="K32" s="941"/>
      <c r="L32" s="941"/>
      <c r="M32" s="941"/>
      <c r="N32" s="941"/>
      <c r="O32" s="941"/>
      <c r="P32" s="941"/>
      <c r="Q32" s="941"/>
      <c r="R32" s="941"/>
      <c r="S32" s="941"/>
      <c r="T32" s="941"/>
      <c r="U32" s="941"/>
      <c r="V32" s="933">
        <v>45</v>
      </c>
      <c r="W32" s="933" t="s">
        <v>2309</v>
      </c>
      <c r="X32" s="935">
        <f>E32*V32/1000</f>
        <v>0</v>
      </c>
      <c r="Y32" s="1563"/>
      <c r="Z32" s="936">
        <f t="shared" si="0"/>
        <v>1.161</v>
      </c>
      <c r="AA32" s="935">
        <f>E32*V32*Y$8/1000</f>
        <v>0</v>
      </c>
      <c r="AB32" s="933">
        <v>1.3599999999999999E-2</v>
      </c>
      <c r="AC32" s="933" t="s">
        <v>12</v>
      </c>
      <c r="AD32" s="937" t="s">
        <v>2302</v>
      </c>
      <c r="AE32" s="938">
        <f t="shared" si="1"/>
        <v>2.2440000000000002</v>
      </c>
      <c r="AF32" s="942">
        <f t="shared" ref="AF32:AV32" si="15">ROUND(E32*$V32*$AB32*44/12,2)</f>
        <v>0</v>
      </c>
      <c r="AG32" s="942">
        <f t="shared" si="15"/>
        <v>0</v>
      </c>
      <c r="AH32" s="942">
        <f t="shared" si="15"/>
        <v>0</v>
      </c>
      <c r="AI32" s="942">
        <f t="shared" si="15"/>
        <v>0</v>
      </c>
      <c r="AJ32" s="942">
        <f t="shared" si="15"/>
        <v>0</v>
      </c>
      <c r="AK32" s="942">
        <f t="shared" si="15"/>
        <v>0</v>
      </c>
      <c r="AL32" s="942">
        <f t="shared" si="15"/>
        <v>0</v>
      </c>
      <c r="AM32" s="942">
        <f t="shared" si="15"/>
        <v>0</v>
      </c>
      <c r="AN32" s="942">
        <f t="shared" si="15"/>
        <v>0</v>
      </c>
      <c r="AO32" s="942">
        <f t="shared" si="15"/>
        <v>0</v>
      </c>
      <c r="AP32" s="942">
        <f t="shared" si="15"/>
        <v>0</v>
      </c>
      <c r="AQ32" s="942">
        <f t="shared" si="15"/>
        <v>0</v>
      </c>
      <c r="AR32" s="942">
        <f t="shared" si="15"/>
        <v>0</v>
      </c>
      <c r="AS32" s="942">
        <f t="shared" si="15"/>
        <v>0</v>
      </c>
      <c r="AT32" s="942">
        <f t="shared" si="15"/>
        <v>0</v>
      </c>
      <c r="AU32" s="942">
        <f t="shared" si="15"/>
        <v>0</v>
      </c>
      <c r="AV32" s="942">
        <f t="shared" si="15"/>
        <v>0</v>
      </c>
      <c r="AW32" s="1516"/>
      <c r="AX32" s="1517"/>
    </row>
    <row r="33" spans="1:50" ht="28.5" hidden="1" customHeight="1">
      <c r="A33" s="943"/>
      <c r="B33" s="943"/>
      <c r="C33" s="920" t="s">
        <v>2311</v>
      </c>
      <c r="D33" s="940" t="s">
        <v>2308</v>
      </c>
      <c r="E33" s="941"/>
      <c r="F33" s="941"/>
      <c r="G33" s="941"/>
      <c r="H33" s="941"/>
      <c r="I33" s="941"/>
      <c r="J33" s="941"/>
      <c r="K33" s="941"/>
      <c r="L33" s="941"/>
      <c r="M33" s="941"/>
      <c r="N33" s="941"/>
      <c r="O33" s="941"/>
      <c r="P33" s="941"/>
      <c r="Q33" s="941"/>
      <c r="R33" s="941"/>
      <c r="S33" s="941"/>
      <c r="T33" s="941"/>
      <c r="U33" s="941"/>
      <c r="V33" s="933">
        <v>43.12</v>
      </c>
      <c r="W33" s="933" t="s">
        <v>2309</v>
      </c>
      <c r="X33" s="935">
        <f>E33*V33</f>
        <v>0</v>
      </c>
      <c r="Y33" s="1563"/>
      <c r="Z33" s="936">
        <f t="shared" si="0"/>
        <v>1.11249</v>
      </c>
      <c r="AA33" s="935">
        <f>E33*V33*Y$8</f>
        <v>0</v>
      </c>
      <c r="AB33" s="933">
        <v>1.3599999999999999E-2</v>
      </c>
      <c r="AC33" s="933" t="s">
        <v>12</v>
      </c>
      <c r="AD33" s="937" t="s">
        <v>2302</v>
      </c>
      <c r="AE33" s="938">
        <f t="shared" si="1"/>
        <v>2.1501999999999999</v>
      </c>
      <c r="AF33" s="942">
        <f t="shared" ref="AF33:AM47" si="16">E33*$V33*$AB33*44/12/1000</f>
        <v>0</v>
      </c>
      <c r="AG33" s="942">
        <f t="shared" si="16"/>
        <v>0</v>
      </c>
      <c r="AH33" s="942">
        <f t="shared" si="16"/>
        <v>0</v>
      </c>
      <c r="AI33" s="942">
        <f t="shared" si="16"/>
        <v>0</v>
      </c>
      <c r="AJ33" s="942">
        <f t="shared" si="16"/>
        <v>0</v>
      </c>
      <c r="AK33" s="942">
        <f t="shared" si="16"/>
        <v>0</v>
      </c>
      <c r="AL33" s="942">
        <f t="shared" si="16"/>
        <v>0</v>
      </c>
      <c r="AM33" s="942">
        <f t="shared" si="16"/>
        <v>0</v>
      </c>
      <c r="AW33" s="1516"/>
      <c r="AX33" s="1517"/>
    </row>
    <row r="34" spans="1:50" ht="28.5" hidden="1" customHeight="1">
      <c r="A34" s="943"/>
      <c r="B34" s="943"/>
      <c r="C34" s="920" t="s">
        <v>2312</v>
      </c>
      <c r="D34" s="940" t="s">
        <v>2308</v>
      </c>
      <c r="E34" s="941"/>
      <c r="F34" s="941"/>
      <c r="G34" s="941"/>
      <c r="H34" s="941"/>
      <c r="I34" s="941"/>
      <c r="J34" s="941"/>
      <c r="K34" s="941"/>
      <c r="L34" s="941"/>
      <c r="M34" s="941"/>
      <c r="N34" s="941"/>
      <c r="O34" s="941"/>
      <c r="P34" s="941"/>
      <c r="Q34" s="941"/>
      <c r="R34" s="941"/>
      <c r="S34" s="941"/>
      <c r="T34" s="941"/>
      <c r="U34" s="941"/>
      <c r="V34" s="933">
        <v>46.04</v>
      </c>
      <c r="W34" s="933" t="s">
        <v>2309</v>
      </c>
      <c r="X34" s="935">
        <f>E34*V34</f>
        <v>0</v>
      </c>
      <c r="Y34" s="1563"/>
      <c r="Z34" s="936">
        <f t="shared" si="0"/>
        <v>1.1878299999999999</v>
      </c>
      <c r="AA34" s="935">
        <f>E34*V34*Y$8</f>
        <v>0</v>
      </c>
      <c r="AB34" s="933">
        <v>1.3599999999999999E-2</v>
      </c>
      <c r="AC34" s="933" t="s">
        <v>12</v>
      </c>
      <c r="AD34" s="937" t="s">
        <v>2302</v>
      </c>
      <c r="AE34" s="938">
        <f t="shared" si="1"/>
        <v>2.2957999999999998</v>
      </c>
      <c r="AF34" s="942">
        <f t="shared" si="16"/>
        <v>0</v>
      </c>
      <c r="AG34" s="942">
        <f t="shared" si="16"/>
        <v>0</v>
      </c>
      <c r="AH34" s="942">
        <f t="shared" si="16"/>
        <v>0</v>
      </c>
      <c r="AI34" s="942">
        <f t="shared" si="16"/>
        <v>0</v>
      </c>
      <c r="AJ34" s="942">
        <f t="shared" si="16"/>
        <v>0</v>
      </c>
      <c r="AK34" s="942">
        <f t="shared" si="16"/>
        <v>0</v>
      </c>
      <c r="AL34" s="942">
        <f t="shared" si="16"/>
        <v>0</v>
      </c>
      <c r="AM34" s="942">
        <f t="shared" si="16"/>
        <v>0</v>
      </c>
      <c r="AW34" s="1516"/>
      <c r="AX34" s="1517"/>
    </row>
    <row r="35" spans="1:50" ht="28.5" hidden="1" customHeight="1">
      <c r="A35" s="943"/>
      <c r="B35" s="943"/>
      <c r="C35" s="920" t="s">
        <v>2313</v>
      </c>
      <c r="D35" s="940" t="s">
        <v>2308</v>
      </c>
      <c r="E35" s="941"/>
      <c r="F35" s="941"/>
      <c r="G35" s="941"/>
      <c r="H35" s="941"/>
      <c r="I35" s="941"/>
      <c r="J35" s="941"/>
      <c r="K35" s="941"/>
      <c r="L35" s="941"/>
      <c r="M35" s="941"/>
      <c r="N35" s="941"/>
      <c r="O35" s="941"/>
      <c r="P35" s="941"/>
      <c r="Q35" s="941"/>
      <c r="R35" s="941"/>
      <c r="S35" s="941"/>
      <c r="T35" s="941"/>
      <c r="U35" s="941"/>
      <c r="V35" s="933">
        <v>41.86</v>
      </c>
      <c r="W35" s="933" t="s">
        <v>2309</v>
      </c>
      <c r="X35" s="935">
        <f>E35*V35</f>
        <v>0</v>
      </c>
      <c r="Y35" s="1563"/>
      <c r="Z35" s="936">
        <f t="shared" si="0"/>
        <v>1.0799799999999999</v>
      </c>
      <c r="AA35" s="935">
        <f>E35*V35*Y$8</f>
        <v>0</v>
      </c>
      <c r="AB35" s="933">
        <v>1.3599999999999999E-2</v>
      </c>
      <c r="AC35" s="933" t="s">
        <v>12</v>
      </c>
      <c r="AD35" s="937" t="s">
        <v>2302</v>
      </c>
      <c r="AE35" s="938">
        <f t="shared" si="1"/>
        <v>2.0874000000000001</v>
      </c>
      <c r="AF35" s="942">
        <f t="shared" si="16"/>
        <v>0</v>
      </c>
      <c r="AG35" s="942">
        <f t="shared" si="16"/>
        <v>0</v>
      </c>
      <c r="AH35" s="942">
        <f t="shared" si="16"/>
        <v>0</v>
      </c>
      <c r="AI35" s="942">
        <f t="shared" si="16"/>
        <v>0</v>
      </c>
      <c r="AJ35" s="942">
        <f t="shared" si="16"/>
        <v>0</v>
      </c>
      <c r="AK35" s="942">
        <f t="shared" si="16"/>
        <v>0</v>
      </c>
      <c r="AL35" s="942">
        <f t="shared" si="16"/>
        <v>0</v>
      </c>
      <c r="AM35" s="942">
        <f t="shared" si="16"/>
        <v>0</v>
      </c>
      <c r="AW35" s="1516"/>
      <c r="AX35" s="1517"/>
    </row>
    <row r="36" spans="1:50" ht="28.5" hidden="1" customHeight="1">
      <c r="A36" s="943"/>
      <c r="B36" s="943"/>
      <c r="C36" s="920" t="s">
        <v>2314</v>
      </c>
      <c r="D36" s="940" t="s">
        <v>2308</v>
      </c>
      <c r="E36" s="941"/>
      <c r="F36" s="941"/>
      <c r="G36" s="941"/>
      <c r="H36" s="941"/>
      <c r="I36" s="941"/>
      <c r="J36" s="941"/>
      <c r="K36" s="941"/>
      <c r="L36" s="941"/>
      <c r="M36" s="941"/>
      <c r="N36" s="941"/>
      <c r="O36" s="941"/>
      <c r="P36" s="941"/>
      <c r="Q36" s="941"/>
      <c r="R36" s="941"/>
      <c r="S36" s="941"/>
      <c r="T36" s="941"/>
      <c r="U36" s="941"/>
      <c r="V36" s="933">
        <v>29.3</v>
      </c>
      <c r="W36" s="933" t="s">
        <v>2309</v>
      </c>
      <c r="X36" s="935">
        <f>E36*V36</f>
        <v>0</v>
      </c>
      <c r="Y36" s="1563"/>
      <c r="Z36" s="936">
        <f t="shared" si="0"/>
        <v>0.75593999999999995</v>
      </c>
      <c r="AA36" s="935">
        <f>E36*V36*Y$8</f>
        <v>0</v>
      </c>
      <c r="AB36" s="933">
        <v>1.3599999999999999E-2</v>
      </c>
      <c r="AC36" s="933" t="s">
        <v>12</v>
      </c>
      <c r="AD36" s="937" t="s">
        <v>2302</v>
      </c>
      <c r="AE36" s="938">
        <f t="shared" si="1"/>
        <v>1.4610000000000001</v>
      </c>
      <c r="AF36" s="942">
        <f t="shared" si="16"/>
        <v>0</v>
      </c>
      <c r="AG36" s="942">
        <f t="shared" si="16"/>
        <v>0</v>
      </c>
      <c r="AH36" s="942">
        <f t="shared" si="16"/>
        <v>0</v>
      </c>
      <c r="AI36" s="942">
        <f t="shared" si="16"/>
        <v>0</v>
      </c>
      <c r="AJ36" s="942">
        <f t="shared" si="16"/>
        <v>0</v>
      </c>
      <c r="AK36" s="942">
        <f t="shared" si="16"/>
        <v>0</v>
      </c>
      <c r="AL36" s="942">
        <f t="shared" si="16"/>
        <v>0</v>
      </c>
      <c r="AM36" s="942">
        <f t="shared" si="16"/>
        <v>0</v>
      </c>
      <c r="AW36" s="1516"/>
      <c r="AX36" s="1517"/>
    </row>
    <row r="37" spans="1:50" ht="28.5" hidden="1" customHeight="1">
      <c r="A37" s="943"/>
      <c r="B37" s="944"/>
      <c r="C37" s="944"/>
      <c r="D37" s="945"/>
      <c r="E37" s="941"/>
      <c r="F37" s="941"/>
      <c r="G37" s="941"/>
      <c r="H37" s="941"/>
      <c r="I37" s="941"/>
      <c r="J37" s="941"/>
      <c r="K37" s="941"/>
      <c r="L37" s="941"/>
      <c r="M37" s="941"/>
      <c r="N37" s="941"/>
      <c r="O37" s="941"/>
      <c r="P37" s="941"/>
      <c r="Q37" s="941"/>
      <c r="R37" s="941"/>
      <c r="S37" s="941"/>
      <c r="T37" s="941"/>
      <c r="U37" s="941"/>
      <c r="V37" s="935">
        <v>0</v>
      </c>
      <c r="W37" s="935">
        <v>0</v>
      </c>
      <c r="X37" s="935">
        <f>IF(ISERROR(E37*V37),"",E37*V37)</f>
        <v>0</v>
      </c>
      <c r="Y37" s="1563"/>
      <c r="Z37" s="936" t="e">
        <f t="shared" si="0"/>
        <v>#NUM!</v>
      </c>
      <c r="AA37" s="935">
        <f>IF(ISERROR(E37*V37*Y$8),"",E37*V37*Y$8)</f>
        <v>0</v>
      </c>
      <c r="AB37" s="946">
        <v>0</v>
      </c>
      <c r="AC37" s="935">
        <v>0</v>
      </c>
      <c r="AD37" s="937" t="s">
        <v>2302</v>
      </c>
      <c r="AE37" s="938" t="e">
        <f t="shared" si="1"/>
        <v>#NUM!</v>
      </c>
      <c r="AF37" s="942">
        <f t="shared" si="16"/>
        <v>0</v>
      </c>
      <c r="AG37" s="942">
        <f t="shared" si="16"/>
        <v>0</v>
      </c>
      <c r="AH37" s="942">
        <f t="shared" si="16"/>
        <v>0</v>
      </c>
      <c r="AI37" s="942">
        <f t="shared" si="16"/>
        <v>0</v>
      </c>
      <c r="AJ37" s="942">
        <f t="shared" si="16"/>
        <v>0</v>
      </c>
      <c r="AK37" s="942">
        <f t="shared" si="16"/>
        <v>0</v>
      </c>
      <c r="AL37" s="942">
        <f t="shared" si="16"/>
        <v>0</v>
      </c>
      <c r="AM37" s="942">
        <f t="shared" si="16"/>
        <v>0</v>
      </c>
      <c r="AW37" s="1516"/>
      <c r="AX37" s="1517"/>
    </row>
    <row r="38" spans="1:50" ht="28.5" hidden="1" customHeight="1">
      <c r="A38" s="943"/>
      <c r="B38" s="944"/>
      <c r="C38" s="944"/>
      <c r="D38" s="945"/>
      <c r="E38" s="941"/>
      <c r="F38" s="941"/>
      <c r="G38" s="941"/>
      <c r="H38" s="941"/>
      <c r="I38" s="941"/>
      <c r="J38" s="941"/>
      <c r="K38" s="941"/>
      <c r="L38" s="941"/>
      <c r="M38" s="941"/>
      <c r="N38" s="941"/>
      <c r="O38" s="941"/>
      <c r="P38" s="941"/>
      <c r="Q38" s="941"/>
      <c r="R38" s="941"/>
      <c r="S38" s="941"/>
      <c r="T38" s="941"/>
      <c r="U38" s="941"/>
      <c r="V38" s="935">
        <v>0</v>
      </c>
      <c r="W38" s="935">
        <v>0</v>
      </c>
      <c r="X38" s="935">
        <f>IF(ISERROR(E38*V38),"",E38*V38)</f>
        <v>0</v>
      </c>
      <c r="Y38" s="1563"/>
      <c r="Z38" s="936" t="e">
        <f t="shared" si="0"/>
        <v>#NUM!</v>
      </c>
      <c r="AA38" s="935">
        <f>IF(ISERROR(E38*V38*Y$8),"",E38*V38*Y$8)</f>
        <v>0</v>
      </c>
      <c r="AB38" s="946">
        <v>0</v>
      </c>
      <c r="AC38" s="935">
        <v>0</v>
      </c>
      <c r="AD38" s="937" t="s">
        <v>2302</v>
      </c>
      <c r="AE38" s="938" t="e">
        <f t="shared" si="1"/>
        <v>#NUM!</v>
      </c>
      <c r="AF38" s="942">
        <f t="shared" si="16"/>
        <v>0</v>
      </c>
      <c r="AG38" s="942">
        <f t="shared" si="16"/>
        <v>0</v>
      </c>
      <c r="AH38" s="942">
        <f t="shared" si="16"/>
        <v>0</v>
      </c>
      <c r="AI38" s="942">
        <f t="shared" si="16"/>
        <v>0</v>
      </c>
      <c r="AJ38" s="942">
        <f t="shared" si="16"/>
        <v>0</v>
      </c>
      <c r="AK38" s="942">
        <f t="shared" si="16"/>
        <v>0</v>
      </c>
      <c r="AL38" s="942">
        <f t="shared" si="16"/>
        <v>0</v>
      </c>
      <c r="AM38" s="942">
        <f t="shared" si="16"/>
        <v>0</v>
      </c>
      <c r="AW38" s="1516"/>
      <c r="AX38" s="1517"/>
    </row>
    <row r="39" spans="1:50" ht="28.5" hidden="1" customHeight="1">
      <c r="A39" s="943"/>
      <c r="B39" s="944"/>
      <c r="C39" s="944"/>
      <c r="D39" s="945"/>
      <c r="E39" s="941"/>
      <c r="F39" s="941"/>
      <c r="G39" s="941"/>
      <c r="H39" s="941"/>
      <c r="I39" s="941"/>
      <c r="J39" s="941"/>
      <c r="K39" s="941"/>
      <c r="L39" s="941"/>
      <c r="M39" s="941"/>
      <c r="N39" s="941"/>
      <c r="O39" s="941"/>
      <c r="P39" s="941"/>
      <c r="Q39" s="941"/>
      <c r="R39" s="941"/>
      <c r="S39" s="941"/>
      <c r="T39" s="941"/>
      <c r="U39" s="941"/>
      <c r="V39" s="935">
        <v>0</v>
      </c>
      <c r="W39" s="935">
        <v>0</v>
      </c>
      <c r="X39" s="935">
        <f>IF(ISERROR(E39*V39),"",E39*V39)</f>
        <v>0</v>
      </c>
      <c r="Y39" s="1563"/>
      <c r="Z39" s="936" t="e">
        <f t="shared" si="0"/>
        <v>#NUM!</v>
      </c>
      <c r="AA39" s="935">
        <f>IF(ISERROR(E39*V39*Y$8),"",E39*V39*Y$8)</f>
        <v>0</v>
      </c>
      <c r="AB39" s="946">
        <v>0</v>
      </c>
      <c r="AC39" s="935">
        <v>0</v>
      </c>
      <c r="AD39" s="937" t="s">
        <v>2302</v>
      </c>
      <c r="AE39" s="938" t="e">
        <f t="shared" si="1"/>
        <v>#NUM!</v>
      </c>
      <c r="AF39" s="942">
        <f t="shared" si="16"/>
        <v>0</v>
      </c>
      <c r="AG39" s="942">
        <f t="shared" si="16"/>
        <v>0</v>
      </c>
      <c r="AH39" s="942">
        <f t="shared" si="16"/>
        <v>0</v>
      </c>
      <c r="AI39" s="942">
        <f t="shared" si="16"/>
        <v>0</v>
      </c>
      <c r="AJ39" s="942">
        <f t="shared" si="16"/>
        <v>0</v>
      </c>
      <c r="AK39" s="942">
        <f t="shared" si="16"/>
        <v>0</v>
      </c>
      <c r="AL39" s="942">
        <f t="shared" si="16"/>
        <v>0</v>
      </c>
      <c r="AM39" s="942">
        <f t="shared" si="16"/>
        <v>0</v>
      </c>
      <c r="AW39" s="1516"/>
      <c r="AX39" s="1517"/>
    </row>
    <row r="40" spans="1:50" ht="28.5" hidden="1" customHeight="1">
      <c r="A40" s="1542" t="s">
        <v>33</v>
      </c>
      <c r="B40" s="1542"/>
      <c r="C40" s="1542"/>
      <c r="D40" s="940" t="s">
        <v>7</v>
      </c>
      <c r="E40" s="941"/>
      <c r="F40" s="941"/>
      <c r="G40" s="941"/>
      <c r="H40" s="941"/>
      <c r="I40" s="941"/>
      <c r="J40" s="941"/>
      <c r="K40" s="941"/>
      <c r="L40" s="941"/>
      <c r="M40" s="941"/>
      <c r="N40" s="941"/>
      <c r="O40" s="941"/>
      <c r="P40" s="941"/>
      <c r="Q40" s="941"/>
      <c r="R40" s="941"/>
      <c r="S40" s="941"/>
      <c r="T40" s="941"/>
      <c r="U40" s="941"/>
      <c r="V40" s="933">
        <v>1.02</v>
      </c>
      <c r="W40" s="933" t="s">
        <v>2315</v>
      </c>
      <c r="X40" s="935">
        <f>E40*V40</f>
        <v>0</v>
      </c>
      <c r="Y40" s="1563"/>
      <c r="Z40" s="936">
        <f t="shared" si="0"/>
        <v>2.6315999999999999E-2</v>
      </c>
      <c r="AA40" s="935">
        <f>E40*V40*Y$8</f>
        <v>0</v>
      </c>
      <c r="AB40" s="947">
        <v>0.06</v>
      </c>
      <c r="AC40" s="933" t="s">
        <v>2316</v>
      </c>
      <c r="AD40" s="933" t="s">
        <v>2317</v>
      </c>
      <c r="AE40" s="938" t="e">
        <f>ROUNDDOWN(E40*V40*AB40,2-INT(LOG(ABS(E40*V40*AB40))))</f>
        <v>#NUM!</v>
      </c>
      <c r="AF40" s="942">
        <f t="shared" si="16"/>
        <v>0</v>
      </c>
      <c r="AG40" s="942">
        <f t="shared" si="16"/>
        <v>0</v>
      </c>
      <c r="AH40" s="942">
        <f t="shared" si="16"/>
        <v>0</v>
      </c>
      <c r="AI40" s="942">
        <f t="shared" si="16"/>
        <v>0</v>
      </c>
      <c r="AJ40" s="942">
        <f t="shared" si="16"/>
        <v>0</v>
      </c>
      <c r="AK40" s="942">
        <f t="shared" si="16"/>
        <v>0</v>
      </c>
      <c r="AL40" s="942">
        <f t="shared" si="16"/>
        <v>0</v>
      </c>
      <c r="AM40" s="942">
        <f t="shared" si="16"/>
        <v>0</v>
      </c>
      <c r="AW40" s="1516"/>
      <c r="AX40" s="1517"/>
    </row>
    <row r="41" spans="1:50" ht="28.5" hidden="1" customHeight="1">
      <c r="A41" s="1537" t="s">
        <v>34</v>
      </c>
      <c r="B41" s="1537"/>
      <c r="C41" s="1537"/>
      <c r="D41" s="940" t="s">
        <v>7</v>
      </c>
      <c r="E41" s="941"/>
      <c r="F41" s="941"/>
      <c r="G41" s="941"/>
      <c r="H41" s="941"/>
      <c r="I41" s="941"/>
      <c r="J41" s="941"/>
      <c r="K41" s="941"/>
      <c r="L41" s="941"/>
      <c r="M41" s="941"/>
      <c r="N41" s="941"/>
      <c r="O41" s="941"/>
      <c r="P41" s="941"/>
      <c r="Q41" s="941"/>
      <c r="R41" s="941"/>
      <c r="S41" s="941"/>
      <c r="T41" s="941"/>
      <c r="U41" s="941"/>
      <c r="V41" s="933">
        <v>1.36</v>
      </c>
      <c r="W41" s="933" t="s">
        <v>2315</v>
      </c>
      <c r="X41" s="935">
        <f>E41*V41</f>
        <v>0</v>
      </c>
      <c r="Y41" s="1563"/>
      <c r="Z41" s="936">
        <f t="shared" si="0"/>
        <v>3.5088000000000001E-2</v>
      </c>
      <c r="AA41" s="935">
        <f>E41*V41*Y$8</f>
        <v>0</v>
      </c>
      <c r="AB41" s="947">
        <v>5.7000000000000002E-2</v>
      </c>
      <c r="AC41" s="933" t="s">
        <v>2316</v>
      </c>
      <c r="AD41" s="933" t="s">
        <v>2317</v>
      </c>
      <c r="AE41" s="938" t="e">
        <f>ROUNDDOWN(E41*V41*AB41,2-INT(LOG(ABS(E41*V41*AB41))))</f>
        <v>#NUM!</v>
      </c>
      <c r="AF41" s="942">
        <f t="shared" si="16"/>
        <v>0</v>
      </c>
      <c r="AG41" s="942">
        <f t="shared" si="16"/>
        <v>0</v>
      </c>
      <c r="AH41" s="942">
        <f t="shared" si="16"/>
        <v>0</v>
      </c>
      <c r="AI41" s="942">
        <f t="shared" si="16"/>
        <v>0</v>
      </c>
      <c r="AJ41" s="942">
        <f t="shared" si="16"/>
        <v>0</v>
      </c>
      <c r="AK41" s="942">
        <f t="shared" si="16"/>
        <v>0</v>
      </c>
      <c r="AL41" s="942">
        <f t="shared" si="16"/>
        <v>0</v>
      </c>
      <c r="AM41" s="942">
        <f t="shared" si="16"/>
        <v>0</v>
      </c>
      <c r="AW41" s="1516"/>
      <c r="AX41" s="1517"/>
    </row>
    <row r="42" spans="1:50" ht="28.5" hidden="1" customHeight="1">
      <c r="A42" s="1542" t="s">
        <v>35</v>
      </c>
      <c r="B42" s="1542"/>
      <c r="C42" s="1542"/>
      <c r="D42" s="940" t="s">
        <v>7</v>
      </c>
      <c r="E42" s="941"/>
      <c r="F42" s="941"/>
      <c r="G42" s="941"/>
      <c r="H42" s="941"/>
      <c r="I42" s="941"/>
      <c r="J42" s="941"/>
      <c r="K42" s="941"/>
      <c r="L42" s="941"/>
      <c r="M42" s="941"/>
      <c r="N42" s="941"/>
      <c r="O42" s="941"/>
      <c r="P42" s="941"/>
      <c r="Q42" s="941"/>
      <c r="R42" s="941"/>
      <c r="S42" s="941"/>
      <c r="T42" s="941"/>
      <c r="U42" s="941"/>
      <c r="V42" s="933">
        <v>1.36</v>
      </c>
      <c r="W42" s="933" t="s">
        <v>2315</v>
      </c>
      <c r="X42" s="935">
        <f>E42*V42</f>
        <v>0</v>
      </c>
      <c r="Y42" s="1563"/>
      <c r="Z42" s="936">
        <f t="shared" si="0"/>
        <v>3.5088000000000001E-2</v>
      </c>
      <c r="AA42" s="935">
        <f>E42*V42*Y$8</f>
        <v>0</v>
      </c>
      <c r="AB42" s="947">
        <v>5.7000000000000002E-2</v>
      </c>
      <c r="AC42" s="933" t="s">
        <v>2316</v>
      </c>
      <c r="AD42" s="933" t="s">
        <v>2317</v>
      </c>
      <c r="AE42" s="938" t="e">
        <f>ROUNDDOWN(E42*V42*AB42,2-INT(LOG(ABS(E42*V42*AB42))))</f>
        <v>#NUM!</v>
      </c>
      <c r="AF42" s="942">
        <f t="shared" si="16"/>
        <v>0</v>
      </c>
      <c r="AG42" s="942">
        <f t="shared" si="16"/>
        <v>0</v>
      </c>
      <c r="AH42" s="942">
        <f t="shared" si="16"/>
        <v>0</v>
      </c>
      <c r="AI42" s="942">
        <f t="shared" si="16"/>
        <v>0</v>
      </c>
      <c r="AJ42" s="942">
        <f t="shared" si="16"/>
        <v>0</v>
      </c>
      <c r="AK42" s="942">
        <f t="shared" si="16"/>
        <v>0</v>
      </c>
      <c r="AL42" s="942">
        <f t="shared" si="16"/>
        <v>0</v>
      </c>
      <c r="AM42" s="942">
        <f t="shared" si="16"/>
        <v>0</v>
      </c>
      <c r="AW42" s="1516"/>
      <c r="AX42" s="1517"/>
    </row>
    <row r="43" spans="1:50" ht="28.5" hidden="1" customHeight="1">
      <c r="A43" s="1542" t="s">
        <v>36</v>
      </c>
      <c r="B43" s="1542"/>
      <c r="C43" s="1542"/>
      <c r="D43" s="940" t="s">
        <v>7</v>
      </c>
      <c r="E43" s="941"/>
      <c r="F43" s="941"/>
      <c r="G43" s="941"/>
      <c r="H43" s="941"/>
      <c r="I43" s="941"/>
      <c r="J43" s="941"/>
      <c r="K43" s="941"/>
      <c r="L43" s="941"/>
      <c r="M43" s="941"/>
      <c r="N43" s="941"/>
      <c r="O43" s="941"/>
      <c r="P43" s="941"/>
      <c r="Q43" s="941"/>
      <c r="R43" s="941"/>
      <c r="S43" s="941"/>
      <c r="T43" s="941"/>
      <c r="U43" s="941"/>
      <c r="V43" s="933">
        <v>1.36</v>
      </c>
      <c r="W43" s="933" t="s">
        <v>2315</v>
      </c>
      <c r="X43" s="935">
        <f>E43*V43</f>
        <v>0</v>
      </c>
      <c r="Y43" s="1563"/>
      <c r="Z43" s="936">
        <f t="shared" si="0"/>
        <v>3.5088000000000001E-2</v>
      </c>
      <c r="AA43" s="935">
        <f>E43*V43*Y$8</f>
        <v>0</v>
      </c>
      <c r="AB43" s="947">
        <v>5.7000000000000002E-2</v>
      </c>
      <c r="AC43" s="933" t="s">
        <v>2316</v>
      </c>
      <c r="AD43" s="933" t="s">
        <v>2317</v>
      </c>
      <c r="AE43" s="938" t="e">
        <f>ROUNDDOWN(E43*V43*AB43,2-INT(LOG(ABS(E43*V43*AB43))))</f>
        <v>#NUM!</v>
      </c>
      <c r="AF43" s="942">
        <f t="shared" si="16"/>
        <v>0</v>
      </c>
      <c r="AG43" s="942">
        <f t="shared" si="16"/>
        <v>0</v>
      </c>
      <c r="AH43" s="942">
        <f t="shared" si="16"/>
        <v>0</v>
      </c>
      <c r="AI43" s="942">
        <f t="shared" si="16"/>
        <v>0</v>
      </c>
      <c r="AJ43" s="942">
        <f t="shared" si="16"/>
        <v>0</v>
      </c>
      <c r="AK43" s="942">
        <f t="shared" si="16"/>
        <v>0</v>
      </c>
      <c r="AL43" s="942">
        <f t="shared" si="16"/>
        <v>0</v>
      </c>
      <c r="AM43" s="942">
        <f t="shared" si="16"/>
        <v>0</v>
      </c>
      <c r="AW43" s="1516"/>
      <c r="AX43" s="1517"/>
    </row>
    <row r="44" spans="1:50" ht="28.5" hidden="1" customHeight="1" thickBot="1">
      <c r="A44" s="1542" t="s">
        <v>37</v>
      </c>
      <c r="B44" s="1542"/>
      <c r="C44" s="1542"/>
      <c r="D44" s="948"/>
      <c r="E44" s="949"/>
      <c r="F44" s="949"/>
      <c r="G44" s="949"/>
      <c r="H44" s="949"/>
      <c r="I44" s="949"/>
      <c r="J44" s="949"/>
      <c r="K44" s="949"/>
      <c r="L44" s="949"/>
      <c r="M44" s="949"/>
      <c r="N44" s="949"/>
      <c r="O44" s="949"/>
      <c r="P44" s="949"/>
      <c r="Q44" s="949"/>
      <c r="R44" s="949"/>
      <c r="S44" s="949"/>
      <c r="T44" s="949"/>
      <c r="U44" s="949"/>
      <c r="V44" s="1528"/>
      <c r="W44" s="1528"/>
      <c r="X44" s="935">
        <f>SUM(X8:X43)</f>
        <v>0</v>
      </c>
      <c r="Y44" s="950"/>
      <c r="Z44" s="951"/>
      <c r="AA44" s="952">
        <f>X44*Y8</f>
        <v>0</v>
      </c>
      <c r="AB44" s="1543"/>
      <c r="AC44" s="1543"/>
      <c r="AD44" s="953"/>
      <c r="AE44" s="954"/>
      <c r="AF44" s="942">
        <f t="shared" si="16"/>
        <v>0</v>
      </c>
      <c r="AG44" s="942">
        <f t="shared" si="16"/>
        <v>0</v>
      </c>
      <c r="AH44" s="942">
        <f t="shared" si="16"/>
        <v>0</v>
      </c>
      <c r="AI44" s="942">
        <f t="shared" si="16"/>
        <v>0</v>
      </c>
      <c r="AJ44" s="942">
        <f t="shared" si="16"/>
        <v>0</v>
      </c>
      <c r="AK44" s="942">
        <f t="shared" si="16"/>
        <v>0</v>
      </c>
      <c r="AL44" s="942">
        <f t="shared" si="16"/>
        <v>0</v>
      </c>
      <c r="AM44" s="942">
        <f t="shared" si="16"/>
        <v>0</v>
      </c>
      <c r="AW44" s="1516"/>
      <c r="AX44" s="1517"/>
    </row>
    <row r="45" spans="1:50" ht="16.5" hidden="1" customHeight="1" thickTop="1">
      <c r="A45" s="920"/>
      <c r="B45" s="920"/>
      <c r="C45" s="920"/>
      <c r="D45" s="940"/>
      <c r="E45" s="941"/>
      <c r="F45" s="941"/>
      <c r="G45" s="941"/>
      <c r="H45" s="941"/>
      <c r="I45" s="941"/>
      <c r="J45" s="941"/>
      <c r="K45" s="941"/>
      <c r="L45" s="941"/>
      <c r="M45" s="941"/>
      <c r="N45" s="941"/>
      <c r="O45" s="941"/>
      <c r="P45" s="941"/>
      <c r="Q45" s="941"/>
      <c r="R45" s="941"/>
      <c r="S45" s="941"/>
      <c r="T45" s="941"/>
      <c r="U45" s="941"/>
      <c r="V45" s="933" t="s">
        <v>5</v>
      </c>
      <c r="W45" s="933"/>
      <c r="X45" s="955" t="s">
        <v>6</v>
      </c>
      <c r="Y45" s="956" t="s">
        <v>2318</v>
      </c>
      <c r="Z45" s="957"/>
      <c r="AA45" s="952" t="s">
        <v>2277</v>
      </c>
      <c r="AB45" s="958" t="s">
        <v>2319</v>
      </c>
      <c r="AC45" s="933"/>
      <c r="AD45" s="937" t="s">
        <v>2320</v>
      </c>
      <c r="AE45" s="938"/>
      <c r="AF45" s="942" t="e">
        <f t="shared" si="16"/>
        <v>#VALUE!</v>
      </c>
      <c r="AG45" s="942" t="e">
        <f t="shared" si="16"/>
        <v>#VALUE!</v>
      </c>
      <c r="AH45" s="942" t="e">
        <f t="shared" si="16"/>
        <v>#VALUE!</v>
      </c>
      <c r="AI45" s="942" t="e">
        <f t="shared" si="16"/>
        <v>#VALUE!</v>
      </c>
      <c r="AJ45" s="942" t="e">
        <f t="shared" si="16"/>
        <v>#VALUE!</v>
      </c>
      <c r="AK45" s="942" t="e">
        <f t="shared" si="16"/>
        <v>#VALUE!</v>
      </c>
      <c r="AL45" s="942" t="e">
        <f t="shared" si="16"/>
        <v>#VALUE!</v>
      </c>
      <c r="AM45" s="942" t="e">
        <f t="shared" si="16"/>
        <v>#VALUE!</v>
      </c>
      <c r="AW45" s="1516"/>
      <c r="AX45" s="1517"/>
    </row>
    <row r="46" spans="1:50" ht="28.5" hidden="1" customHeight="1">
      <c r="A46" s="1537" t="s">
        <v>2321</v>
      </c>
      <c r="B46" s="920" t="s">
        <v>2249</v>
      </c>
      <c r="C46" s="920"/>
      <c r="D46" s="940" t="s">
        <v>38</v>
      </c>
      <c r="E46" s="941"/>
      <c r="F46" s="941"/>
      <c r="G46" s="941"/>
      <c r="H46" s="941"/>
      <c r="I46" s="941"/>
      <c r="J46" s="941"/>
      <c r="K46" s="941"/>
      <c r="L46" s="941"/>
      <c r="M46" s="941"/>
      <c r="N46" s="941"/>
      <c r="O46" s="941"/>
      <c r="P46" s="941"/>
      <c r="Q46" s="941"/>
      <c r="R46" s="941"/>
      <c r="S46" s="941"/>
      <c r="T46" s="941"/>
      <c r="U46" s="941"/>
      <c r="V46" s="933">
        <v>9.9700000000000006</v>
      </c>
      <c r="W46" s="933" t="s">
        <v>2322</v>
      </c>
      <c r="X46" s="935">
        <f>E46*V46</f>
        <v>0</v>
      </c>
      <c r="Y46" s="1538">
        <v>2.58E-2</v>
      </c>
      <c r="Z46" s="959">
        <f>ROUNDDOWN(V46*Y$46,5-INT(LOG(ABS(V46*Y$46))))</f>
        <v>0.25722600000000001</v>
      </c>
      <c r="AA46" s="935">
        <f>E46*V46*Y$46</f>
        <v>0</v>
      </c>
      <c r="AB46" s="933">
        <v>0.38600000000000001</v>
      </c>
      <c r="AC46" s="933" t="s">
        <v>2323</v>
      </c>
      <c r="AD46" s="933" t="s">
        <v>2324</v>
      </c>
      <c r="AE46" s="933" t="s">
        <v>2324</v>
      </c>
      <c r="AF46" s="942">
        <f t="shared" si="16"/>
        <v>0</v>
      </c>
      <c r="AG46" s="942">
        <f t="shared" si="16"/>
        <v>0</v>
      </c>
      <c r="AH46" s="942">
        <f t="shared" si="16"/>
        <v>0</v>
      </c>
      <c r="AI46" s="942">
        <f t="shared" si="16"/>
        <v>0</v>
      </c>
      <c r="AJ46" s="942">
        <f t="shared" si="16"/>
        <v>0</v>
      </c>
      <c r="AK46" s="942">
        <f t="shared" si="16"/>
        <v>0</v>
      </c>
      <c r="AL46" s="942">
        <f t="shared" si="16"/>
        <v>0</v>
      </c>
      <c r="AM46" s="942">
        <f t="shared" si="16"/>
        <v>0</v>
      </c>
      <c r="AW46" s="1516"/>
      <c r="AX46" s="1517"/>
    </row>
    <row r="47" spans="1:50" ht="28.5" hidden="1" customHeight="1">
      <c r="A47" s="1537"/>
      <c r="B47" s="920" t="s">
        <v>2252</v>
      </c>
      <c r="C47" s="920"/>
      <c r="D47" s="940" t="s">
        <v>38</v>
      </c>
      <c r="E47" s="941"/>
      <c r="F47" s="941"/>
      <c r="G47" s="941"/>
      <c r="H47" s="941"/>
      <c r="I47" s="941"/>
      <c r="J47" s="941"/>
      <c r="K47" s="941"/>
      <c r="L47" s="941"/>
      <c r="M47" s="941"/>
      <c r="N47" s="941"/>
      <c r="O47" s="941"/>
      <c r="P47" s="941"/>
      <c r="Q47" s="941"/>
      <c r="R47" s="941"/>
      <c r="S47" s="941"/>
      <c r="T47" s="941"/>
      <c r="U47" s="941"/>
      <c r="V47" s="933">
        <v>9.2799999999999994</v>
      </c>
      <c r="W47" s="933" t="s">
        <v>2322</v>
      </c>
      <c r="X47" s="935">
        <f>E47*V47</f>
        <v>0</v>
      </c>
      <c r="Y47" s="1538"/>
      <c r="Z47" s="959">
        <f>ROUNDDOWN(V47*Y$46,5-INT(LOG(ABS(V47*Y$46))))</f>
        <v>0.239424</v>
      </c>
      <c r="AA47" s="935">
        <f>E47*V47*Y$46</f>
        <v>0</v>
      </c>
      <c r="AB47" s="933">
        <v>0.38600000000000001</v>
      </c>
      <c r="AC47" s="933" t="s">
        <v>2323</v>
      </c>
      <c r="AD47" s="933" t="s">
        <v>2317</v>
      </c>
      <c r="AE47" s="933" t="s">
        <v>2317</v>
      </c>
      <c r="AF47" s="942">
        <f t="shared" si="16"/>
        <v>0</v>
      </c>
      <c r="AG47" s="942">
        <f t="shared" si="16"/>
        <v>0</v>
      </c>
      <c r="AH47" s="942">
        <f t="shared" si="16"/>
        <v>0</v>
      </c>
      <c r="AI47" s="942">
        <f t="shared" si="16"/>
        <v>0</v>
      </c>
      <c r="AJ47" s="942">
        <f t="shared" si="16"/>
        <v>0</v>
      </c>
      <c r="AK47" s="942">
        <f t="shared" si="16"/>
        <v>0</v>
      </c>
      <c r="AL47" s="942">
        <f t="shared" si="16"/>
        <v>0</v>
      </c>
      <c r="AM47" s="942">
        <f t="shared" si="16"/>
        <v>0</v>
      </c>
      <c r="AW47" s="1516"/>
      <c r="AX47" s="1517"/>
    </row>
    <row r="48" spans="1:50" ht="39.9" customHeight="1">
      <c r="A48" s="1540" t="s">
        <v>2183</v>
      </c>
      <c r="B48" s="1540"/>
      <c r="C48" s="1540"/>
      <c r="D48" s="940" t="s">
        <v>2185</v>
      </c>
      <c r="E48" s="941"/>
      <c r="F48" s="941"/>
      <c r="G48" s="941"/>
      <c r="H48" s="941"/>
      <c r="I48" s="941"/>
      <c r="J48" s="941"/>
      <c r="K48" s="941"/>
      <c r="L48" s="941"/>
      <c r="M48" s="941"/>
      <c r="N48" s="941"/>
      <c r="O48" s="941"/>
      <c r="P48" s="941"/>
      <c r="Q48" s="941"/>
      <c r="R48" s="941"/>
      <c r="S48" s="941"/>
      <c r="T48" s="941"/>
      <c r="U48" s="941"/>
      <c r="V48" s="933">
        <v>9.76</v>
      </c>
      <c r="W48" s="933" t="s">
        <v>2322</v>
      </c>
      <c r="X48" s="935">
        <f>E48*V48/1000</f>
        <v>0</v>
      </c>
      <c r="Y48" s="1538"/>
      <c r="Z48" s="959">
        <f>ROUNDDOWN(V48*Y$46,5-INT(LOG(ABS(V48*Y$46))))</f>
        <v>0.25180799999999998</v>
      </c>
      <c r="AA48" s="935">
        <f>E48*V48*Y$46/1000</f>
        <v>0</v>
      </c>
      <c r="AB48" s="960">
        <f>AW48</f>
        <v>0</v>
      </c>
      <c r="AC48" s="933" t="s">
        <v>2323</v>
      </c>
      <c r="AD48" s="933"/>
      <c r="AE48" s="938"/>
      <c r="AF48" s="961">
        <f t="shared" ref="AF48:AV48" si="17">ROUND(E48*$AB48*0.001,2)</f>
        <v>0</v>
      </c>
      <c r="AG48" s="961">
        <f t="shared" si="17"/>
        <v>0</v>
      </c>
      <c r="AH48" s="961">
        <f t="shared" si="17"/>
        <v>0</v>
      </c>
      <c r="AI48" s="961">
        <f t="shared" si="17"/>
        <v>0</v>
      </c>
      <c r="AJ48" s="961">
        <f t="shared" si="17"/>
        <v>0</v>
      </c>
      <c r="AK48" s="961">
        <f t="shared" si="17"/>
        <v>0</v>
      </c>
      <c r="AL48" s="961">
        <f t="shared" si="17"/>
        <v>0</v>
      </c>
      <c r="AM48" s="961">
        <f t="shared" si="17"/>
        <v>0</v>
      </c>
      <c r="AN48" s="961">
        <f t="shared" si="17"/>
        <v>0</v>
      </c>
      <c r="AO48" s="961">
        <f t="shared" si="17"/>
        <v>0</v>
      </c>
      <c r="AP48" s="961">
        <f t="shared" si="17"/>
        <v>0</v>
      </c>
      <c r="AQ48" s="961">
        <f t="shared" si="17"/>
        <v>0</v>
      </c>
      <c r="AR48" s="961">
        <f t="shared" si="17"/>
        <v>0</v>
      </c>
      <c r="AS48" s="961">
        <f t="shared" si="17"/>
        <v>0</v>
      </c>
      <c r="AT48" s="961">
        <f t="shared" si="17"/>
        <v>0</v>
      </c>
      <c r="AU48" s="961">
        <f t="shared" si="17"/>
        <v>0</v>
      </c>
      <c r="AV48" s="961">
        <f t="shared" si="17"/>
        <v>0</v>
      </c>
      <c r="AW48" s="839"/>
      <c r="AX48" s="933" t="s">
        <v>2323</v>
      </c>
    </row>
    <row r="49" spans="1:50" ht="36.75" customHeight="1">
      <c r="A49" s="839"/>
      <c r="B49" s="941"/>
      <c r="C49" s="941"/>
      <c r="D49" s="839"/>
      <c r="E49" s="962"/>
      <c r="F49" s="962"/>
      <c r="G49" s="941"/>
      <c r="H49" s="941"/>
      <c r="I49" s="941"/>
      <c r="J49" s="941"/>
      <c r="K49" s="941"/>
      <c r="L49" s="941"/>
      <c r="M49" s="941"/>
      <c r="N49" s="941"/>
      <c r="O49" s="941"/>
      <c r="P49" s="941"/>
      <c r="Q49" s="941"/>
      <c r="R49" s="941"/>
      <c r="S49" s="941"/>
      <c r="T49" s="941"/>
      <c r="U49" s="941"/>
      <c r="V49" s="1528"/>
      <c r="W49" s="1528"/>
      <c r="X49" s="963"/>
      <c r="Y49" s="1538"/>
      <c r="Z49" s="964"/>
      <c r="AA49" s="963"/>
      <c r="AB49" s="933"/>
      <c r="AC49" s="933"/>
      <c r="AD49" s="937"/>
      <c r="AE49" s="938"/>
      <c r="AF49" s="961">
        <f>ROUND(E49*$AW49*0.001,2)</f>
        <v>0</v>
      </c>
      <c r="AG49" s="965">
        <f t="shared" ref="AG49:AG50" si="18">ROUND(F49*$AW49*0.001,2)</f>
        <v>0</v>
      </c>
      <c r="AH49" s="965">
        <f>ROUND(G49*$AW49,2)</f>
        <v>0</v>
      </c>
      <c r="AI49" s="965">
        <f t="shared" ref="AI49:AV50" si="19">ROUND(H49*$AW49,2)</f>
        <v>0</v>
      </c>
      <c r="AJ49" s="965">
        <f t="shared" si="19"/>
        <v>0</v>
      </c>
      <c r="AK49" s="965">
        <f t="shared" si="19"/>
        <v>0</v>
      </c>
      <c r="AL49" s="965">
        <f t="shared" si="19"/>
        <v>0</v>
      </c>
      <c r="AM49" s="965">
        <f t="shared" si="19"/>
        <v>0</v>
      </c>
      <c r="AN49" s="965">
        <f t="shared" si="19"/>
        <v>0</v>
      </c>
      <c r="AO49" s="965">
        <f t="shared" si="19"/>
        <v>0</v>
      </c>
      <c r="AP49" s="965">
        <f t="shared" si="19"/>
        <v>0</v>
      </c>
      <c r="AQ49" s="965">
        <f t="shared" si="19"/>
        <v>0</v>
      </c>
      <c r="AR49" s="965">
        <f t="shared" si="19"/>
        <v>0</v>
      </c>
      <c r="AS49" s="965">
        <f t="shared" si="19"/>
        <v>0</v>
      </c>
      <c r="AT49" s="965">
        <f t="shared" si="19"/>
        <v>0</v>
      </c>
      <c r="AU49" s="965">
        <f t="shared" si="19"/>
        <v>0</v>
      </c>
      <c r="AV49" s="965">
        <f t="shared" si="19"/>
        <v>0</v>
      </c>
      <c r="AW49" s="839"/>
      <c r="AX49" s="966" t="str">
        <f>IF(D49="","","ｔ-ＣＯ₂/"&amp;D49)</f>
        <v/>
      </c>
    </row>
    <row r="50" spans="1:50" ht="36.75" customHeight="1" thickBot="1">
      <c r="A50" s="839"/>
      <c r="B50" s="941"/>
      <c r="C50" s="941"/>
      <c r="D50" s="839"/>
      <c r="E50" s="967"/>
      <c r="F50" s="967"/>
      <c r="G50" s="941"/>
      <c r="H50" s="941"/>
      <c r="I50" s="941"/>
      <c r="J50" s="941"/>
      <c r="K50" s="941"/>
      <c r="L50" s="941"/>
      <c r="M50" s="941"/>
      <c r="N50" s="941"/>
      <c r="O50" s="941"/>
      <c r="P50" s="941"/>
      <c r="Q50" s="941"/>
      <c r="R50" s="941"/>
      <c r="S50" s="941"/>
      <c r="T50" s="941"/>
      <c r="U50" s="941"/>
      <c r="V50" s="1541"/>
      <c r="W50" s="1541"/>
      <c r="X50" s="968"/>
      <c r="Y50" s="1539"/>
      <c r="Z50" s="969"/>
      <c r="AA50" s="968"/>
      <c r="AB50" s="970"/>
      <c r="AC50" s="970"/>
      <c r="AD50" s="971"/>
      <c r="AE50" s="972"/>
      <c r="AF50" s="961">
        <f>ROUND(E50*$AW50*0.001,2)</f>
        <v>0</v>
      </c>
      <c r="AG50" s="973">
        <f t="shared" si="18"/>
        <v>0</v>
      </c>
      <c r="AH50" s="973">
        <f>ROUND(G50*$AW50,2)</f>
        <v>0</v>
      </c>
      <c r="AI50" s="973">
        <f t="shared" si="19"/>
        <v>0</v>
      </c>
      <c r="AJ50" s="973">
        <f t="shared" si="19"/>
        <v>0</v>
      </c>
      <c r="AK50" s="973">
        <f t="shared" si="19"/>
        <v>0</v>
      </c>
      <c r="AL50" s="973">
        <f t="shared" si="19"/>
        <v>0</v>
      </c>
      <c r="AM50" s="973">
        <f t="shared" si="19"/>
        <v>0</v>
      </c>
      <c r="AN50" s="973">
        <f t="shared" si="19"/>
        <v>0</v>
      </c>
      <c r="AO50" s="973">
        <f t="shared" si="19"/>
        <v>0</v>
      </c>
      <c r="AP50" s="973">
        <f t="shared" si="19"/>
        <v>0</v>
      </c>
      <c r="AQ50" s="973">
        <f t="shared" si="19"/>
        <v>0</v>
      </c>
      <c r="AR50" s="973">
        <f t="shared" si="19"/>
        <v>0</v>
      </c>
      <c r="AS50" s="973">
        <f t="shared" si="19"/>
        <v>0</v>
      </c>
      <c r="AT50" s="973">
        <f t="shared" si="19"/>
        <v>0</v>
      </c>
      <c r="AU50" s="973">
        <f t="shared" si="19"/>
        <v>0</v>
      </c>
      <c r="AV50" s="973">
        <f t="shared" si="19"/>
        <v>0</v>
      </c>
      <c r="AW50" s="839"/>
      <c r="AX50" s="966" t="str">
        <f>IF(D50="","","ｔ-ＣＯ₂/"&amp;D50)</f>
        <v/>
      </c>
    </row>
    <row r="51" spans="1:50" ht="28.5" hidden="1" customHeight="1" thickTop="1">
      <c r="A51" s="1534" t="s">
        <v>37</v>
      </c>
      <c r="B51" s="1534"/>
      <c r="C51" s="1534"/>
      <c r="D51" s="974"/>
      <c r="E51" s="974"/>
      <c r="F51" s="974"/>
      <c r="G51" s="974"/>
      <c r="H51" s="974"/>
      <c r="I51" s="974"/>
      <c r="J51" s="974"/>
      <c r="K51" s="974"/>
      <c r="L51" s="974"/>
      <c r="M51" s="974"/>
      <c r="N51" s="974"/>
      <c r="O51" s="974"/>
      <c r="P51" s="974"/>
      <c r="Q51" s="974"/>
      <c r="R51" s="974"/>
      <c r="S51" s="974"/>
      <c r="T51" s="974"/>
      <c r="U51" s="974"/>
      <c r="V51" s="1535"/>
      <c r="W51" s="1536"/>
      <c r="X51" s="975">
        <f>SUM(X46:X48)</f>
        <v>0</v>
      </c>
      <c r="Y51" s="976"/>
      <c r="Z51" s="977"/>
      <c r="AA51" s="978">
        <f>X51*Y46</f>
        <v>0</v>
      </c>
      <c r="AB51" s="1535"/>
      <c r="AC51" s="1536"/>
      <c r="AD51" s="979"/>
      <c r="AE51" s="980"/>
      <c r="AF51" s="981">
        <f t="shared" ref="AF51:AV51" si="20">SUM(AF46:AF48)</f>
        <v>0</v>
      </c>
      <c r="AG51" s="981">
        <f t="shared" si="20"/>
        <v>0</v>
      </c>
      <c r="AH51" s="981">
        <f t="shared" si="20"/>
        <v>0</v>
      </c>
      <c r="AI51" s="981">
        <f t="shared" si="20"/>
        <v>0</v>
      </c>
      <c r="AJ51" s="981">
        <f t="shared" si="20"/>
        <v>0</v>
      </c>
      <c r="AK51" s="981">
        <f t="shared" si="20"/>
        <v>0</v>
      </c>
      <c r="AL51" s="981">
        <f t="shared" si="20"/>
        <v>0</v>
      </c>
      <c r="AM51" s="981">
        <f t="shared" si="20"/>
        <v>0</v>
      </c>
      <c r="AN51" s="981">
        <f t="shared" si="20"/>
        <v>0</v>
      </c>
      <c r="AO51" s="981">
        <f t="shared" si="20"/>
        <v>0</v>
      </c>
      <c r="AP51" s="981">
        <f t="shared" si="20"/>
        <v>0</v>
      </c>
      <c r="AQ51" s="981">
        <f t="shared" si="20"/>
        <v>0</v>
      </c>
      <c r="AR51" s="981">
        <f t="shared" si="20"/>
        <v>0</v>
      </c>
      <c r="AS51" s="981">
        <f t="shared" si="20"/>
        <v>0</v>
      </c>
      <c r="AT51" s="981">
        <f t="shared" si="20"/>
        <v>0</v>
      </c>
      <c r="AU51" s="981">
        <f t="shared" si="20"/>
        <v>0</v>
      </c>
      <c r="AV51" s="981">
        <f t="shared" si="20"/>
        <v>0</v>
      </c>
    </row>
    <row r="52" spans="1:50" ht="28.5" hidden="1" customHeight="1">
      <c r="A52" s="1527" t="s">
        <v>40</v>
      </c>
      <c r="B52" s="1527"/>
      <c r="C52" s="1527"/>
      <c r="D52" s="933" t="s">
        <v>7</v>
      </c>
      <c r="E52" s="934"/>
      <c r="F52" s="934"/>
      <c r="G52" s="934"/>
      <c r="H52" s="934"/>
      <c r="I52" s="934"/>
      <c r="J52" s="934"/>
      <c r="K52" s="934"/>
      <c r="L52" s="934"/>
      <c r="M52" s="934"/>
      <c r="N52" s="934"/>
      <c r="O52" s="934"/>
      <c r="P52" s="934"/>
      <c r="Q52" s="934"/>
      <c r="R52" s="934"/>
      <c r="S52" s="934"/>
      <c r="T52" s="934"/>
      <c r="U52" s="934"/>
      <c r="V52" s="1528"/>
      <c r="W52" s="1528"/>
      <c r="X52" s="963"/>
      <c r="Y52" s="982"/>
      <c r="Z52" s="951"/>
      <c r="AA52" s="983"/>
      <c r="AB52" s="984">
        <v>0</v>
      </c>
      <c r="AC52" s="935" t="s">
        <v>2325</v>
      </c>
      <c r="AD52" s="935"/>
      <c r="AE52" s="935" t="e">
        <f>ROUNDDOWN(V52*AB52*44/12,2-INT(LOG(ABS(V52*Y$8*AB52*44/12))))</f>
        <v>#NUM!</v>
      </c>
      <c r="AF52" s="965">
        <f t="shared" ref="AF52:AU53" si="21">IF(ISERROR(-ABS(E52*AB52)),"",-ABS(E52*AB52))</f>
        <v>0</v>
      </c>
      <c r="AG52" s="965" t="str">
        <f t="shared" si="21"/>
        <v/>
      </c>
      <c r="AH52" s="965">
        <f t="shared" si="21"/>
        <v>0</v>
      </c>
      <c r="AI52" s="965" t="str">
        <f t="shared" si="21"/>
        <v/>
      </c>
      <c r="AJ52" s="965">
        <f t="shared" si="21"/>
        <v>0</v>
      </c>
      <c r="AK52" s="965" t="str">
        <f t="shared" si="21"/>
        <v/>
      </c>
      <c r="AL52" s="965">
        <f t="shared" si="21"/>
        <v>0</v>
      </c>
      <c r="AM52" s="965" t="str">
        <f t="shared" si="21"/>
        <v/>
      </c>
      <c r="AN52" s="965">
        <f t="shared" si="21"/>
        <v>0</v>
      </c>
      <c r="AO52" s="965" t="str">
        <f t="shared" si="21"/>
        <v/>
      </c>
      <c r="AP52" s="965">
        <f t="shared" si="21"/>
        <v>0</v>
      </c>
      <c r="AQ52" s="965" t="str">
        <f t="shared" si="21"/>
        <v/>
      </c>
      <c r="AR52" s="965">
        <f t="shared" si="21"/>
        <v>0</v>
      </c>
      <c r="AS52" s="965" t="str">
        <f t="shared" si="21"/>
        <v/>
      </c>
      <c r="AT52" s="965">
        <f t="shared" si="21"/>
        <v>0</v>
      </c>
      <c r="AU52" s="965" t="str">
        <f t="shared" si="21"/>
        <v/>
      </c>
      <c r="AV52" s="965">
        <f t="shared" ref="AP52:AV53" si="22">IF(ISERROR(-ABS(U52*AR52)),"",-ABS(U52*AR52))</f>
        <v>0</v>
      </c>
    </row>
    <row r="53" spans="1:50" ht="28.5" hidden="1" customHeight="1">
      <c r="A53" s="1527" t="s">
        <v>41</v>
      </c>
      <c r="B53" s="1527"/>
      <c r="C53" s="1527"/>
      <c r="D53" s="933" t="s">
        <v>38</v>
      </c>
      <c r="E53" s="934"/>
      <c r="F53" s="934"/>
      <c r="G53" s="934"/>
      <c r="H53" s="934"/>
      <c r="I53" s="934"/>
      <c r="J53" s="934"/>
      <c r="K53" s="934"/>
      <c r="L53" s="934"/>
      <c r="M53" s="934"/>
      <c r="N53" s="934"/>
      <c r="O53" s="934"/>
      <c r="P53" s="934"/>
      <c r="Q53" s="934"/>
      <c r="R53" s="934"/>
      <c r="S53" s="934"/>
      <c r="T53" s="934"/>
      <c r="U53" s="934"/>
      <c r="V53" s="1528"/>
      <c r="W53" s="1528"/>
      <c r="X53" s="963"/>
      <c r="Y53" s="982"/>
      <c r="Z53" s="951"/>
      <c r="AA53" s="985"/>
      <c r="AB53" s="984">
        <v>0</v>
      </c>
      <c r="AC53" s="935" t="s">
        <v>2326</v>
      </c>
      <c r="AD53" s="935"/>
      <c r="AE53" s="935" t="e">
        <f>ROUNDDOWN(V53*AB53*44/12,2-INT(LOG(ABS(V53*Y$8*AB53*44/12))))</f>
        <v>#NUM!</v>
      </c>
      <c r="AF53" s="965">
        <f t="shared" si="21"/>
        <v>0</v>
      </c>
      <c r="AG53" s="965" t="str">
        <f t="shared" si="21"/>
        <v/>
      </c>
      <c r="AH53" s="965">
        <f t="shared" si="21"/>
        <v>0</v>
      </c>
      <c r="AI53" s="965" t="str">
        <f t="shared" si="21"/>
        <v/>
      </c>
      <c r="AJ53" s="965">
        <f t="shared" si="21"/>
        <v>0</v>
      </c>
      <c r="AK53" s="965" t="str">
        <f t="shared" si="21"/>
        <v/>
      </c>
      <c r="AL53" s="965">
        <f t="shared" si="21"/>
        <v>0</v>
      </c>
      <c r="AM53" s="965" t="str">
        <f t="shared" si="21"/>
        <v/>
      </c>
      <c r="AN53" s="965">
        <f t="shared" si="21"/>
        <v>0</v>
      </c>
      <c r="AO53" s="965" t="str">
        <f t="shared" si="21"/>
        <v/>
      </c>
      <c r="AP53" s="965">
        <f t="shared" si="22"/>
        <v>0</v>
      </c>
      <c r="AQ53" s="965" t="str">
        <f t="shared" si="22"/>
        <v/>
      </c>
      <c r="AR53" s="965">
        <f t="shared" si="22"/>
        <v>0</v>
      </c>
      <c r="AS53" s="965" t="str">
        <f t="shared" si="22"/>
        <v/>
      </c>
      <c r="AT53" s="965">
        <f t="shared" si="22"/>
        <v>0</v>
      </c>
      <c r="AU53" s="965" t="str">
        <f t="shared" si="22"/>
        <v/>
      </c>
      <c r="AV53" s="965">
        <f t="shared" si="22"/>
        <v>0</v>
      </c>
    </row>
    <row r="54" spans="1:50" ht="26.25" hidden="1" customHeight="1">
      <c r="A54" s="1527" t="s">
        <v>37</v>
      </c>
      <c r="B54" s="1527"/>
      <c r="C54" s="1527"/>
      <c r="D54" s="986"/>
      <c r="E54" s="987"/>
      <c r="F54" s="987"/>
      <c r="G54" s="987"/>
      <c r="H54" s="987"/>
      <c r="I54" s="987"/>
      <c r="J54" s="987"/>
      <c r="K54" s="987"/>
      <c r="L54" s="987"/>
      <c r="M54" s="987"/>
      <c r="N54" s="987"/>
      <c r="O54" s="987"/>
      <c r="P54" s="987"/>
      <c r="Q54" s="987"/>
      <c r="R54" s="987"/>
      <c r="S54" s="987"/>
      <c r="T54" s="987"/>
      <c r="U54" s="987"/>
      <c r="V54" s="1528"/>
      <c r="W54" s="1529"/>
      <c r="X54" s="963"/>
      <c r="Y54" s="986"/>
      <c r="Z54" s="988"/>
      <c r="AA54" s="989"/>
      <c r="AB54" s="1530"/>
      <c r="AC54" s="1531"/>
      <c r="AD54" s="935"/>
      <c r="AE54" s="935"/>
      <c r="AF54" s="965">
        <f t="shared" ref="AF54:AM54" si="23">SUM(AF52:AF53)</f>
        <v>0</v>
      </c>
      <c r="AG54" s="965">
        <f t="shared" si="23"/>
        <v>0</v>
      </c>
      <c r="AH54" s="965">
        <f t="shared" si="23"/>
        <v>0</v>
      </c>
      <c r="AI54" s="965">
        <f t="shared" si="23"/>
        <v>0</v>
      </c>
      <c r="AJ54" s="965">
        <f t="shared" si="23"/>
        <v>0</v>
      </c>
      <c r="AK54" s="965">
        <f t="shared" si="23"/>
        <v>0</v>
      </c>
      <c r="AL54" s="965">
        <f t="shared" si="23"/>
        <v>0</v>
      </c>
      <c r="AM54" s="965">
        <f t="shared" si="23"/>
        <v>0</v>
      </c>
      <c r="AN54" s="965">
        <f t="shared" ref="AN54:AV54" si="24">SUM(AN52:AN53)</f>
        <v>0</v>
      </c>
      <c r="AO54" s="965">
        <f t="shared" si="24"/>
        <v>0</v>
      </c>
      <c r="AP54" s="965">
        <f t="shared" si="24"/>
        <v>0</v>
      </c>
      <c r="AQ54" s="965">
        <f t="shared" si="24"/>
        <v>0</v>
      </c>
      <c r="AR54" s="965">
        <f t="shared" si="24"/>
        <v>0</v>
      </c>
      <c r="AS54" s="965">
        <f t="shared" si="24"/>
        <v>0</v>
      </c>
      <c r="AT54" s="965">
        <f t="shared" si="24"/>
        <v>0</v>
      </c>
      <c r="AU54" s="965">
        <f t="shared" si="24"/>
        <v>0</v>
      </c>
      <c r="AV54" s="965">
        <f t="shared" si="24"/>
        <v>0</v>
      </c>
    </row>
    <row r="55" spans="1:50" ht="28.5" hidden="1" customHeight="1" thickBot="1">
      <c r="A55" s="1532"/>
      <c r="B55" s="1532"/>
      <c r="C55" s="1532"/>
      <c r="D55" s="990"/>
      <c r="E55" s="991"/>
      <c r="F55" s="991"/>
      <c r="G55" s="991"/>
      <c r="H55" s="991"/>
      <c r="I55" s="991"/>
      <c r="J55" s="991"/>
      <c r="K55" s="991"/>
      <c r="L55" s="991"/>
      <c r="M55" s="991"/>
      <c r="N55" s="991"/>
      <c r="O55" s="991"/>
      <c r="P55" s="991"/>
      <c r="Q55" s="991"/>
      <c r="R55" s="991"/>
      <c r="S55" s="991"/>
      <c r="T55" s="991"/>
      <c r="U55" s="991"/>
      <c r="V55" s="1533"/>
      <c r="W55" s="1533"/>
      <c r="X55" s="992"/>
      <c r="Y55" s="993"/>
      <c r="Z55" s="993"/>
      <c r="AA55" s="992"/>
      <c r="AB55" s="1533"/>
      <c r="AC55" s="1533"/>
      <c r="AD55" s="991"/>
      <c r="AE55" s="991"/>
      <c r="AF55" s="994"/>
      <c r="AG55" s="994"/>
      <c r="AH55" s="994"/>
      <c r="AI55" s="994"/>
      <c r="AJ55" s="994"/>
      <c r="AK55" s="994"/>
      <c r="AL55" s="994"/>
      <c r="AM55" s="994"/>
      <c r="AN55" s="994"/>
      <c r="AO55" s="994"/>
      <c r="AP55" s="994"/>
      <c r="AQ55" s="994"/>
      <c r="AR55" s="994"/>
      <c r="AS55" s="994"/>
      <c r="AT55" s="994"/>
      <c r="AU55" s="994"/>
      <c r="AV55" s="994"/>
    </row>
    <row r="56" spans="1:50" ht="39.9" customHeight="1" thickTop="1">
      <c r="A56" s="1511" t="s">
        <v>42</v>
      </c>
      <c r="B56" s="1512"/>
      <c r="C56" s="1513"/>
      <c r="D56" s="995"/>
      <c r="E56" s="996"/>
      <c r="F56" s="996"/>
      <c r="G56" s="996"/>
      <c r="H56" s="996"/>
      <c r="I56" s="996"/>
      <c r="J56" s="996"/>
      <c r="K56" s="996"/>
      <c r="L56" s="996"/>
      <c r="M56" s="996"/>
      <c r="N56" s="996"/>
      <c r="O56" s="996"/>
      <c r="P56" s="996"/>
      <c r="Q56" s="996"/>
      <c r="R56" s="996"/>
      <c r="S56" s="996"/>
      <c r="T56" s="996"/>
      <c r="U56" s="996"/>
      <c r="V56" s="1514"/>
      <c r="W56" s="1514"/>
      <c r="X56" s="997">
        <f>SUM(X44,X48)</f>
        <v>0</v>
      </c>
      <c r="Y56" s="998">
        <v>2.58E-2</v>
      </c>
      <c r="Z56" s="999"/>
      <c r="AA56" s="1000">
        <f>X56*Y56</f>
        <v>0</v>
      </c>
      <c r="AB56" s="1515"/>
      <c r="AC56" s="1515"/>
      <c r="AD56" s="1001"/>
      <c r="AE56" s="1001"/>
      <c r="AF56" s="1002">
        <f>AF10+AF14+AF13+AF19+AF32+AF48+AF49+AF50</f>
        <v>0</v>
      </c>
      <c r="AG56" s="1002">
        <f t="shared" ref="AG56:AV56" si="25">AG10+AG14+AG13+AG19+AG32+AG48+AG49+AG50</f>
        <v>0</v>
      </c>
      <c r="AH56" s="1002">
        <f t="shared" si="25"/>
        <v>0</v>
      </c>
      <c r="AI56" s="1002">
        <f t="shared" si="25"/>
        <v>0</v>
      </c>
      <c r="AJ56" s="1002">
        <f t="shared" si="25"/>
        <v>0</v>
      </c>
      <c r="AK56" s="1002">
        <f t="shared" si="25"/>
        <v>0</v>
      </c>
      <c r="AL56" s="1002">
        <f t="shared" si="25"/>
        <v>0</v>
      </c>
      <c r="AM56" s="1002">
        <f t="shared" si="25"/>
        <v>0</v>
      </c>
      <c r="AN56" s="1002">
        <f t="shared" si="25"/>
        <v>0</v>
      </c>
      <c r="AO56" s="1002">
        <f t="shared" si="25"/>
        <v>0</v>
      </c>
      <c r="AP56" s="1002">
        <f t="shared" si="25"/>
        <v>0</v>
      </c>
      <c r="AQ56" s="1002">
        <f t="shared" si="25"/>
        <v>0</v>
      </c>
      <c r="AR56" s="1002">
        <f t="shared" si="25"/>
        <v>0</v>
      </c>
      <c r="AS56" s="1002">
        <f t="shared" si="25"/>
        <v>0</v>
      </c>
      <c r="AT56" s="1002">
        <f t="shared" si="25"/>
        <v>0</v>
      </c>
      <c r="AU56" s="1002">
        <f t="shared" si="25"/>
        <v>0</v>
      </c>
      <c r="AV56" s="1002">
        <f t="shared" si="25"/>
        <v>0</v>
      </c>
      <c r="AW56" s="1516"/>
      <c r="AX56" s="1517"/>
    </row>
    <row r="57" spans="1:50" ht="92.25" customHeight="1">
      <c r="D57" s="1003" t="s">
        <v>2327</v>
      </c>
      <c r="AA57" t="s">
        <v>2328</v>
      </c>
    </row>
    <row r="58" spans="1:50" ht="32.25" hidden="1" customHeight="1">
      <c r="A58" s="1004" t="s">
        <v>2329</v>
      </c>
    </row>
    <row r="59" spans="1:50" ht="21.75" hidden="1" customHeight="1">
      <c r="A59" s="1518" t="s">
        <v>2303</v>
      </c>
      <c r="B59" s="1519"/>
      <c r="C59" s="1520"/>
      <c r="D59" s="1005" t="s">
        <v>2330</v>
      </c>
      <c r="E59" s="941"/>
      <c r="F59" s="941"/>
      <c r="G59" s="941"/>
      <c r="H59" s="941"/>
      <c r="I59" s="941"/>
      <c r="J59" s="941"/>
      <c r="K59" s="941"/>
      <c r="L59" s="941"/>
      <c r="M59" s="941"/>
      <c r="N59" s="941"/>
      <c r="O59" s="941"/>
      <c r="P59" s="941"/>
      <c r="Q59" s="1006"/>
      <c r="R59" s="1006"/>
      <c r="S59" s="1006"/>
      <c r="T59" s="1006"/>
      <c r="U59" s="1006"/>
      <c r="V59" s="1007"/>
      <c r="W59" s="1007"/>
      <c r="X59" s="1008"/>
      <c r="Z59" s="1009"/>
      <c r="AA59" s="1008"/>
      <c r="AB59" s="1007"/>
      <c r="AC59" s="1007"/>
      <c r="AD59" s="1010"/>
      <c r="AE59" s="1011"/>
      <c r="AF59" s="1012"/>
      <c r="AG59" s="1012"/>
      <c r="AH59" s="1012"/>
      <c r="AI59" s="1012"/>
      <c r="AJ59" s="1012"/>
      <c r="AK59" s="1012"/>
      <c r="AL59" s="1012"/>
      <c r="AM59" s="1012"/>
      <c r="AN59" s="1012"/>
      <c r="AO59" s="1012"/>
      <c r="AP59" s="1012"/>
      <c r="AQ59" s="1012"/>
      <c r="AR59" s="1012"/>
      <c r="AS59" s="1012"/>
      <c r="AT59" s="1012"/>
      <c r="AU59" s="1012"/>
      <c r="AV59" s="1012"/>
    </row>
    <row r="60" spans="1:50" ht="21.75" hidden="1" customHeight="1">
      <c r="A60" s="1521"/>
      <c r="B60" s="1522"/>
      <c r="C60" s="1523"/>
      <c r="D60" s="1005" t="s">
        <v>2331</v>
      </c>
      <c r="E60" s="941"/>
      <c r="F60" s="941"/>
      <c r="G60" s="941"/>
      <c r="H60" s="941"/>
      <c r="I60" s="941"/>
      <c r="J60" s="941"/>
      <c r="K60" s="941"/>
      <c r="L60" s="941"/>
      <c r="M60" s="941"/>
      <c r="N60" s="941"/>
      <c r="O60" s="941"/>
      <c r="P60" s="941"/>
      <c r="Q60" s="1006"/>
      <c r="R60" s="1006"/>
      <c r="S60" s="1006"/>
      <c r="T60" s="1006"/>
      <c r="U60" s="1006"/>
      <c r="V60" s="1007"/>
      <c r="W60" s="1007"/>
      <c r="X60" s="1008"/>
      <c r="Z60" s="1009"/>
      <c r="AA60" s="1008"/>
      <c r="AB60" s="1007"/>
      <c r="AC60" s="1007"/>
      <c r="AD60" s="1010"/>
      <c r="AE60" s="1011"/>
      <c r="AF60" s="1012"/>
      <c r="AG60" s="1012"/>
      <c r="AH60" s="1012"/>
      <c r="AI60" s="1012"/>
      <c r="AJ60" s="1012"/>
      <c r="AK60" s="1012"/>
      <c r="AL60" s="1012"/>
      <c r="AM60" s="1012"/>
      <c r="AN60" s="1012"/>
      <c r="AO60" s="1012"/>
      <c r="AP60" s="1012"/>
      <c r="AQ60" s="1012"/>
      <c r="AR60" s="1012"/>
      <c r="AS60" s="1012"/>
      <c r="AT60" s="1012"/>
      <c r="AU60" s="1012"/>
      <c r="AV60" s="1012"/>
    </row>
    <row r="61" spans="1:50" ht="21.75" hidden="1" customHeight="1">
      <c r="A61" s="1524"/>
      <c r="B61" s="1525"/>
      <c r="C61" s="1526"/>
      <c r="D61" s="1005" t="s">
        <v>2332</v>
      </c>
      <c r="E61" s="941"/>
      <c r="F61" s="941"/>
      <c r="G61" s="941"/>
      <c r="H61" s="941"/>
      <c r="I61" s="941"/>
      <c r="J61" s="941"/>
      <c r="K61" s="941"/>
      <c r="L61" s="941"/>
      <c r="M61" s="941"/>
      <c r="N61" s="941"/>
      <c r="O61" s="941"/>
      <c r="P61" s="941"/>
      <c r="Q61" s="1006"/>
      <c r="R61" s="1006"/>
      <c r="S61" s="1006"/>
      <c r="T61" s="1006"/>
      <c r="U61" s="1006"/>
      <c r="V61" s="1007"/>
      <c r="W61" s="1007"/>
      <c r="X61" s="1008"/>
      <c r="Z61" s="1009"/>
      <c r="AA61" s="1008"/>
      <c r="AB61" s="1007"/>
      <c r="AC61" s="1007"/>
      <c r="AD61" s="1010"/>
      <c r="AE61" s="1011"/>
      <c r="AF61" s="1012"/>
      <c r="AG61" s="1012"/>
      <c r="AH61" s="1012"/>
      <c r="AI61" s="1012"/>
      <c r="AJ61" s="1012"/>
      <c r="AK61" s="1012"/>
      <c r="AL61" s="1012"/>
      <c r="AM61" s="1012"/>
      <c r="AN61" s="1012"/>
      <c r="AO61" s="1012"/>
      <c r="AP61" s="1012"/>
      <c r="AQ61" s="1012"/>
      <c r="AR61" s="1012"/>
      <c r="AS61" s="1012"/>
      <c r="AT61" s="1012"/>
      <c r="AU61" s="1012"/>
      <c r="AV61" s="1012"/>
    </row>
    <row r="62" spans="1:50" ht="21.75" hidden="1" customHeight="1">
      <c r="A62" s="941"/>
      <c r="B62" s="941"/>
      <c r="C62" s="941"/>
      <c r="D62" s="941"/>
      <c r="E62" s="941"/>
      <c r="F62" s="941"/>
      <c r="G62" s="941"/>
      <c r="H62" s="941"/>
      <c r="I62" s="941"/>
      <c r="J62" s="941"/>
      <c r="K62" s="941"/>
      <c r="L62" s="941"/>
      <c r="M62" s="941"/>
      <c r="N62" s="941"/>
      <c r="O62" s="941"/>
      <c r="P62" s="941"/>
      <c r="Q62" s="1006"/>
      <c r="R62" s="1006"/>
      <c r="S62" s="1006"/>
      <c r="T62" s="1006"/>
      <c r="U62" s="1006"/>
      <c r="V62" s="1007"/>
      <c r="W62" s="1007"/>
      <c r="X62" s="1008"/>
      <c r="Z62" s="1009"/>
      <c r="AA62" s="1008"/>
      <c r="AB62" s="1007"/>
      <c r="AC62" s="1007"/>
      <c r="AD62" s="1010"/>
      <c r="AE62" s="1011"/>
      <c r="AF62" s="1012"/>
      <c r="AG62" s="1012"/>
      <c r="AH62" s="1012"/>
      <c r="AI62" s="1012"/>
      <c r="AJ62" s="1012"/>
      <c r="AK62" s="1012"/>
      <c r="AL62" s="1012"/>
      <c r="AM62" s="1012"/>
      <c r="AN62" s="1012"/>
      <c r="AO62" s="1012"/>
      <c r="AP62" s="1012"/>
      <c r="AQ62" s="1012"/>
      <c r="AR62" s="1012"/>
      <c r="AS62" s="1012"/>
      <c r="AT62" s="1012"/>
      <c r="AU62" s="1012"/>
      <c r="AV62" s="1012"/>
    </row>
    <row r="63" spans="1:50" ht="21.75" hidden="1" customHeight="1">
      <c r="A63" s="941"/>
      <c r="B63" s="941"/>
      <c r="C63" s="941"/>
      <c r="D63" s="941"/>
      <c r="E63" s="941"/>
      <c r="F63" s="941"/>
      <c r="G63" s="941"/>
      <c r="H63" s="941"/>
      <c r="I63" s="941"/>
      <c r="J63" s="941"/>
      <c r="K63" s="941"/>
      <c r="L63" s="941"/>
      <c r="M63" s="941"/>
      <c r="N63" s="941"/>
      <c r="O63" s="941"/>
      <c r="P63" s="941"/>
      <c r="Q63" s="1006"/>
      <c r="R63" s="1006"/>
      <c r="S63" s="1006"/>
      <c r="T63" s="1006"/>
      <c r="U63" s="1006"/>
      <c r="V63" s="1007"/>
      <c r="W63" s="1007"/>
      <c r="X63" s="1008"/>
      <c r="Z63" s="1009"/>
      <c r="AA63" s="1008"/>
      <c r="AB63" s="1007"/>
      <c r="AC63" s="1007"/>
      <c r="AD63" s="1010"/>
      <c r="AE63" s="1011"/>
      <c r="AF63" s="1012"/>
      <c r="AG63" s="1012"/>
      <c r="AH63" s="1012"/>
      <c r="AI63" s="1012"/>
      <c r="AJ63" s="1012"/>
      <c r="AK63" s="1012"/>
      <c r="AL63" s="1012"/>
      <c r="AM63" s="1012"/>
      <c r="AN63" s="1012"/>
      <c r="AO63" s="1012"/>
      <c r="AP63" s="1012"/>
      <c r="AQ63" s="1012"/>
      <c r="AR63" s="1012"/>
      <c r="AS63" s="1012"/>
      <c r="AT63" s="1012"/>
      <c r="AU63" s="1012"/>
      <c r="AV63" s="1012"/>
    </row>
    <row r="64" spans="1:50" ht="21.75" hidden="1" customHeight="1">
      <c r="A64" s="941"/>
      <c r="B64" s="941"/>
      <c r="C64" s="941"/>
      <c r="D64" s="941"/>
      <c r="E64" s="941"/>
      <c r="F64" s="941"/>
      <c r="G64" s="941"/>
      <c r="H64" s="941"/>
      <c r="I64" s="941"/>
      <c r="J64" s="941"/>
      <c r="K64" s="941"/>
      <c r="L64" s="941"/>
      <c r="M64" s="941"/>
      <c r="N64" s="941"/>
      <c r="O64" s="941"/>
      <c r="P64" s="941"/>
      <c r="Q64" s="1006"/>
      <c r="R64" s="1006"/>
      <c r="S64" s="1006"/>
      <c r="T64" s="1006"/>
      <c r="U64" s="1006"/>
      <c r="V64" s="1007"/>
      <c r="W64" s="1007"/>
      <c r="X64" s="1008"/>
      <c r="Z64" s="1009"/>
      <c r="AA64" s="1008"/>
      <c r="AB64" s="1007"/>
      <c r="AC64" s="1007"/>
      <c r="AD64" s="1010"/>
      <c r="AE64" s="1011"/>
      <c r="AF64" s="1012"/>
      <c r="AG64" s="1012"/>
      <c r="AH64" s="1012"/>
      <c r="AI64" s="1012"/>
      <c r="AJ64" s="1012"/>
      <c r="AK64" s="1012"/>
      <c r="AL64" s="1012"/>
      <c r="AM64" s="1012"/>
      <c r="AN64" s="1012"/>
      <c r="AO64" s="1012"/>
      <c r="AP64" s="1012"/>
      <c r="AQ64" s="1012"/>
      <c r="AR64" s="1012"/>
      <c r="AS64" s="1012"/>
      <c r="AT64" s="1012"/>
      <c r="AU64" s="1012"/>
      <c r="AV64" s="1012"/>
    </row>
    <row r="65" spans="1:48" ht="21.75" hidden="1" customHeight="1">
      <c r="A65" s="941"/>
      <c r="B65" s="941"/>
      <c r="C65" s="941"/>
      <c r="D65" s="941"/>
      <c r="E65" s="941"/>
      <c r="F65" s="941"/>
      <c r="G65" s="941"/>
      <c r="H65" s="941"/>
      <c r="I65" s="941"/>
      <c r="J65" s="941"/>
      <c r="K65" s="941"/>
      <c r="L65" s="941"/>
      <c r="M65" s="941"/>
      <c r="N65" s="941"/>
      <c r="O65" s="941"/>
      <c r="P65" s="941"/>
      <c r="Q65" s="1006"/>
      <c r="R65" s="1006"/>
      <c r="S65" s="1006"/>
      <c r="T65" s="1006"/>
      <c r="U65" s="1006"/>
      <c r="V65" s="1007"/>
      <c r="W65" s="1007"/>
      <c r="X65" s="1008"/>
      <c r="Z65" s="1009"/>
      <c r="AA65" s="1008"/>
      <c r="AB65" s="1007"/>
      <c r="AC65" s="1007"/>
      <c r="AD65" s="1010"/>
      <c r="AE65" s="1011"/>
      <c r="AF65" s="1012"/>
      <c r="AG65" s="1012"/>
      <c r="AH65" s="1012"/>
      <c r="AI65" s="1012"/>
      <c r="AJ65" s="1012"/>
      <c r="AK65" s="1012"/>
      <c r="AL65" s="1012"/>
      <c r="AM65" s="1012"/>
      <c r="AN65" s="1012"/>
      <c r="AO65" s="1012"/>
      <c r="AP65" s="1012"/>
      <c r="AQ65" s="1012"/>
      <c r="AR65" s="1012"/>
      <c r="AS65" s="1012"/>
      <c r="AT65" s="1012"/>
      <c r="AU65" s="1012"/>
      <c r="AV65" s="1012"/>
    </row>
    <row r="66" spans="1:48" ht="21.75" hidden="1" customHeight="1">
      <c r="A66" s="941"/>
      <c r="B66" s="941"/>
      <c r="C66" s="941"/>
      <c r="D66" s="941"/>
      <c r="E66" s="941"/>
      <c r="F66" s="941"/>
      <c r="G66" s="941"/>
      <c r="H66" s="941"/>
      <c r="I66" s="941"/>
      <c r="J66" s="941"/>
      <c r="K66" s="941"/>
      <c r="L66" s="941"/>
      <c r="M66" s="941"/>
      <c r="N66" s="941"/>
      <c r="O66" s="941"/>
      <c r="P66" s="941"/>
      <c r="Q66" s="1006"/>
      <c r="R66" s="1006"/>
      <c r="S66" s="1006"/>
      <c r="T66" s="1006"/>
      <c r="U66" s="1006"/>
      <c r="V66" s="1007"/>
      <c r="W66" s="1007"/>
      <c r="X66" s="1008"/>
      <c r="Z66" s="1009"/>
      <c r="AA66" s="1008"/>
      <c r="AB66" s="1007"/>
      <c r="AC66" s="1007"/>
      <c r="AD66" s="1010"/>
      <c r="AE66" s="1011"/>
      <c r="AF66" s="1012"/>
      <c r="AG66" s="1012"/>
      <c r="AH66" s="1012"/>
      <c r="AI66" s="1012"/>
      <c r="AJ66" s="1012"/>
      <c r="AK66" s="1012"/>
      <c r="AL66" s="1012"/>
      <c r="AM66" s="1012"/>
      <c r="AN66" s="1012"/>
      <c r="AO66" s="1012"/>
      <c r="AP66" s="1012"/>
      <c r="AQ66" s="1012"/>
      <c r="AR66" s="1012"/>
      <c r="AS66" s="1012"/>
      <c r="AT66" s="1012"/>
      <c r="AU66" s="1012"/>
      <c r="AV66" s="1012"/>
    </row>
    <row r="67" spans="1:48" ht="21.75" hidden="1" customHeight="1">
      <c r="A67" s="941"/>
      <c r="B67" s="941"/>
      <c r="C67" s="941"/>
      <c r="D67" s="941"/>
      <c r="E67" s="941"/>
      <c r="F67" s="941"/>
      <c r="G67" s="941"/>
      <c r="H67" s="941"/>
      <c r="I67" s="941"/>
      <c r="J67" s="941"/>
      <c r="K67" s="941"/>
      <c r="L67" s="941"/>
      <c r="M67" s="941"/>
      <c r="N67" s="941"/>
      <c r="O67" s="941"/>
      <c r="P67" s="941"/>
      <c r="Q67" s="1006"/>
      <c r="R67" s="1006"/>
      <c r="S67" s="1006"/>
      <c r="T67" s="1006"/>
      <c r="U67" s="1006"/>
      <c r="V67" s="1007"/>
      <c r="W67" s="1007"/>
      <c r="X67" s="1008"/>
      <c r="Z67" s="1009"/>
      <c r="AA67" s="1008"/>
      <c r="AB67" s="1007"/>
      <c r="AC67" s="1007"/>
      <c r="AD67" s="1010"/>
      <c r="AE67" s="1011"/>
      <c r="AF67" s="1012"/>
      <c r="AG67" s="1012"/>
      <c r="AH67" s="1012"/>
      <c r="AI67" s="1012"/>
      <c r="AJ67" s="1012"/>
      <c r="AK67" s="1012"/>
      <c r="AL67" s="1012"/>
      <c r="AM67" s="1012"/>
      <c r="AN67" s="1012"/>
      <c r="AO67" s="1012"/>
      <c r="AP67" s="1012"/>
      <c r="AQ67" s="1012"/>
      <c r="AR67" s="1012"/>
      <c r="AS67" s="1012"/>
      <c r="AT67" s="1012"/>
      <c r="AU67" s="1012"/>
      <c r="AV67" s="1012"/>
    </row>
  </sheetData>
  <sheetProtection algorithmName="SHA-512" hashValue="mFCpdmj4qSgpCA9m86ZNd+2BFDUyJG754Wcprvtjc3gmbpb+H1rFmJVkxoX1c3X12zmg0v1oHlk9835TBm7PbA==" saltValue="iN8lbnnyUIVGnVVYwFPJSg==" spinCount="100000" sheet="1" objects="1" scenarios="1" formatCells="0"/>
  <mergeCells count="101">
    <mergeCell ref="D3:O3"/>
    <mergeCell ref="A5:C7"/>
    <mergeCell ref="D5:U5"/>
    <mergeCell ref="V5:W5"/>
    <mergeCell ref="AB5:AC5"/>
    <mergeCell ref="AF5:AV5"/>
    <mergeCell ref="AW5:AX5"/>
    <mergeCell ref="A8:C8"/>
    <mergeCell ref="Y8:Y43"/>
    <mergeCell ref="A9:C9"/>
    <mergeCell ref="A10:C10"/>
    <mergeCell ref="AW10:AX10"/>
    <mergeCell ref="A11:C11"/>
    <mergeCell ref="AW11:AX11"/>
    <mergeCell ref="A12:C12"/>
    <mergeCell ref="AW12:AX12"/>
    <mergeCell ref="A16:C16"/>
    <mergeCell ref="AW16:AX16"/>
    <mergeCell ref="A17:C17"/>
    <mergeCell ref="AW17:AX17"/>
    <mergeCell ref="A18:C18"/>
    <mergeCell ref="AW18:AX18"/>
    <mergeCell ref="A13:C13"/>
    <mergeCell ref="AW13:AX13"/>
    <mergeCell ref="A14:C14"/>
    <mergeCell ref="AW14:AX14"/>
    <mergeCell ref="A15:C15"/>
    <mergeCell ref="AW15:AX15"/>
    <mergeCell ref="A19:C20"/>
    <mergeCell ref="AW19:AX19"/>
    <mergeCell ref="AW20:AX20"/>
    <mergeCell ref="AW21:AX21"/>
    <mergeCell ref="A22:A23"/>
    <mergeCell ref="B22:C22"/>
    <mergeCell ref="AW22:AX22"/>
    <mergeCell ref="B23:C23"/>
    <mergeCell ref="AW23:AX23"/>
    <mergeCell ref="A27:C27"/>
    <mergeCell ref="AW27:AX27"/>
    <mergeCell ref="A28:C28"/>
    <mergeCell ref="AW28:AX28"/>
    <mergeCell ref="A29:C29"/>
    <mergeCell ref="AW29:AX29"/>
    <mergeCell ref="A24:A26"/>
    <mergeCell ref="B24:C24"/>
    <mergeCell ref="AW24:AX24"/>
    <mergeCell ref="B25:C25"/>
    <mergeCell ref="AW25:AX25"/>
    <mergeCell ref="B26:C26"/>
    <mergeCell ref="AW26:AX26"/>
    <mergeCell ref="AW33:AX33"/>
    <mergeCell ref="AW34:AX34"/>
    <mergeCell ref="AW35:AX35"/>
    <mergeCell ref="AW36:AX36"/>
    <mergeCell ref="AW37:AX37"/>
    <mergeCell ref="AW38:AX38"/>
    <mergeCell ref="A30:C30"/>
    <mergeCell ref="AW30:AX30"/>
    <mergeCell ref="A31:C31"/>
    <mergeCell ref="AW31:AX31"/>
    <mergeCell ref="A32:C32"/>
    <mergeCell ref="AW32:AX32"/>
    <mergeCell ref="A43:C43"/>
    <mergeCell ref="AW43:AX43"/>
    <mergeCell ref="A44:C44"/>
    <mergeCell ref="V44:W44"/>
    <mergeCell ref="AB44:AC44"/>
    <mergeCell ref="AW44:AX44"/>
    <mergeCell ref="AW39:AX39"/>
    <mergeCell ref="A40:C40"/>
    <mergeCell ref="AW40:AX40"/>
    <mergeCell ref="A41:C41"/>
    <mergeCell ref="AW41:AX41"/>
    <mergeCell ref="A42:C42"/>
    <mergeCell ref="AW42:AX42"/>
    <mergeCell ref="A51:C51"/>
    <mergeCell ref="V51:W51"/>
    <mergeCell ref="AB51:AC51"/>
    <mergeCell ref="A52:C52"/>
    <mergeCell ref="V52:W52"/>
    <mergeCell ref="A53:C53"/>
    <mergeCell ref="V53:W53"/>
    <mergeCell ref="AW45:AX45"/>
    <mergeCell ref="A46:A47"/>
    <mergeCell ref="Y46:Y50"/>
    <mergeCell ref="AW46:AX46"/>
    <mergeCell ref="AW47:AX47"/>
    <mergeCell ref="A48:C48"/>
    <mergeCell ref="V49:W49"/>
    <mergeCell ref="V50:W50"/>
    <mergeCell ref="A56:C56"/>
    <mergeCell ref="V56:W56"/>
    <mergeCell ref="AB56:AC56"/>
    <mergeCell ref="AW56:AX56"/>
    <mergeCell ref="A59:C61"/>
    <mergeCell ref="A54:C54"/>
    <mergeCell ref="V54:W54"/>
    <mergeCell ref="AB54:AC54"/>
    <mergeCell ref="A55:C55"/>
    <mergeCell ref="V55:W55"/>
    <mergeCell ref="AB55:AC55"/>
  </mergeCells>
  <phoneticPr fontId="5"/>
  <conditionalFormatting sqref="A49:A50">
    <cfRule type="containsBlanks" dxfId="84" priority="4">
      <formula>LEN(TRIM(A49))=0</formula>
    </cfRule>
  </conditionalFormatting>
  <conditionalFormatting sqref="D3">
    <cfRule type="containsBlanks" dxfId="83" priority="7" stopIfTrue="1">
      <formula>LEN(TRIM(D3))=0</formula>
    </cfRule>
    <cfRule type="containsBlanks" dxfId="82" priority="8" stopIfTrue="1">
      <formula>LEN(TRIM(D3))=0</formula>
    </cfRule>
  </conditionalFormatting>
  <conditionalFormatting sqref="D49:D50">
    <cfRule type="containsBlanks" dxfId="81" priority="2">
      <formula>LEN(TRIM(D49))=0</formula>
    </cfRule>
  </conditionalFormatting>
  <conditionalFormatting sqref="AB37:AB39">
    <cfRule type="cellIs" dxfId="80" priority="9" stopIfTrue="1" operator="equal">
      <formula>0</formula>
    </cfRule>
  </conditionalFormatting>
  <conditionalFormatting sqref="AW48:AW50">
    <cfRule type="containsBlanks" dxfId="79" priority="1">
      <formula>LEN(TRIM(AW48))=0</formula>
    </cfRule>
  </conditionalFormatting>
  <pageMargins left="0.78740157480314965" right="0.59055118110236227" top="0.78740157480314965" bottom="0.59055118110236227" header="0.31496062992125984" footer="0.31496062992125984"/>
  <pageSetup paperSize="9" scale="32" fitToHeight="0" orientation="portrait" r:id="rId1"/>
  <headerFooter>
    <oddHeader>&amp;R&amp;8ver.4.01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442DB-63F5-4494-8DEE-846D20141402}">
  <sheetPr codeName="Sheet23">
    <tabColor theme="0" tint="-0.34998626667073579"/>
    <pageSetUpPr fitToPage="1"/>
  </sheetPr>
  <dimension ref="B2:CC80"/>
  <sheetViews>
    <sheetView showGridLines="0" view="pageBreakPreview" topLeftCell="A30" zoomScale="85" zoomScaleNormal="100" zoomScaleSheetLayoutView="85" workbookViewId="0">
      <selection activeCell="L62" sqref="L62"/>
    </sheetView>
  </sheetViews>
  <sheetFormatPr defaultColWidth="8.08203125" defaultRowHeight="13"/>
  <cols>
    <col min="1" max="1" width="1.33203125" style="772" customWidth="1"/>
    <col min="2" max="2" width="3" style="772" customWidth="1"/>
    <col min="3" max="3" width="12.33203125" style="772" customWidth="1"/>
    <col min="4" max="4" width="11.5" style="772" customWidth="1"/>
    <col min="5" max="5" width="12.4140625" style="772" customWidth="1"/>
    <col min="6" max="6" width="5.58203125" style="772" customWidth="1"/>
    <col min="7" max="14" width="6.6640625" style="772" hidden="1" customWidth="1"/>
    <col min="15" max="29" width="6.6640625" style="772" customWidth="1"/>
    <col min="30" max="30" width="6.4140625" style="772" hidden="1" customWidth="1"/>
    <col min="31" max="31" width="10.08203125" style="772" hidden="1" customWidth="1"/>
    <col min="32" max="32" width="7.08203125" style="772" hidden="1" customWidth="1"/>
    <col min="33" max="55" width="6.6640625" style="772" hidden="1" customWidth="1"/>
    <col min="56" max="59" width="8.08203125" style="772" customWidth="1"/>
    <col min="60" max="16384" width="8.08203125" style="772"/>
  </cols>
  <sheetData>
    <row r="2" spans="2:81" ht="26.25" customHeight="1">
      <c r="B2" s="770" t="s">
        <v>2333</v>
      </c>
      <c r="C2" s="771"/>
      <c r="D2" s="771"/>
      <c r="E2" s="771"/>
      <c r="F2" s="771"/>
      <c r="G2" s="771"/>
      <c r="H2" s="771"/>
      <c r="J2" s="771"/>
      <c r="K2" s="771"/>
      <c r="T2" s="773"/>
      <c r="U2" s="773"/>
      <c r="V2" s="773"/>
      <c r="W2" s="773"/>
      <c r="X2" s="773"/>
      <c r="Y2" s="773"/>
      <c r="Z2" s="773"/>
      <c r="AA2" s="773"/>
      <c r="AB2" s="773"/>
      <c r="AC2" s="773"/>
      <c r="AD2" s="771"/>
    </row>
    <row r="3" spans="2:81" ht="12.9" customHeight="1">
      <c r="B3" s="774" t="s">
        <v>2098</v>
      </c>
      <c r="C3" s="771"/>
      <c r="D3" s="771"/>
      <c r="E3" s="771"/>
      <c r="F3" s="771"/>
      <c r="G3" s="771"/>
      <c r="H3" s="771"/>
      <c r="I3" s="771"/>
      <c r="J3" s="771"/>
      <c r="K3" s="771"/>
      <c r="L3" s="771"/>
      <c r="M3" s="771"/>
      <c r="N3" s="771"/>
      <c r="O3" s="771"/>
      <c r="P3" s="771"/>
      <c r="Q3" s="771"/>
      <c r="R3" s="771"/>
      <c r="S3" s="775"/>
      <c r="T3" s="775"/>
      <c r="U3" s="775"/>
      <c r="V3" s="775"/>
      <c r="W3" s="775"/>
      <c r="Y3" s="775"/>
      <c r="Z3" s="775"/>
      <c r="AA3" s="775"/>
      <c r="AB3" s="775"/>
      <c r="AC3" s="775" t="s">
        <v>2099</v>
      </c>
      <c r="AD3" s="771"/>
    </row>
    <row r="4" spans="2:81" ht="12.9" customHeight="1">
      <c r="B4" s="771"/>
      <c r="C4" s="771"/>
      <c r="D4" s="771"/>
      <c r="E4" s="771"/>
      <c r="F4" s="771"/>
      <c r="G4" s="771"/>
      <c r="H4" s="771"/>
      <c r="N4" s="1473"/>
      <c r="O4" s="1473"/>
      <c r="P4" s="1473"/>
      <c r="Q4" s="1473"/>
      <c r="R4" s="1473"/>
      <c r="S4" s="1473"/>
      <c r="T4" s="776"/>
      <c r="U4" s="776"/>
      <c r="V4" s="776"/>
      <c r="W4" s="776"/>
      <c r="X4" s="776"/>
      <c r="Y4" s="776"/>
      <c r="Z4" s="776"/>
      <c r="AA4" s="776"/>
      <c r="AB4" s="776"/>
      <c r="AC4" s="776"/>
      <c r="AD4" s="771"/>
    </row>
    <row r="5" spans="2:81" ht="30" customHeight="1">
      <c r="B5" s="771"/>
      <c r="C5" s="1474"/>
      <c r="D5" s="1474"/>
      <c r="E5" s="1474"/>
      <c r="F5" s="1474"/>
      <c r="G5" s="1440" t="s">
        <v>2100</v>
      </c>
      <c r="H5" s="1441"/>
      <c r="I5" s="1441"/>
      <c r="J5" s="1441"/>
      <c r="K5" s="1441"/>
      <c r="L5" s="1441"/>
      <c r="M5" s="1441"/>
      <c r="N5" s="1441"/>
      <c r="O5" s="1441"/>
      <c r="P5" s="1441"/>
      <c r="Q5" s="1441"/>
      <c r="R5" s="1441"/>
      <c r="S5" s="1441"/>
      <c r="T5" s="1441"/>
      <c r="U5" s="1441"/>
      <c r="V5" s="1441"/>
      <c r="W5" s="1441"/>
      <c r="X5" s="1441"/>
      <c r="Y5" s="1441"/>
      <c r="Z5" s="1441"/>
      <c r="AA5" s="1441"/>
      <c r="AB5" s="1441"/>
      <c r="AC5" s="1442"/>
      <c r="AD5" s="777" t="s">
        <v>2101</v>
      </c>
      <c r="AE5" s="1443"/>
      <c r="AF5" s="1443"/>
      <c r="AG5" s="1444" t="s">
        <v>2102</v>
      </c>
      <c r="AH5" s="1445"/>
      <c r="AI5" s="1445"/>
      <c r="AJ5" s="1445"/>
      <c r="AK5" s="1445"/>
      <c r="AL5" s="1445"/>
      <c r="AM5" s="1445"/>
      <c r="AN5" s="1445"/>
      <c r="AO5" s="1445"/>
      <c r="AP5" s="1445"/>
      <c r="AQ5" s="1445"/>
      <c r="AR5" s="1445"/>
      <c r="AS5" s="1445"/>
      <c r="AT5" s="1445"/>
      <c r="AU5" s="1445"/>
      <c r="AV5" s="1445"/>
      <c r="AW5" s="1445"/>
      <c r="AX5" s="1445"/>
      <c r="AY5" s="1445"/>
      <c r="AZ5" s="1445"/>
      <c r="BA5" s="1445"/>
      <c r="BB5" s="1445"/>
      <c r="BC5" s="1446"/>
      <c r="BF5" s="772">
        <v>5</v>
      </c>
    </row>
    <row r="6" spans="2:81" ht="30" customHeight="1">
      <c r="B6" s="771"/>
      <c r="C6" s="1564"/>
      <c r="D6" s="1564"/>
      <c r="E6" s="1564"/>
      <c r="F6" s="778" t="s">
        <v>2103</v>
      </c>
      <c r="G6" s="779" t="s">
        <v>2104</v>
      </c>
      <c r="H6" s="779" t="s">
        <v>2105</v>
      </c>
      <c r="I6" s="779" t="s">
        <v>2106</v>
      </c>
      <c r="J6" s="779" t="s">
        <v>2107</v>
      </c>
      <c r="K6" s="779" t="s">
        <v>2108</v>
      </c>
      <c r="L6" s="779" t="s">
        <v>2109</v>
      </c>
      <c r="M6" s="779" t="s">
        <v>2110</v>
      </c>
      <c r="N6" s="779" t="s">
        <v>2111</v>
      </c>
      <c r="O6" s="779" t="s">
        <v>2112</v>
      </c>
      <c r="P6" s="779" t="s">
        <v>2113</v>
      </c>
      <c r="Q6" s="779" t="s">
        <v>2114</v>
      </c>
      <c r="R6" s="779" t="s">
        <v>2115</v>
      </c>
      <c r="S6" s="779" t="s">
        <v>2116</v>
      </c>
      <c r="T6" s="779" t="s">
        <v>2117</v>
      </c>
      <c r="U6" s="779" t="s">
        <v>2118</v>
      </c>
      <c r="V6" s="779" t="s">
        <v>2119</v>
      </c>
      <c r="W6" s="779" t="s">
        <v>2120</v>
      </c>
      <c r="X6" s="779" t="s">
        <v>2121</v>
      </c>
      <c r="Y6" s="779" t="s">
        <v>2122</v>
      </c>
      <c r="Z6" s="779" t="s">
        <v>2123</v>
      </c>
      <c r="AA6" s="779" t="s">
        <v>2124</v>
      </c>
      <c r="AB6" s="779" t="s">
        <v>2125</v>
      </c>
      <c r="AC6" s="779" t="s">
        <v>2126</v>
      </c>
      <c r="AD6" s="779" t="s">
        <v>69</v>
      </c>
      <c r="AE6" s="780" t="s">
        <v>2127</v>
      </c>
      <c r="AF6" s="780" t="s">
        <v>77</v>
      </c>
      <c r="AG6" s="779" t="s">
        <v>2128</v>
      </c>
      <c r="AH6" s="779" t="s">
        <v>2129</v>
      </c>
      <c r="AI6" s="779" t="s">
        <v>2130</v>
      </c>
      <c r="AJ6" s="779" t="s">
        <v>2131</v>
      </c>
      <c r="AK6" s="779" t="s">
        <v>2132</v>
      </c>
      <c r="AL6" s="779" t="s">
        <v>2133</v>
      </c>
      <c r="AM6" s="779" t="s">
        <v>2134</v>
      </c>
      <c r="AN6" s="779" t="s">
        <v>2135</v>
      </c>
      <c r="AO6" s="779" t="s">
        <v>2136</v>
      </c>
      <c r="AP6" s="779" t="s">
        <v>2137</v>
      </c>
      <c r="AQ6" s="779" t="s">
        <v>2138</v>
      </c>
      <c r="AR6" s="779" t="s">
        <v>2139</v>
      </c>
      <c r="AS6" s="779" t="s">
        <v>2140</v>
      </c>
      <c r="AT6" s="779" t="s">
        <v>2141</v>
      </c>
      <c r="AU6" s="779" t="s">
        <v>2142</v>
      </c>
      <c r="AV6" s="779" t="s">
        <v>2143</v>
      </c>
      <c r="AW6" s="779" t="s">
        <v>2144</v>
      </c>
      <c r="AX6" s="779" t="s">
        <v>2145</v>
      </c>
      <c r="AY6" s="779" t="s">
        <v>2146</v>
      </c>
      <c r="AZ6" s="779" t="s">
        <v>2147</v>
      </c>
      <c r="BA6" s="779" t="s">
        <v>2148</v>
      </c>
      <c r="BB6" s="779" t="s">
        <v>2149</v>
      </c>
      <c r="BC6" s="779" t="s">
        <v>2150</v>
      </c>
      <c r="BE6" s="772" t="s">
        <v>2151</v>
      </c>
      <c r="BF6"/>
      <c r="BG6"/>
      <c r="BH6"/>
      <c r="BI6"/>
      <c r="BJ6"/>
      <c r="BK6"/>
      <c r="BL6"/>
      <c r="BM6"/>
      <c r="BN6"/>
      <c r="BO6"/>
      <c r="BP6"/>
      <c r="BQ6"/>
      <c r="BR6"/>
      <c r="BS6"/>
      <c r="BT6"/>
      <c r="BU6"/>
      <c r="BV6"/>
      <c r="BW6"/>
      <c r="BX6"/>
      <c r="BY6"/>
      <c r="BZ6"/>
      <c r="CA6"/>
      <c r="CB6"/>
      <c r="CC6"/>
    </row>
    <row r="7" spans="2:81" ht="30" customHeight="1">
      <c r="B7" s="771"/>
      <c r="C7" s="1565" t="s">
        <v>32</v>
      </c>
      <c r="D7" s="1565" t="s">
        <v>2152</v>
      </c>
      <c r="E7" s="781" t="s">
        <v>2153</v>
      </c>
      <c r="F7" s="782" t="s">
        <v>2154</v>
      </c>
      <c r="G7" s="1013"/>
      <c r="H7" s="1013"/>
      <c r="I7" s="1013"/>
      <c r="J7" s="783"/>
      <c r="K7" s="783"/>
      <c r="L7" s="783"/>
      <c r="M7" s="784"/>
      <c r="N7" s="784"/>
      <c r="O7" s="784"/>
      <c r="P7" s="784"/>
      <c r="Q7" s="784"/>
      <c r="R7" s="784"/>
      <c r="S7" s="784"/>
      <c r="T7" s="784"/>
      <c r="U7" s="784"/>
      <c r="V7" s="784"/>
      <c r="W7" s="784"/>
      <c r="X7" s="784"/>
      <c r="Y7" s="784"/>
      <c r="Z7" s="784"/>
      <c r="AA7" s="784"/>
      <c r="AB7" s="784"/>
      <c r="AC7" s="784"/>
      <c r="AD7" s="777" t="s">
        <v>2155</v>
      </c>
      <c r="AE7" s="785">
        <f>IF(COUNTIF(F7,"*Nm3")&gt;0,1,VLOOKUP(E7,$BA$71:$BB$72,2,FALSE))</f>
        <v>0.96665500000000004</v>
      </c>
      <c r="AF7" s="786">
        <f>VLOOKUP($F7,$BA$60:$BB$63,2,FALSE)/VLOOKUP($AD7,$BA$60:$BB$63,2,FALSE)</f>
        <v>1000</v>
      </c>
      <c r="AG7" s="787">
        <f>ROUND($AE7*G7/$AF7,0)</f>
        <v>0</v>
      </c>
      <c r="AH7" s="787">
        <f t="shared" ref="AH7:AW8" si="0">ROUND($AE7*H7/$AF7,0)</f>
        <v>0</v>
      </c>
      <c r="AI7" s="787">
        <f t="shared" si="0"/>
        <v>0</v>
      </c>
      <c r="AJ7" s="787">
        <f t="shared" si="0"/>
        <v>0</v>
      </c>
      <c r="AK7" s="787">
        <f t="shared" si="0"/>
        <v>0</v>
      </c>
      <c r="AL7" s="787">
        <f t="shared" si="0"/>
        <v>0</v>
      </c>
      <c r="AM7" s="787">
        <f t="shared" si="0"/>
        <v>0</v>
      </c>
      <c r="AN7" s="787">
        <f t="shared" si="0"/>
        <v>0</v>
      </c>
      <c r="AO7" s="787">
        <f t="shared" si="0"/>
        <v>0</v>
      </c>
      <c r="AP7" s="787">
        <f t="shared" si="0"/>
        <v>0</v>
      </c>
      <c r="AQ7" s="787">
        <f t="shared" si="0"/>
        <v>0</v>
      </c>
      <c r="AR7" s="787">
        <f t="shared" si="0"/>
        <v>0</v>
      </c>
      <c r="AS7" s="787">
        <f t="shared" si="0"/>
        <v>0</v>
      </c>
      <c r="AT7" s="787">
        <f t="shared" si="0"/>
        <v>0</v>
      </c>
      <c r="AU7" s="787">
        <f t="shared" si="0"/>
        <v>0</v>
      </c>
      <c r="AV7" s="787">
        <f t="shared" si="0"/>
        <v>0</v>
      </c>
      <c r="AW7" s="787">
        <f t="shared" si="0"/>
        <v>0</v>
      </c>
      <c r="AX7" s="787">
        <f t="shared" ref="AX7:BC8" si="1">ROUND($AE7*X7/$AF7,0)</f>
        <v>0</v>
      </c>
      <c r="AY7" s="787">
        <f t="shared" si="1"/>
        <v>0</v>
      </c>
      <c r="AZ7" s="787">
        <f t="shared" si="1"/>
        <v>0</v>
      </c>
      <c r="BA7" s="787">
        <f t="shared" si="1"/>
        <v>0</v>
      </c>
      <c r="BB7" s="787">
        <f t="shared" si="1"/>
        <v>0</v>
      </c>
      <c r="BC7" s="787">
        <f t="shared" si="1"/>
        <v>0</v>
      </c>
      <c r="BF7"/>
      <c r="BG7"/>
      <c r="BH7"/>
      <c r="BI7"/>
      <c r="BJ7"/>
      <c r="BK7"/>
      <c r="BL7"/>
      <c r="BM7"/>
      <c r="BN7"/>
      <c r="BO7"/>
      <c r="BP7"/>
      <c r="BQ7"/>
      <c r="BR7"/>
      <c r="BS7"/>
      <c r="BT7"/>
      <c r="BU7"/>
      <c r="BV7"/>
      <c r="BW7"/>
      <c r="BX7"/>
      <c r="BY7"/>
      <c r="BZ7"/>
      <c r="CA7"/>
      <c r="CB7"/>
      <c r="CC7"/>
    </row>
    <row r="8" spans="2:81" ht="30" customHeight="1">
      <c r="B8" s="771"/>
      <c r="C8" s="1565"/>
      <c r="D8" s="1565"/>
      <c r="E8" s="781" t="s">
        <v>2156</v>
      </c>
      <c r="F8" s="782" t="s">
        <v>2154</v>
      </c>
      <c r="G8" s="1013"/>
      <c r="H8" s="1013"/>
      <c r="I8" s="1013"/>
      <c r="J8" s="783"/>
      <c r="K8" s="783"/>
      <c r="L8" s="783"/>
      <c r="M8" s="784"/>
      <c r="N8" s="784"/>
      <c r="O8" s="784"/>
      <c r="P8" s="784"/>
      <c r="Q8" s="784"/>
      <c r="R8" s="784"/>
      <c r="S8" s="784"/>
      <c r="T8" s="784"/>
      <c r="U8" s="784"/>
      <c r="V8" s="784"/>
      <c r="W8" s="784"/>
      <c r="X8" s="784"/>
      <c r="Y8" s="784"/>
      <c r="Z8" s="784"/>
      <c r="AA8" s="784"/>
      <c r="AB8" s="784"/>
      <c r="AC8" s="784"/>
      <c r="AD8" s="777" t="s">
        <v>2155</v>
      </c>
      <c r="AE8" s="785">
        <f>IF(COUNTIF(F8,"*Nm3")&gt;0,1,VLOOKUP(E8,$BA$71:$BB$72,2,FALSE))</f>
        <v>0.95712200000000003</v>
      </c>
      <c r="AF8" s="786">
        <f>VLOOKUP($F8,$BA$60:$BB$63,2,FALSE)/VLOOKUP($AD8,$BA$60:$BB$63,2,FALSE)</f>
        <v>1000</v>
      </c>
      <c r="AG8" s="787">
        <f>ROUND($AE8*G8/$AF8,0)</f>
        <v>0</v>
      </c>
      <c r="AH8" s="787">
        <f t="shared" si="0"/>
        <v>0</v>
      </c>
      <c r="AI8" s="787">
        <f t="shared" si="0"/>
        <v>0</v>
      </c>
      <c r="AJ8" s="787">
        <f t="shared" si="0"/>
        <v>0</v>
      </c>
      <c r="AK8" s="787">
        <f t="shared" si="0"/>
        <v>0</v>
      </c>
      <c r="AL8" s="787">
        <f t="shared" si="0"/>
        <v>0</v>
      </c>
      <c r="AM8" s="787">
        <f t="shared" si="0"/>
        <v>0</v>
      </c>
      <c r="AN8" s="787">
        <f t="shared" si="0"/>
        <v>0</v>
      </c>
      <c r="AO8" s="787">
        <f t="shared" si="0"/>
        <v>0</v>
      </c>
      <c r="AP8" s="787">
        <f t="shared" si="0"/>
        <v>0</v>
      </c>
      <c r="AQ8" s="787">
        <f t="shared" si="0"/>
        <v>0</v>
      </c>
      <c r="AR8" s="787">
        <f t="shared" si="0"/>
        <v>0</v>
      </c>
      <c r="AS8" s="787">
        <f t="shared" si="0"/>
        <v>0</v>
      </c>
      <c r="AT8" s="787">
        <f t="shared" si="0"/>
        <v>0</v>
      </c>
      <c r="AU8" s="787">
        <f t="shared" si="0"/>
        <v>0</v>
      </c>
      <c r="AV8" s="787">
        <f t="shared" si="0"/>
        <v>0</v>
      </c>
      <c r="AW8" s="787">
        <f t="shared" si="0"/>
        <v>0</v>
      </c>
      <c r="AX8" s="787">
        <f t="shared" si="1"/>
        <v>0</v>
      </c>
      <c r="AY8" s="787">
        <f t="shared" si="1"/>
        <v>0</v>
      </c>
      <c r="AZ8" s="787">
        <f t="shared" si="1"/>
        <v>0</v>
      </c>
      <c r="BA8" s="787">
        <f t="shared" si="1"/>
        <v>0</v>
      </c>
      <c r="BB8" s="787">
        <f t="shared" si="1"/>
        <v>0</v>
      </c>
      <c r="BC8" s="787">
        <f t="shared" si="1"/>
        <v>0</v>
      </c>
      <c r="BF8"/>
      <c r="BG8"/>
      <c r="BH8"/>
      <c r="BI8"/>
      <c r="BJ8"/>
      <c r="BK8"/>
      <c r="BL8"/>
      <c r="BM8"/>
      <c r="BN8"/>
      <c r="BO8"/>
      <c r="BP8"/>
      <c r="BQ8"/>
      <c r="BR8"/>
      <c r="BS8"/>
      <c r="BT8"/>
      <c r="BU8"/>
      <c r="BV8"/>
      <c r="BW8"/>
      <c r="BX8"/>
      <c r="BY8"/>
      <c r="BZ8"/>
      <c r="CA8"/>
      <c r="CB8"/>
      <c r="CC8"/>
    </row>
    <row r="9" spans="2:81" ht="30" customHeight="1">
      <c r="B9" s="771"/>
      <c r="C9" s="1565"/>
      <c r="D9" s="788"/>
      <c r="E9" s="1464"/>
      <c r="F9" s="1465"/>
      <c r="G9" s="1465"/>
      <c r="H9" s="1465"/>
      <c r="I9" s="1465"/>
      <c r="J9" s="1465"/>
      <c r="K9" s="1465"/>
      <c r="L9" s="1465"/>
      <c r="M9" s="1465"/>
      <c r="N9" s="1465"/>
      <c r="O9" s="1465"/>
      <c r="P9" s="1465"/>
      <c r="Q9" s="1465"/>
      <c r="R9" s="1465"/>
      <c r="S9" s="1465"/>
      <c r="T9" s="1465"/>
      <c r="U9" s="1465"/>
      <c r="V9" s="1465"/>
      <c r="W9" s="1465"/>
      <c r="X9" s="1465"/>
      <c r="Y9" s="1465"/>
      <c r="Z9" s="1465"/>
      <c r="AA9" s="1465"/>
      <c r="AB9" s="1465"/>
      <c r="AC9" s="1466"/>
      <c r="AD9" s="781"/>
      <c r="AE9" s="1471"/>
      <c r="AF9" s="1471"/>
      <c r="AG9" s="786">
        <f>SUM(AG7:AG8)</f>
        <v>0</v>
      </c>
      <c r="AH9" s="786">
        <f t="shared" ref="AH9:BC9" si="2">SUM(AH7:AH8)</f>
        <v>0</v>
      </c>
      <c r="AI9" s="786">
        <f t="shared" si="2"/>
        <v>0</v>
      </c>
      <c r="AJ9" s="786">
        <f t="shared" si="2"/>
        <v>0</v>
      </c>
      <c r="AK9" s="786">
        <f t="shared" si="2"/>
        <v>0</v>
      </c>
      <c r="AL9" s="786">
        <f t="shared" si="2"/>
        <v>0</v>
      </c>
      <c r="AM9" s="786">
        <f t="shared" si="2"/>
        <v>0</v>
      </c>
      <c r="AN9" s="786">
        <f t="shared" si="2"/>
        <v>0</v>
      </c>
      <c r="AO9" s="786">
        <f t="shared" si="2"/>
        <v>0</v>
      </c>
      <c r="AP9" s="786">
        <f t="shared" si="2"/>
        <v>0</v>
      </c>
      <c r="AQ9" s="786">
        <f t="shared" si="2"/>
        <v>0</v>
      </c>
      <c r="AR9" s="786">
        <f t="shared" si="2"/>
        <v>0</v>
      </c>
      <c r="AS9" s="786">
        <f t="shared" si="2"/>
        <v>0</v>
      </c>
      <c r="AT9" s="786">
        <f t="shared" si="2"/>
        <v>0</v>
      </c>
      <c r="AU9" s="786">
        <f t="shared" si="2"/>
        <v>0</v>
      </c>
      <c r="AV9" s="786">
        <f t="shared" si="2"/>
        <v>0</v>
      </c>
      <c r="AW9" s="786">
        <f t="shared" si="2"/>
        <v>0</v>
      </c>
      <c r="AX9" s="786">
        <f t="shared" si="2"/>
        <v>0</v>
      </c>
      <c r="AY9" s="786">
        <f t="shared" si="2"/>
        <v>0</v>
      </c>
      <c r="AZ9" s="786">
        <f t="shared" si="2"/>
        <v>0</v>
      </c>
      <c r="BA9" s="786">
        <f t="shared" si="2"/>
        <v>0</v>
      </c>
      <c r="BB9" s="786">
        <f t="shared" si="2"/>
        <v>0</v>
      </c>
      <c r="BC9" s="786">
        <f t="shared" si="2"/>
        <v>0</v>
      </c>
      <c r="BF9"/>
      <c r="BG9"/>
      <c r="BH9"/>
      <c r="BI9"/>
      <c r="BJ9"/>
      <c r="BK9"/>
      <c r="BL9"/>
      <c r="BM9"/>
      <c r="BN9"/>
      <c r="BO9"/>
      <c r="BP9"/>
      <c r="BQ9"/>
      <c r="BR9"/>
      <c r="BS9"/>
      <c r="BT9"/>
      <c r="BU9"/>
      <c r="BV9"/>
      <c r="BW9"/>
      <c r="BX9"/>
      <c r="BY9"/>
      <c r="BZ9"/>
      <c r="CA9"/>
      <c r="CB9"/>
      <c r="CC9"/>
    </row>
    <row r="10" spans="2:81" ht="30" customHeight="1">
      <c r="B10" s="771"/>
      <c r="C10" s="1565"/>
      <c r="D10" s="1565" t="s">
        <v>2157</v>
      </c>
      <c r="E10" s="781" t="s">
        <v>2153</v>
      </c>
      <c r="F10" s="782" t="s">
        <v>2154</v>
      </c>
      <c r="G10" s="783"/>
      <c r="H10" s="783"/>
      <c r="I10" s="783"/>
      <c r="J10" s="783"/>
      <c r="K10" s="783"/>
      <c r="L10" s="783"/>
      <c r="M10" s="784"/>
      <c r="N10" s="784"/>
      <c r="O10" s="784"/>
      <c r="P10" s="784"/>
      <c r="Q10" s="784"/>
      <c r="R10" s="784"/>
      <c r="S10" s="784"/>
      <c r="T10" s="784"/>
      <c r="U10" s="784"/>
      <c r="V10" s="784"/>
      <c r="W10" s="784"/>
      <c r="X10" s="784"/>
      <c r="Y10" s="784"/>
      <c r="Z10" s="784"/>
      <c r="AA10" s="784"/>
      <c r="AB10" s="784"/>
      <c r="AC10" s="784"/>
      <c r="AD10" s="777" t="s">
        <v>2155</v>
      </c>
      <c r="AE10" s="785">
        <f>IF(COUNTIF(F10,"*Nm3")&gt;0,1,VLOOKUP(E10,$BA$71:$BB$72,2,FALSE))</f>
        <v>0.96665500000000004</v>
      </c>
      <c r="AF10" s="786">
        <f>VLOOKUP($F10,$BA$60:$BB$63,2,FALSE)/VLOOKUP($AD10,$BA$60:$BB$63,2,FALSE)</f>
        <v>1000</v>
      </c>
      <c r="AG10" s="787">
        <f>ROUND($AE10*G10/$AF10,0)</f>
        <v>0</v>
      </c>
      <c r="AH10" s="787">
        <f t="shared" ref="AH10:AW11" si="3">ROUND($AE10*H10/$AF10,0)</f>
        <v>0</v>
      </c>
      <c r="AI10" s="787">
        <f t="shared" si="3"/>
        <v>0</v>
      </c>
      <c r="AJ10" s="787">
        <f t="shared" si="3"/>
        <v>0</v>
      </c>
      <c r="AK10" s="787">
        <f t="shared" si="3"/>
        <v>0</v>
      </c>
      <c r="AL10" s="787">
        <f t="shared" si="3"/>
        <v>0</v>
      </c>
      <c r="AM10" s="787">
        <f t="shared" si="3"/>
        <v>0</v>
      </c>
      <c r="AN10" s="787">
        <f t="shared" si="3"/>
        <v>0</v>
      </c>
      <c r="AO10" s="787">
        <f t="shared" si="3"/>
        <v>0</v>
      </c>
      <c r="AP10" s="787">
        <f t="shared" si="3"/>
        <v>0</v>
      </c>
      <c r="AQ10" s="787">
        <f t="shared" si="3"/>
        <v>0</v>
      </c>
      <c r="AR10" s="787">
        <f t="shared" si="3"/>
        <v>0</v>
      </c>
      <c r="AS10" s="787">
        <f t="shared" si="3"/>
        <v>0</v>
      </c>
      <c r="AT10" s="787">
        <f t="shared" si="3"/>
        <v>0</v>
      </c>
      <c r="AU10" s="787">
        <f t="shared" si="3"/>
        <v>0</v>
      </c>
      <c r="AV10" s="787">
        <f t="shared" si="3"/>
        <v>0</v>
      </c>
      <c r="AW10" s="787">
        <f t="shared" si="3"/>
        <v>0</v>
      </c>
      <c r="AX10" s="787">
        <f t="shared" ref="AX10:BC11" si="4">ROUND($AE10*X10/$AF10,0)</f>
        <v>0</v>
      </c>
      <c r="AY10" s="787">
        <f t="shared" si="4"/>
        <v>0</v>
      </c>
      <c r="AZ10" s="787">
        <f t="shared" si="4"/>
        <v>0</v>
      </c>
      <c r="BA10" s="787">
        <f t="shared" si="4"/>
        <v>0</v>
      </c>
      <c r="BB10" s="787">
        <f t="shared" si="4"/>
        <v>0</v>
      </c>
      <c r="BC10" s="787">
        <f t="shared" si="4"/>
        <v>0</v>
      </c>
      <c r="BF10"/>
      <c r="BG10"/>
      <c r="BH10"/>
      <c r="BI10"/>
      <c r="BJ10"/>
      <c r="BK10"/>
      <c r="BL10"/>
      <c r="BM10"/>
      <c r="BN10"/>
      <c r="BO10"/>
      <c r="BP10"/>
      <c r="BQ10"/>
      <c r="BR10"/>
      <c r="BS10"/>
      <c r="BT10"/>
      <c r="BU10"/>
      <c r="BV10"/>
      <c r="BW10"/>
      <c r="BX10"/>
      <c r="BY10"/>
      <c r="BZ10"/>
      <c r="CA10"/>
      <c r="CB10"/>
      <c r="CC10"/>
    </row>
    <row r="11" spans="2:81" ht="30" customHeight="1">
      <c r="B11" s="771"/>
      <c r="C11" s="1565"/>
      <c r="D11" s="1565"/>
      <c r="E11" s="781" t="s">
        <v>2156</v>
      </c>
      <c r="F11" s="782" t="s">
        <v>2154</v>
      </c>
      <c r="G11" s="789"/>
      <c r="H11" s="789"/>
      <c r="I11" s="789"/>
      <c r="J11" s="789"/>
      <c r="K11" s="789"/>
      <c r="L11" s="789"/>
      <c r="M11" s="784"/>
      <c r="N11" s="784"/>
      <c r="O11" s="784"/>
      <c r="P11" s="784"/>
      <c r="Q11" s="784"/>
      <c r="R11" s="784"/>
      <c r="S11" s="784"/>
      <c r="T11" s="784"/>
      <c r="U11" s="784"/>
      <c r="V11" s="784"/>
      <c r="W11" s="784"/>
      <c r="X11" s="784"/>
      <c r="Y11" s="784"/>
      <c r="Z11" s="784"/>
      <c r="AA11" s="784"/>
      <c r="AB11" s="784"/>
      <c r="AC11" s="784"/>
      <c r="AD11" s="777" t="s">
        <v>2155</v>
      </c>
      <c r="AE11" s="785">
        <f>IF(COUNTIF(F11,"*Nm3")&gt;0,1,VLOOKUP(E11,$BA$71:$BB$72,2,FALSE))</f>
        <v>0.95712200000000003</v>
      </c>
      <c r="AF11" s="786">
        <f>VLOOKUP($F11,$BA$60:$BB$63,2,FALSE)/VLOOKUP($AD11,$BA$60:$BB$63,2,FALSE)</f>
        <v>1000</v>
      </c>
      <c r="AG11" s="787">
        <f>ROUND($AE11*G11/$AF11,0)</f>
        <v>0</v>
      </c>
      <c r="AH11" s="787">
        <f t="shared" si="3"/>
        <v>0</v>
      </c>
      <c r="AI11" s="787">
        <f t="shared" si="3"/>
        <v>0</v>
      </c>
      <c r="AJ11" s="787">
        <f t="shared" si="3"/>
        <v>0</v>
      </c>
      <c r="AK11" s="787">
        <f t="shared" si="3"/>
        <v>0</v>
      </c>
      <c r="AL11" s="787">
        <f t="shared" si="3"/>
        <v>0</v>
      </c>
      <c r="AM11" s="787">
        <f t="shared" si="3"/>
        <v>0</v>
      </c>
      <c r="AN11" s="787">
        <f t="shared" si="3"/>
        <v>0</v>
      </c>
      <c r="AO11" s="787">
        <f t="shared" si="3"/>
        <v>0</v>
      </c>
      <c r="AP11" s="787">
        <f t="shared" si="3"/>
        <v>0</v>
      </c>
      <c r="AQ11" s="787">
        <f t="shared" si="3"/>
        <v>0</v>
      </c>
      <c r="AR11" s="787">
        <f t="shared" si="3"/>
        <v>0</v>
      </c>
      <c r="AS11" s="787">
        <f t="shared" si="3"/>
        <v>0</v>
      </c>
      <c r="AT11" s="787">
        <f t="shared" si="3"/>
        <v>0</v>
      </c>
      <c r="AU11" s="787">
        <f t="shared" si="3"/>
        <v>0</v>
      </c>
      <c r="AV11" s="787">
        <f t="shared" si="3"/>
        <v>0</v>
      </c>
      <c r="AW11" s="787">
        <f t="shared" si="3"/>
        <v>0</v>
      </c>
      <c r="AX11" s="787">
        <f t="shared" si="4"/>
        <v>0</v>
      </c>
      <c r="AY11" s="787">
        <f t="shared" si="4"/>
        <v>0</v>
      </c>
      <c r="AZ11" s="787">
        <f t="shared" si="4"/>
        <v>0</v>
      </c>
      <c r="BA11" s="787">
        <f t="shared" si="4"/>
        <v>0</v>
      </c>
      <c r="BB11" s="787">
        <f t="shared" si="4"/>
        <v>0</v>
      </c>
      <c r="BC11" s="787">
        <f t="shared" si="4"/>
        <v>0</v>
      </c>
      <c r="BF11"/>
      <c r="BG11"/>
      <c r="BH11"/>
      <c r="BI11"/>
      <c r="BJ11"/>
      <c r="BK11"/>
      <c r="BL11"/>
      <c r="BM11"/>
      <c r="BN11"/>
      <c r="BO11"/>
      <c r="BP11"/>
      <c r="BQ11"/>
      <c r="BR11"/>
      <c r="BS11"/>
      <c r="BT11"/>
      <c r="BU11"/>
      <c r="BV11"/>
      <c r="BW11"/>
      <c r="BX11"/>
      <c r="BY11"/>
      <c r="BZ11"/>
      <c r="CA11"/>
      <c r="CB11"/>
      <c r="CC11"/>
    </row>
    <row r="12" spans="2:81" ht="30" customHeight="1">
      <c r="B12" s="771"/>
      <c r="C12" s="1565"/>
      <c r="D12" s="788"/>
      <c r="E12" s="1464"/>
      <c r="F12" s="1465"/>
      <c r="G12" s="1465"/>
      <c r="H12" s="1465"/>
      <c r="I12" s="1465"/>
      <c r="J12" s="1465"/>
      <c r="K12" s="1465"/>
      <c r="L12" s="1465"/>
      <c r="M12" s="1465"/>
      <c r="N12" s="1465"/>
      <c r="O12" s="1465"/>
      <c r="P12" s="1465"/>
      <c r="Q12" s="1465"/>
      <c r="R12" s="1465"/>
      <c r="S12" s="1465"/>
      <c r="T12" s="1465"/>
      <c r="U12" s="1465"/>
      <c r="V12" s="1465"/>
      <c r="W12" s="1465"/>
      <c r="X12" s="1465"/>
      <c r="Y12" s="1465"/>
      <c r="Z12" s="1465"/>
      <c r="AA12" s="1465"/>
      <c r="AB12" s="1465"/>
      <c r="AC12" s="1466"/>
      <c r="AD12" s="781"/>
      <c r="AE12" s="1471"/>
      <c r="AF12" s="1471"/>
      <c r="AG12" s="786">
        <f>SUM(AG10:AG11)</f>
        <v>0</v>
      </c>
      <c r="AH12" s="786">
        <f t="shared" ref="AH12:BC12" si="5">SUM(AH10:AH11)</f>
        <v>0</v>
      </c>
      <c r="AI12" s="786">
        <f t="shared" si="5"/>
        <v>0</v>
      </c>
      <c r="AJ12" s="786">
        <f t="shared" si="5"/>
        <v>0</v>
      </c>
      <c r="AK12" s="786">
        <f t="shared" si="5"/>
        <v>0</v>
      </c>
      <c r="AL12" s="786">
        <f t="shared" si="5"/>
        <v>0</v>
      </c>
      <c r="AM12" s="786">
        <f t="shared" si="5"/>
        <v>0</v>
      </c>
      <c r="AN12" s="786">
        <f t="shared" si="5"/>
        <v>0</v>
      </c>
      <c r="AO12" s="786">
        <f t="shared" si="5"/>
        <v>0</v>
      </c>
      <c r="AP12" s="786">
        <f t="shared" si="5"/>
        <v>0</v>
      </c>
      <c r="AQ12" s="786">
        <f t="shared" si="5"/>
        <v>0</v>
      </c>
      <c r="AR12" s="786">
        <f t="shared" si="5"/>
        <v>0</v>
      </c>
      <c r="AS12" s="786">
        <f t="shared" si="5"/>
        <v>0</v>
      </c>
      <c r="AT12" s="786">
        <f t="shared" si="5"/>
        <v>0</v>
      </c>
      <c r="AU12" s="786">
        <f t="shared" si="5"/>
        <v>0</v>
      </c>
      <c r="AV12" s="786">
        <f t="shared" si="5"/>
        <v>0</v>
      </c>
      <c r="AW12" s="786">
        <f t="shared" si="5"/>
        <v>0</v>
      </c>
      <c r="AX12" s="786">
        <f t="shared" si="5"/>
        <v>0</v>
      </c>
      <c r="AY12" s="786">
        <f t="shared" si="5"/>
        <v>0</v>
      </c>
      <c r="AZ12" s="786">
        <f t="shared" si="5"/>
        <v>0</v>
      </c>
      <c r="BA12" s="786">
        <f t="shared" si="5"/>
        <v>0</v>
      </c>
      <c r="BB12" s="786">
        <f t="shared" si="5"/>
        <v>0</v>
      </c>
      <c r="BC12" s="786">
        <f t="shared" si="5"/>
        <v>0</v>
      </c>
      <c r="BF12"/>
      <c r="BG12"/>
      <c r="BH12"/>
      <c r="BI12"/>
      <c r="BJ12"/>
      <c r="BK12"/>
      <c r="BL12"/>
      <c r="BM12"/>
      <c r="BN12"/>
      <c r="BO12"/>
      <c r="BP12"/>
      <c r="BQ12"/>
      <c r="BR12"/>
      <c r="BS12"/>
      <c r="BT12"/>
      <c r="BU12"/>
      <c r="BV12"/>
      <c r="BW12"/>
      <c r="BX12"/>
      <c r="BY12"/>
      <c r="BZ12"/>
      <c r="CA12"/>
      <c r="CB12"/>
      <c r="CC12"/>
    </row>
    <row r="13" spans="2:81" ht="30" customHeight="1">
      <c r="B13" s="771"/>
      <c r="C13" s="1565"/>
      <c r="D13" s="1565" t="s">
        <v>2159</v>
      </c>
      <c r="E13" s="781" t="s">
        <v>2153</v>
      </c>
      <c r="F13" s="782" t="s">
        <v>2154</v>
      </c>
      <c r="G13" s="783"/>
      <c r="H13" s="783"/>
      <c r="I13" s="783"/>
      <c r="J13" s="789"/>
      <c r="K13" s="789"/>
      <c r="L13" s="789"/>
      <c r="M13" s="784"/>
      <c r="N13" s="784"/>
      <c r="O13" s="784"/>
      <c r="P13" s="784"/>
      <c r="Q13" s="784"/>
      <c r="R13" s="784"/>
      <c r="S13" s="784"/>
      <c r="T13" s="784"/>
      <c r="U13" s="784"/>
      <c r="V13" s="784"/>
      <c r="W13" s="784"/>
      <c r="X13" s="784"/>
      <c r="Y13" s="784"/>
      <c r="Z13" s="784"/>
      <c r="AA13" s="784"/>
      <c r="AB13" s="784"/>
      <c r="AC13" s="784"/>
      <c r="AD13" s="777" t="s">
        <v>2155</v>
      </c>
      <c r="AE13" s="785">
        <f>IF(COUNTIF(F13,"*Nm3")&gt;0,1,VLOOKUP(E13,$BA$71:$BB$72,2,FALSE))</f>
        <v>0.96665500000000004</v>
      </c>
      <c r="AF13" s="786">
        <f>VLOOKUP($F13,$BA$60:$BB$63,2,FALSE)/VLOOKUP($AD13,$BA$60:$BB$63,2,FALSE)</f>
        <v>1000</v>
      </c>
      <c r="AG13" s="787">
        <f>ROUND($AE13*G13/$AF13,0)</f>
        <v>0</v>
      </c>
      <c r="AH13" s="787">
        <f t="shared" ref="AH13:AW14" si="6">ROUND($AE13*H13/$AF13,0)</f>
        <v>0</v>
      </c>
      <c r="AI13" s="787">
        <f t="shared" si="6"/>
        <v>0</v>
      </c>
      <c r="AJ13" s="787">
        <f t="shared" si="6"/>
        <v>0</v>
      </c>
      <c r="AK13" s="787">
        <f t="shared" si="6"/>
        <v>0</v>
      </c>
      <c r="AL13" s="787">
        <f t="shared" si="6"/>
        <v>0</v>
      </c>
      <c r="AM13" s="787">
        <f t="shared" si="6"/>
        <v>0</v>
      </c>
      <c r="AN13" s="787">
        <f t="shared" si="6"/>
        <v>0</v>
      </c>
      <c r="AO13" s="787">
        <f t="shared" si="6"/>
        <v>0</v>
      </c>
      <c r="AP13" s="787">
        <f t="shared" si="6"/>
        <v>0</v>
      </c>
      <c r="AQ13" s="787">
        <f t="shared" si="6"/>
        <v>0</v>
      </c>
      <c r="AR13" s="787">
        <f t="shared" si="6"/>
        <v>0</v>
      </c>
      <c r="AS13" s="787">
        <f t="shared" si="6"/>
        <v>0</v>
      </c>
      <c r="AT13" s="787">
        <f t="shared" si="6"/>
        <v>0</v>
      </c>
      <c r="AU13" s="787">
        <f t="shared" si="6"/>
        <v>0</v>
      </c>
      <c r="AV13" s="787">
        <f t="shared" si="6"/>
        <v>0</v>
      </c>
      <c r="AW13" s="787">
        <f t="shared" si="6"/>
        <v>0</v>
      </c>
      <c r="AX13" s="787">
        <f t="shared" ref="AX13:BC14" si="7">ROUND($AE13*X13/$AF13,0)</f>
        <v>0</v>
      </c>
      <c r="AY13" s="787">
        <f t="shared" si="7"/>
        <v>0</v>
      </c>
      <c r="AZ13" s="787">
        <f t="shared" si="7"/>
        <v>0</v>
      </c>
      <c r="BA13" s="787">
        <f t="shared" si="7"/>
        <v>0</v>
      </c>
      <c r="BB13" s="787">
        <f t="shared" si="7"/>
        <v>0</v>
      </c>
      <c r="BC13" s="787">
        <f t="shared" si="7"/>
        <v>0</v>
      </c>
      <c r="BF13"/>
      <c r="BG13"/>
      <c r="BH13"/>
      <c r="BI13"/>
      <c r="BJ13"/>
      <c r="BK13"/>
      <c r="BL13"/>
      <c r="BM13"/>
      <c r="BN13"/>
      <c r="BO13"/>
      <c r="BP13"/>
      <c r="BQ13"/>
      <c r="BR13"/>
      <c r="BS13"/>
      <c r="BT13"/>
      <c r="BU13"/>
      <c r="BV13"/>
      <c r="BW13"/>
      <c r="BX13"/>
      <c r="BY13"/>
      <c r="BZ13"/>
      <c r="CA13"/>
      <c r="CB13"/>
      <c r="CC13"/>
    </row>
    <row r="14" spans="2:81" ht="30" customHeight="1">
      <c r="B14" s="771"/>
      <c r="C14" s="1565"/>
      <c r="D14" s="1565"/>
      <c r="E14" s="781" t="s">
        <v>2156</v>
      </c>
      <c r="F14" s="782" t="s">
        <v>2154</v>
      </c>
      <c r="G14" s="783"/>
      <c r="H14" s="783"/>
      <c r="I14" s="783"/>
      <c r="J14" s="789"/>
      <c r="K14" s="789"/>
      <c r="L14" s="789"/>
      <c r="M14" s="784"/>
      <c r="N14" s="784"/>
      <c r="O14" s="784"/>
      <c r="P14" s="784"/>
      <c r="Q14" s="784"/>
      <c r="R14" s="784"/>
      <c r="S14" s="784"/>
      <c r="T14" s="784"/>
      <c r="U14" s="784"/>
      <c r="V14" s="784"/>
      <c r="W14" s="784"/>
      <c r="X14" s="784"/>
      <c r="Y14" s="784"/>
      <c r="Z14" s="784"/>
      <c r="AA14" s="784"/>
      <c r="AB14" s="784"/>
      <c r="AC14" s="784"/>
      <c r="AD14" s="777" t="s">
        <v>2155</v>
      </c>
      <c r="AE14" s="785">
        <f>IF(COUNTIF(F14,"*Nm3")&gt;0,1,VLOOKUP(E14,$BA$71:$BB$72,2,FALSE))</f>
        <v>0.95712200000000003</v>
      </c>
      <c r="AF14" s="786">
        <f>VLOOKUP($F14,$BA$60:$BB$63,2,FALSE)/VLOOKUP($AD14,$BA$60:$BB$63,2,FALSE)</f>
        <v>1000</v>
      </c>
      <c r="AG14" s="787">
        <f>ROUND($AE14*G14/$AF14,0)</f>
        <v>0</v>
      </c>
      <c r="AH14" s="787">
        <f t="shared" si="6"/>
        <v>0</v>
      </c>
      <c r="AI14" s="787">
        <f t="shared" si="6"/>
        <v>0</v>
      </c>
      <c r="AJ14" s="787">
        <f t="shared" si="6"/>
        <v>0</v>
      </c>
      <c r="AK14" s="787">
        <f t="shared" si="6"/>
        <v>0</v>
      </c>
      <c r="AL14" s="787">
        <f t="shared" si="6"/>
        <v>0</v>
      </c>
      <c r="AM14" s="787">
        <f t="shared" si="6"/>
        <v>0</v>
      </c>
      <c r="AN14" s="787">
        <f t="shared" si="6"/>
        <v>0</v>
      </c>
      <c r="AO14" s="787">
        <f t="shared" si="6"/>
        <v>0</v>
      </c>
      <c r="AP14" s="787">
        <f t="shared" si="6"/>
        <v>0</v>
      </c>
      <c r="AQ14" s="787">
        <f t="shared" si="6"/>
        <v>0</v>
      </c>
      <c r="AR14" s="787">
        <f t="shared" si="6"/>
        <v>0</v>
      </c>
      <c r="AS14" s="787">
        <f t="shared" si="6"/>
        <v>0</v>
      </c>
      <c r="AT14" s="787">
        <f t="shared" si="6"/>
        <v>0</v>
      </c>
      <c r="AU14" s="787">
        <f t="shared" si="6"/>
        <v>0</v>
      </c>
      <c r="AV14" s="787">
        <f t="shared" si="6"/>
        <v>0</v>
      </c>
      <c r="AW14" s="787">
        <f t="shared" si="6"/>
        <v>0</v>
      </c>
      <c r="AX14" s="787">
        <f t="shared" si="7"/>
        <v>0</v>
      </c>
      <c r="AY14" s="787">
        <f t="shared" si="7"/>
        <v>0</v>
      </c>
      <c r="AZ14" s="787">
        <f t="shared" si="7"/>
        <v>0</v>
      </c>
      <c r="BA14" s="787">
        <f t="shared" si="7"/>
        <v>0</v>
      </c>
      <c r="BB14" s="787">
        <f t="shared" si="7"/>
        <v>0</v>
      </c>
      <c r="BC14" s="787">
        <f t="shared" si="7"/>
        <v>0</v>
      </c>
      <c r="BF14"/>
      <c r="BG14"/>
      <c r="BH14"/>
      <c r="BI14"/>
      <c r="BJ14"/>
      <c r="BK14"/>
      <c r="BL14"/>
      <c r="BM14"/>
      <c r="BN14"/>
      <c r="BO14"/>
      <c r="BP14"/>
      <c r="BQ14"/>
      <c r="BR14"/>
      <c r="BS14"/>
      <c r="BT14"/>
      <c r="BU14"/>
      <c r="BV14"/>
      <c r="BW14"/>
      <c r="BX14"/>
      <c r="BY14"/>
      <c r="BZ14"/>
      <c r="CA14"/>
      <c r="CB14"/>
      <c r="CC14"/>
    </row>
    <row r="15" spans="2:81" ht="30" customHeight="1">
      <c r="B15" s="771"/>
      <c r="C15" s="1565"/>
      <c r="D15" s="788"/>
      <c r="E15" s="1464"/>
      <c r="F15" s="1465"/>
      <c r="G15" s="1465"/>
      <c r="H15" s="1465"/>
      <c r="I15" s="1465"/>
      <c r="J15" s="1465"/>
      <c r="K15" s="1465"/>
      <c r="L15" s="1465"/>
      <c r="M15" s="1465"/>
      <c r="N15" s="1465"/>
      <c r="O15" s="1465"/>
      <c r="P15" s="1465"/>
      <c r="Q15" s="1465"/>
      <c r="R15" s="1465"/>
      <c r="S15" s="1465"/>
      <c r="T15" s="1465"/>
      <c r="U15" s="1465"/>
      <c r="V15" s="1465"/>
      <c r="W15" s="1465"/>
      <c r="X15" s="1465"/>
      <c r="Y15" s="1465"/>
      <c r="Z15" s="1465"/>
      <c r="AA15" s="1465"/>
      <c r="AB15" s="1465"/>
      <c r="AC15" s="1466"/>
      <c r="AD15" s="781"/>
      <c r="AE15" s="1471"/>
      <c r="AF15" s="1471"/>
      <c r="AG15" s="786">
        <f>SUM(AG13:AG14)</f>
        <v>0</v>
      </c>
      <c r="AH15" s="786">
        <f t="shared" ref="AH15:BC15" si="8">SUM(AH13:AH14)</f>
        <v>0</v>
      </c>
      <c r="AI15" s="786">
        <f t="shared" si="8"/>
        <v>0</v>
      </c>
      <c r="AJ15" s="786">
        <f t="shared" si="8"/>
        <v>0</v>
      </c>
      <c r="AK15" s="786">
        <f t="shared" si="8"/>
        <v>0</v>
      </c>
      <c r="AL15" s="786">
        <f t="shared" si="8"/>
        <v>0</v>
      </c>
      <c r="AM15" s="786">
        <f t="shared" si="8"/>
        <v>0</v>
      </c>
      <c r="AN15" s="786">
        <f t="shared" si="8"/>
        <v>0</v>
      </c>
      <c r="AO15" s="786">
        <f t="shared" si="8"/>
        <v>0</v>
      </c>
      <c r="AP15" s="786">
        <f t="shared" si="8"/>
        <v>0</v>
      </c>
      <c r="AQ15" s="786">
        <f t="shared" si="8"/>
        <v>0</v>
      </c>
      <c r="AR15" s="786">
        <f t="shared" si="8"/>
        <v>0</v>
      </c>
      <c r="AS15" s="786">
        <f t="shared" si="8"/>
        <v>0</v>
      </c>
      <c r="AT15" s="786">
        <f t="shared" si="8"/>
        <v>0</v>
      </c>
      <c r="AU15" s="786">
        <f t="shared" si="8"/>
        <v>0</v>
      </c>
      <c r="AV15" s="786">
        <f t="shared" si="8"/>
        <v>0</v>
      </c>
      <c r="AW15" s="786">
        <f t="shared" si="8"/>
        <v>0</v>
      </c>
      <c r="AX15" s="786">
        <f t="shared" si="8"/>
        <v>0</v>
      </c>
      <c r="AY15" s="786">
        <f t="shared" si="8"/>
        <v>0</v>
      </c>
      <c r="AZ15" s="786">
        <f t="shared" si="8"/>
        <v>0</v>
      </c>
      <c r="BA15" s="786">
        <f t="shared" si="8"/>
        <v>0</v>
      </c>
      <c r="BB15" s="786">
        <f t="shared" si="8"/>
        <v>0</v>
      </c>
      <c r="BC15" s="786">
        <f t="shared" si="8"/>
        <v>0</v>
      </c>
      <c r="BF15"/>
      <c r="BG15"/>
      <c r="BH15"/>
      <c r="BI15"/>
      <c r="BJ15"/>
      <c r="BK15"/>
      <c r="BL15"/>
      <c r="BM15"/>
      <c r="BN15"/>
      <c r="BO15"/>
      <c r="BP15"/>
      <c r="BQ15"/>
      <c r="BR15"/>
      <c r="BS15"/>
      <c r="BT15"/>
      <c r="BU15"/>
      <c r="BV15"/>
      <c r="BW15"/>
      <c r="BX15"/>
      <c r="BY15"/>
      <c r="BZ15"/>
      <c r="CA15"/>
      <c r="CB15"/>
      <c r="CC15"/>
    </row>
    <row r="16" spans="2:81" ht="30" customHeight="1">
      <c r="B16" s="771"/>
      <c r="C16" s="1565"/>
      <c r="D16" s="1565" t="s">
        <v>2160</v>
      </c>
      <c r="E16" s="781" t="s">
        <v>2153</v>
      </c>
      <c r="F16" s="782" t="s">
        <v>2154</v>
      </c>
      <c r="G16" s="783"/>
      <c r="H16" s="783"/>
      <c r="I16" s="783"/>
      <c r="J16" s="783"/>
      <c r="K16" s="783"/>
      <c r="L16" s="783"/>
      <c r="M16" s="784"/>
      <c r="N16" s="784"/>
      <c r="O16" s="784"/>
      <c r="P16" s="784"/>
      <c r="Q16" s="784"/>
      <c r="R16" s="784"/>
      <c r="S16" s="784"/>
      <c r="T16" s="784"/>
      <c r="U16" s="784"/>
      <c r="V16" s="784"/>
      <c r="W16" s="784"/>
      <c r="X16" s="784"/>
      <c r="Y16" s="784"/>
      <c r="Z16" s="784"/>
      <c r="AA16" s="784"/>
      <c r="AB16" s="784"/>
      <c r="AC16" s="784"/>
      <c r="AD16" s="777" t="s">
        <v>2155</v>
      </c>
      <c r="AE16" s="785">
        <f>IF(COUNTIF(F16,"*Nm3")&gt;0,1,VLOOKUP(E16,$BA$71:$BB$72,2,FALSE))</f>
        <v>0.96665500000000004</v>
      </c>
      <c r="AF16" s="786">
        <f>VLOOKUP($F16,$BA$60:$BB$63,2,FALSE)/VLOOKUP($AD16,$BA$60:$BB$63,2,FALSE)</f>
        <v>1000</v>
      </c>
      <c r="AG16" s="787">
        <f>ROUND($AE16*G16/$AF16,0)</f>
        <v>0</v>
      </c>
      <c r="AH16" s="787">
        <f t="shared" ref="AH16:AW17" si="9">ROUND($AE16*H16/$AF16,0)</f>
        <v>0</v>
      </c>
      <c r="AI16" s="787">
        <f t="shared" si="9"/>
        <v>0</v>
      </c>
      <c r="AJ16" s="787">
        <f t="shared" si="9"/>
        <v>0</v>
      </c>
      <c r="AK16" s="787">
        <f t="shared" si="9"/>
        <v>0</v>
      </c>
      <c r="AL16" s="787">
        <f t="shared" si="9"/>
        <v>0</v>
      </c>
      <c r="AM16" s="787">
        <f t="shared" si="9"/>
        <v>0</v>
      </c>
      <c r="AN16" s="787">
        <f t="shared" si="9"/>
        <v>0</v>
      </c>
      <c r="AO16" s="787">
        <f t="shared" si="9"/>
        <v>0</v>
      </c>
      <c r="AP16" s="787">
        <f t="shared" si="9"/>
        <v>0</v>
      </c>
      <c r="AQ16" s="787">
        <f t="shared" si="9"/>
        <v>0</v>
      </c>
      <c r="AR16" s="787">
        <f t="shared" si="9"/>
        <v>0</v>
      </c>
      <c r="AS16" s="787">
        <f t="shared" si="9"/>
        <v>0</v>
      </c>
      <c r="AT16" s="787">
        <f t="shared" si="9"/>
        <v>0</v>
      </c>
      <c r="AU16" s="787">
        <f t="shared" si="9"/>
        <v>0</v>
      </c>
      <c r="AV16" s="787">
        <f t="shared" si="9"/>
        <v>0</v>
      </c>
      <c r="AW16" s="787">
        <f t="shared" si="9"/>
        <v>0</v>
      </c>
      <c r="AX16" s="787">
        <f t="shared" ref="AX16:BC17" si="10">ROUND($AE16*X16/$AF16,0)</f>
        <v>0</v>
      </c>
      <c r="AY16" s="787">
        <f t="shared" si="10"/>
        <v>0</v>
      </c>
      <c r="AZ16" s="787">
        <f t="shared" si="10"/>
        <v>0</v>
      </c>
      <c r="BA16" s="787">
        <f t="shared" si="10"/>
        <v>0</v>
      </c>
      <c r="BB16" s="787">
        <f t="shared" si="10"/>
        <v>0</v>
      </c>
      <c r="BC16" s="787">
        <f t="shared" si="10"/>
        <v>0</v>
      </c>
      <c r="BF16"/>
      <c r="BG16"/>
      <c r="BH16"/>
      <c r="BI16"/>
      <c r="BJ16"/>
      <c r="BK16"/>
      <c r="BL16"/>
      <c r="BM16"/>
      <c r="BN16"/>
      <c r="BO16"/>
      <c r="BP16"/>
      <c r="BQ16"/>
      <c r="BR16"/>
      <c r="BS16"/>
      <c r="BT16"/>
      <c r="BU16"/>
      <c r="BV16"/>
      <c r="BW16"/>
      <c r="BX16"/>
      <c r="BY16"/>
      <c r="BZ16"/>
      <c r="CA16"/>
      <c r="CB16"/>
      <c r="CC16"/>
    </row>
    <row r="17" spans="2:81" ht="30" customHeight="1">
      <c r="B17" s="771"/>
      <c r="C17" s="1565"/>
      <c r="D17" s="1565"/>
      <c r="E17" s="781" t="s">
        <v>2156</v>
      </c>
      <c r="F17" s="782" t="s">
        <v>2154</v>
      </c>
      <c r="G17" s="789"/>
      <c r="H17" s="789"/>
      <c r="I17" s="789"/>
      <c r="J17" s="789"/>
      <c r="K17" s="789"/>
      <c r="L17" s="789"/>
      <c r="M17" s="784"/>
      <c r="N17" s="784"/>
      <c r="O17" s="784"/>
      <c r="P17" s="784"/>
      <c r="Q17" s="784"/>
      <c r="R17" s="784"/>
      <c r="S17" s="784"/>
      <c r="T17" s="784"/>
      <c r="U17" s="784"/>
      <c r="V17" s="784"/>
      <c r="W17" s="784"/>
      <c r="X17" s="784"/>
      <c r="Y17" s="784"/>
      <c r="Z17" s="784"/>
      <c r="AA17" s="784"/>
      <c r="AB17" s="784"/>
      <c r="AC17" s="784"/>
      <c r="AD17" s="777" t="s">
        <v>2155</v>
      </c>
      <c r="AE17" s="785">
        <f>IF(COUNTIF(F17,"*Nm3")&gt;0,1,VLOOKUP(E17,$BA$71:$BB$72,2,FALSE))</f>
        <v>0.95712200000000003</v>
      </c>
      <c r="AF17" s="786">
        <f>VLOOKUP($F17,$BA$60:$BB$63,2,FALSE)/VLOOKUP($AD17,$BA$60:$BB$63,2,FALSE)</f>
        <v>1000</v>
      </c>
      <c r="AG17" s="787">
        <f>ROUND($AE17*G17/$AF17,0)</f>
        <v>0</v>
      </c>
      <c r="AH17" s="787">
        <f t="shared" si="9"/>
        <v>0</v>
      </c>
      <c r="AI17" s="787">
        <f t="shared" si="9"/>
        <v>0</v>
      </c>
      <c r="AJ17" s="787">
        <f t="shared" si="9"/>
        <v>0</v>
      </c>
      <c r="AK17" s="787">
        <f t="shared" si="9"/>
        <v>0</v>
      </c>
      <c r="AL17" s="787">
        <f t="shared" si="9"/>
        <v>0</v>
      </c>
      <c r="AM17" s="787">
        <f t="shared" si="9"/>
        <v>0</v>
      </c>
      <c r="AN17" s="787">
        <f t="shared" si="9"/>
        <v>0</v>
      </c>
      <c r="AO17" s="787">
        <f t="shared" si="9"/>
        <v>0</v>
      </c>
      <c r="AP17" s="787">
        <f t="shared" si="9"/>
        <v>0</v>
      </c>
      <c r="AQ17" s="787">
        <f t="shared" si="9"/>
        <v>0</v>
      </c>
      <c r="AR17" s="787">
        <f t="shared" si="9"/>
        <v>0</v>
      </c>
      <c r="AS17" s="787">
        <f t="shared" si="9"/>
        <v>0</v>
      </c>
      <c r="AT17" s="787">
        <f t="shared" si="9"/>
        <v>0</v>
      </c>
      <c r="AU17" s="787">
        <f t="shared" si="9"/>
        <v>0</v>
      </c>
      <c r="AV17" s="787">
        <f t="shared" si="9"/>
        <v>0</v>
      </c>
      <c r="AW17" s="787">
        <f t="shared" si="9"/>
        <v>0</v>
      </c>
      <c r="AX17" s="787">
        <f t="shared" si="10"/>
        <v>0</v>
      </c>
      <c r="AY17" s="787">
        <f t="shared" si="10"/>
        <v>0</v>
      </c>
      <c r="AZ17" s="787">
        <f t="shared" si="10"/>
        <v>0</v>
      </c>
      <c r="BA17" s="787">
        <f t="shared" si="10"/>
        <v>0</v>
      </c>
      <c r="BB17" s="787">
        <f t="shared" si="10"/>
        <v>0</v>
      </c>
      <c r="BC17" s="787">
        <f t="shared" si="10"/>
        <v>0</v>
      </c>
      <c r="BF17"/>
      <c r="BG17"/>
      <c r="BH17"/>
      <c r="BI17"/>
      <c r="BJ17"/>
      <c r="BK17"/>
      <c r="BL17"/>
      <c r="BM17"/>
      <c r="BN17"/>
      <c r="BO17"/>
      <c r="BP17"/>
      <c r="BQ17"/>
      <c r="BR17"/>
      <c r="BS17"/>
      <c r="BT17"/>
      <c r="BU17"/>
      <c r="BV17"/>
      <c r="BW17"/>
      <c r="BX17"/>
      <c r="BY17"/>
      <c r="BZ17"/>
      <c r="CA17"/>
      <c r="CB17"/>
      <c r="CC17"/>
    </row>
    <row r="18" spans="2:81" ht="30" customHeight="1">
      <c r="B18" s="771"/>
      <c r="C18" s="1565"/>
      <c r="D18" s="788"/>
      <c r="E18" s="1464"/>
      <c r="F18" s="1465"/>
      <c r="G18" s="1465"/>
      <c r="H18" s="1465"/>
      <c r="I18" s="1465"/>
      <c r="J18" s="1465"/>
      <c r="K18" s="1465"/>
      <c r="L18" s="1465"/>
      <c r="M18" s="1465"/>
      <c r="N18" s="1465"/>
      <c r="O18" s="1465"/>
      <c r="P18" s="1465"/>
      <c r="Q18" s="1465"/>
      <c r="R18" s="1465"/>
      <c r="S18" s="1465"/>
      <c r="T18" s="1465"/>
      <c r="U18" s="1465"/>
      <c r="V18" s="1465"/>
      <c r="W18" s="1465"/>
      <c r="X18" s="1465"/>
      <c r="Y18" s="1465"/>
      <c r="Z18" s="1465"/>
      <c r="AA18" s="1465"/>
      <c r="AB18" s="1465"/>
      <c r="AC18" s="1466"/>
      <c r="AD18" s="781"/>
      <c r="AE18" s="1471"/>
      <c r="AF18" s="1471"/>
      <c r="AG18" s="786">
        <f>SUM(AG16:AG17)</f>
        <v>0</v>
      </c>
      <c r="AH18" s="786">
        <f t="shared" ref="AH18:BC18" si="11">SUM(AH16:AH17)</f>
        <v>0</v>
      </c>
      <c r="AI18" s="786">
        <f t="shared" si="11"/>
        <v>0</v>
      </c>
      <c r="AJ18" s="786">
        <f t="shared" si="11"/>
        <v>0</v>
      </c>
      <c r="AK18" s="786">
        <f t="shared" si="11"/>
        <v>0</v>
      </c>
      <c r="AL18" s="786">
        <f t="shared" si="11"/>
        <v>0</v>
      </c>
      <c r="AM18" s="786">
        <f t="shared" si="11"/>
        <v>0</v>
      </c>
      <c r="AN18" s="786">
        <f t="shared" si="11"/>
        <v>0</v>
      </c>
      <c r="AO18" s="786">
        <f t="shared" si="11"/>
        <v>0</v>
      </c>
      <c r="AP18" s="786">
        <f t="shared" si="11"/>
        <v>0</v>
      </c>
      <c r="AQ18" s="786">
        <f t="shared" si="11"/>
        <v>0</v>
      </c>
      <c r="AR18" s="786">
        <f t="shared" si="11"/>
        <v>0</v>
      </c>
      <c r="AS18" s="786">
        <f t="shared" si="11"/>
        <v>0</v>
      </c>
      <c r="AT18" s="786">
        <f t="shared" si="11"/>
        <v>0</v>
      </c>
      <c r="AU18" s="786">
        <f t="shared" si="11"/>
        <v>0</v>
      </c>
      <c r="AV18" s="786">
        <f t="shared" si="11"/>
        <v>0</v>
      </c>
      <c r="AW18" s="786">
        <f t="shared" si="11"/>
        <v>0</v>
      </c>
      <c r="AX18" s="786">
        <f t="shared" si="11"/>
        <v>0</v>
      </c>
      <c r="AY18" s="786">
        <f t="shared" si="11"/>
        <v>0</v>
      </c>
      <c r="AZ18" s="786">
        <f t="shared" si="11"/>
        <v>0</v>
      </c>
      <c r="BA18" s="786">
        <f t="shared" si="11"/>
        <v>0</v>
      </c>
      <c r="BB18" s="786">
        <f t="shared" si="11"/>
        <v>0</v>
      </c>
      <c r="BC18" s="786">
        <f t="shared" si="11"/>
        <v>0</v>
      </c>
      <c r="BF18"/>
      <c r="BG18"/>
      <c r="BH18"/>
      <c r="BI18"/>
      <c r="BJ18"/>
      <c r="BK18"/>
      <c r="BL18"/>
      <c r="BM18"/>
      <c r="BN18"/>
      <c r="BO18"/>
      <c r="BP18"/>
      <c r="BQ18"/>
      <c r="BR18"/>
      <c r="BS18"/>
      <c r="BT18"/>
      <c r="BU18"/>
      <c r="BV18"/>
      <c r="BW18"/>
      <c r="BX18"/>
      <c r="BY18"/>
      <c r="BZ18"/>
      <c r="CA18"/>
      <c r="CB18"/>
      <c r="CC18"/>
    </row>
    <row r="19" spans="2:81" ht="30" customHeight="1">
      <c r="B19" s="771"/>
      <c r="C19" s="1565"/>
      <c r="D19" s="1565" t="s">
        <v>2161</v>
      </c>
      <c r="E19" s="781" t="s">
        <v>2153</v>
      </c>
      <c r="F19" s="782" t="s">
        <v>2154</v>
      </c>
      <c r="G19" s="783"/>
      <c r="H19" s="783"/>
      <c r="I19" s="783"/>
      <c r="J19" s="783"/>
      <c r="K19" s="783"/>
      <c r="L19" s="783"/>
      <c r="M19" s="784"/>
      <c r="N19" s="784"/>
      <c r="O19" s="784"/>
      <c r="P19" s="784"/>
      <c r="Q19" s="784"/>
      <c r="R19" s="784"/>
      <c r="S19" s="784"/>
      <c r="T19" s="784"/>
      <c r="U19" s="784"/>
      <c r="V19" s="784"/>
      <c r="W19" s="784"/>
      <c r="X19" s="784"/>
      <c r="Y19" s="784"/>
      <c r="Z19" s="784"/>
      <c r="AA19" s="784"/>
      <c r="AB19" s="784"/>
      <c r="AC19" s="784"/>
      <c r="AD19" s="777" t="s">
        <v>2155</v>
      </c>
      <c r="AE19" s="785">
        <f>IF(COUNTIF(F19,"*Nm3")&gt;0,1,VLOOKUP(E19,$BA$71:$BB$72,2,FALSE))</f>
        <v>0.96665500000000004</v>
      </c>
      <c r="AF19" s="786">
        <f>VLOOKUP($F19,$BA$60:$BB$63,2,FALSE)/VLOOKUP($AD19,$BA$60:$BB$63,2,FALSE)</f>
        <v>1000</v>
      </c>
      <c r="AG19" s="787">
        <f>ROUND($AE19*G19/$AF19,0)</f>
        <v>0</v>
      </c>
      <c r="AH19" s="787">
        <f t="shared" ref="AH19:AW20" si="12">ROUND($AE19*H19/$AF19,0)</f>
        <v>0</v>
      </c>
      <c r="AI19" s="787">
        <f t="shared" si="12"/>
        <v>0</v>
      </c>
      <c r="AJ19" s="787">
        <f t="shared" si="12"/>
        <v>0</v>
      </c>
      <c r="AK19" s="787">
        <f t="shared" si="12"/>
        <v>0</v>
      </c>
      <c r="AL19" s="787">
        <f t="shared" si="12"/>
        <v>0</v>
      </c>
      <c r="AM19" s="787">
        <f t="shared" si="12"/>
        <v>0</v>
      </c>
      <c r="AN19" s="787">
        <f t="shared" si="12"/>
        <v>0</v>
      </c>
      <c r="AO19" s="787">
        <f t="shared" si="12"/>
        <v>0</v>
      </c>
      <c r="AP19" s="787">
        <f t="shared" si="12"/>
        <v>0</v>
      </c>
      <c r="AQ19" s="787">
        <f t="shared" si="12"/>
        <v>0</v>
      </c>
      <c r="AR19" s="787">
        <f t="shared" si="12"/>
        <v>0</v>
      </c>
      <c r="AS19" s="787">
        <f t="shared" si="12"/>
        <v>0</v>
      </c>
      <c r="AT19" s="787">
        <f t="shared" si="12"/>
        <v>0</v>
      </c>
      <c r="AU19" s="787">
        <f t="shared" si="12"/>
        <v>0</v>
      </c>
      <c r="AV19" s="787">
        <f t="shared" si="12"/>
        <v>0</v>
      </c>
      <c r="AW19" s="787">
        <f t="shared" si="12"/>
        <v>0</v>
      </c>
      <c r="AX19" s="787">
        <f t="shared" ref="AX19:BC20" si="13">ROUND($AE19*X19/$AF19,0)</f>
        <v>0</v>
      </c>
      <c r="AY19" s="787">
        <f t="shared" si="13"/>
        <v>0</v>
      </c>
      <c r="AZ19" s="787">
        <f t="shared" si="13"/>
        <v>0</v>
      </c>
      <c r="BA19" s="787">
        <f t="shared" si="13"/>
        <v>0</v>
      </c>
      <c r="BB19" s="787">
        <f t="shared" si="13"/>
        <v>0</v>
      </c>
      <c r="BC19" s="787">
        <f t="shared" si="13"/>
        <v>0</v>
      </c>
      <c r="BF19"/>
      <c r="BG19"/>
      <c r="BH19"/>
      <c r="BI19"/>
      <c r="BJ19"/>
      <c r="BK19"/>
      <c r="BL19"/>
      <c r="BM19"/>
      <c r="BN19"/>
      <c r="BO19"/>
      <c r="BP19"/>
      <c r="BQ19"/>
      <c r="BR19"/>
      <c r="BS19"/>
      <c r="BT19"/>
      <c r="BU19"/>
      <c r="BV19"/>
      <c r="BW19"/>
      <c r="BX19"/>
      <c r="BY19"/>
      <c r="BZ19"/>
      <c r="CA19"/>
      <c r="CB19"/>
      <c r="CC19"/>
    </row>
    <row r="20" spans="2:81" ht="30" customHeight="1">
      <c r="B20" s="771"/>
      <c r="C20" s="1565"/>
      <c r="D20" s="1565"/>
      <c r="E20" s="781" t="s">
        <v>2156</v>
      </c>
      <c r="F20" s="782" t="s">
        <v>2154</v>
      </c>
      <c r="G20" s="789"/>
      <c r="H20" s="789"/>
      <c r="I20" s="789"/>
      <c r="J20" s="789"/>
      <c r="K20" s="789"/>
      <c r="L20" s="789"/>
      <c r="M20" s="784"/>
      <c r="N20" s="784"/>
      <c r="O20" s="784"/>
      <c r="P20" s="784"/>
      <c r="Q20" s="784"/>
      <c r="R20" s="784"/>
      <c r="S20" s="784"/>
      <c r="T20" s="784"/>
      <c r="U20" s="784"/>
      <c r="V20" s="784"/>
      <c r="W20" s="784"/>
      <c r="X20" s="784"/>
      <c r="Y20" s="784"/>
      <c r="Z20" s="784"/>
      <c r="AA20" s="784"/>
      <c r="AB20" s="784"/>
      <c r="AC20" s="784"/>
      <c r="AD20" s="777" t="s">
        <v>2155</v>
      </c>
      <c r="AE20" s="785">
        <f>IF(COUNTIF(F20,"*Nm3")&gt;0,1,VLOOKUP(E20,$BA$71:$BB$72,2,FALSE))</f>
        <v>0.95712200000000003</v>
      </c>
      <c r="AF20" s="786">
        <f>VLOOKUP($F20,$BA$60:$BB$63,2,FALSE)/VLOOKUP($AD20,$BA$60:$BB$63,2,FALSE)</f>
        <v>1000</v>
      </c>
      <c r="AG20" s="787">
        <f>ROUND($AE20*G20/$AF20,0)</f>
        <v>0</v>
      </c>
      <c r="AH20" s="787">
        <f t="shared" si="12"/>
        <v>0</v>
      </c>
      <c r="AI20" s="787">
        <f t="shared" si="12"/>
        <v>0</v>
      </c>
      <c r="AJ20" s="787">
        <f t="shared" si="12"/>
        <v>0</v>
      </c>
      <c r="AK20" s="787">
        <f t="shared" si="12"/>
        <v>0</v>
      </c>
      <c r="AL20" s="787">
        <f t="shared" si="12"/>
        <v>0</v>
      </c>
      <c r="AM20" s="787">
        <f t="shared" si="12"/>
        <v>0</v>
      </c>
      <c r="AN20" s="787">
        <f t="shared" si="12"/>
        <v>0</v>
      </c>
      <c r="AO20" s="787">
        <f t="shared" si="12"/>
        <v>0</v>
      </c>
      <c r="AP20" s="787">
        <f t="shared" si="12"/>
        <v>0</v>
      </c>
      <c r="AQ20" s="787">
        <f t="shared" si="12"/>
        <v>0</v>
      </c>
      <c r="AR20" s="787">
        <f t="shared" si="12"/>
        <v>0</v>
      </c>
      <c r="AS20" s="787">
        <f t="shared" si="12"/>
        <v>0</v>
      </c>
      <c r="AT20" s="787">
        <f t="shared" si="12"/>
        <v>0</v>
      </c>
      <c r="AU20" s="787">
        <f t="shared" si="12"/>
        <v>0</v>
      </c>
      <c r="AV20" s="787">
        <f t="shared" si="12"/>
        <v>0</v>
      </c>
      <c r="AW20" s="787">
        <f t="shared" si="12"/>
        <v>0</v>
      </c>
      <c r="AX20" s="787">
        <f t="shared" si="13"/>
        <v>0</v>
      </c>
      <c r="AY20" s="787">
        <f t="shared" si="13"/>
        <v>0</v>
      </c>
      <c r="AZ20" s="787">
        <f t="shared" si="13"/>
        <v>0</v>
      </c>
      <c r="BA20" s="787">
        <f t="shared" si="13"/>
        <v>0</v>
      </c>
      <c r="BB20" s="787">
        <f t="shared" si="13"/>
        <v>0</v>
      </c>
      <c r="BC20" s="787">
        <f t="shared" si="13"/>
        <v>0</v>
      </c>
      <c r="BF20"/>
      <c r="BG20"/>
      <c r="BH20"/>
      <c r="BI20"/>
      <c r="BJ20"/>
      <c r="BK20"/>
      <c r="BL20"/>
      <c r="BM20"/>
      <c r="BN20"/>
      <c r="BO20"/>
      <c r="BP20"/>
      <c r="BQ20"/>
      <c r="BR20"/>
      <c r="BS20"/>
      <c r="BT20"/>
      <c r="BU20"/>
      <c r="BV20"/>
      <c r="BW20"/>
      <c r="BX20"/>
      <c r="BY20"/>
      <c r="BZ20"/>
      <c r="CA20"/>
      <c r="CB20"/>
      <c r="CC20"/>
    </row>
    <row r="21" spans="2:81" ht="30" customHeight="1">
      <c r="B21" s="771"/>
      <c r="C21" s="1565"/>
      <c r="D21" s="790"/>
      <c r="E21" s="1464"/>
      <c r="F21" s="1465"/>
      <c r="G21" s="1465"/>
      <c r="H21" s="1465"/>
      <c r="I21" s="1465"/>
      <c r="J21" s="1465"/>
      <c r="K21" s="1465"/>
      <c r="L21" s="1465"/>
      <c r="M21" s="1465"/>
      <c r="N21" s="1465"/>
      <c r="O21" s="1465"/>
      <c r="P21" s="1465"/>
      <c r="Q21" s="1465"/>
      <c r="R21" s="1465"/>
      <c r="S21" s="1465"/>
      <c r="T21" s="1465"/>
      <c r="U21" s="1465"/>
      <c r="V21" s="1465"/>
      <c r="W21" s="1465"/>
      <c r="X21" s="1465"/>
      <c r="Y21" s="1465"/>
      <c r="Z21" s="1465"/>
      <c r="AA21" s="1465"/>
      <c r="AB21" s="1465"/>
      <c r="AC21" s="1466"/>
      <c r="AD21" s="781"/>
      <c r="AE21" s="1472"/>
      <c r="AF21" s="1472"/>
      <c r="AG21" s="791">
        <f>SUM(AG19:AG20)</f>
        <v>0</v>
      </c>
      <c r="AH21" s="791">
        <f t="shared" ref="AH21:BC21" si="14">SUM(AH19:AH20)</f>
        <v>0</v>
      </c>
      <c r="AI21" s="791">
        <f t="shared" si="14"/>
        <v>0</v>
      </c>
      <c r="AJ21" s="791">
        <f t="shared" si="14"/>
        <v>0</v>
      </c>
      <c r="AK21" s="791">
        <f t="shared" si="14"/>
        <v>0</v>
      </c>
      <c r="AL21" s="791">
        <f t="shared" si="14"/>
        <v>0</v>
      </c>
      <c r="AM21" s="791">
        <f t="shared" si="14"/>
        <v>0</v>
      </c>
      <c r="AN21" s="791">
        <f t="shared" si="14"/>
        <v>0</v>
      </c>
      <c r="AO21" s="786">
        <f t="shared" si="14"/>
        <v>0</v>
      </c>
      <c r="AP21" s="786">
        <f t="shared" si="14"/>
        <v>0</v>
      </c>
      <c r="AQ21" s="791">
        <f t="shared" si="14"/>
        <v>0</v>
      </c>
      <c r="AR21" s="791">
        <f t="shared" si="14"/>
        <v>0</v>
      </c>
      <c r="AS21" s="786">
        <f t="shared" si="14"/>
        <v>0</v>
      </c>
      <c r="AT21" s="786">
        <f t="shared" si="14"/>
        <v>0</v>
      </c>
      <c r="AU21" s="786">
        <f t="shared" si="14"/>
        <v>0</v>
      </c>
      <c r="AV21" s="786">
        <f t="shared" si="14"/>
        <v>0</v>
      </c>
      <c r="AW21" s="786">
        <f t="shared" si="14"/>
        <v>0</v>
      </c>
      <c r="AX21" s="786">
        <f t="shared" si="14"/>
        <v>0</v>
      </c>
      <c r="AY21" s="786">
        <f t="shared" si="14"/>
        <v>0</v>
      </c>
      <c r="AZ21" s="786">
        <f t="shared" si="14"/>
        <v>0</v>
      </c>
      <c r="BA21" s="786">
        <f t="shared" si="14"/>
        <v>0</v>
      </c>
      <c r="BB21" s="786">
        <f t="shared" si="14"/>
        <v>0</v>
      </c>
      <c r="BC21" s="786">
        <f t="shared" si="14"/>
        <v>0</v>
      </c>
      <c r="BF21"/>
      <c r="BG21"/>
      <c r="BH21"/>
      <c r="BI21"/>
      <c r="BJ21"/>
      <c r="BK21"/>
      <c r="BL21"/>
      <c r="BM21"/>
      <c r="BN21"/>
      <c r="BO21"/>
      <c r="BP21"/>
      <c r="BQ21"/>
      <c r="BR21"/>
      <c r="BS21"/>
      <c r="BT21"/>
      <c r="BU21"/>
      <c r="BV21"/>
      <c r="BW21"/>
      <c r="BX21"/>
      <c r="BY21"/>
      <c r="BZ21"/>
      <c r="CA21"/>
      <c r="CB21"/>
      <c r="CC21"/>
    </row>
    <row r="22" spans="2:81" ht="12.9" customHeight="1">
      <c r="B22" s="771"/>
      <c r="C22" s="792"/>
      <c r="D22" s="771"/>
      <c r="E22" s="792"/>
      <c r="F22" s="792"/>
      <c r="G22" s="792"/>
      <c r="H22" s="792"/>
      <c r="I22" s="792"/>
      <c r="J22" s="792"/>
      <c r="K22" s="792"/>
      <c r="L22" s="792"/>
      <c r="M22" s="792"/>
      <c r="N22" s="792"/>
      <c r="O22" s="792"/>
      <c r="P22" s="792"/>
      <c r="Q22" s="792"/>
      <c r="R22" s="792"/>
      <c r="S22" s="792"/>
      <c r="T22" s="792"/>
      <c r="U22" s="792"/>
      <c r="V22" s="792"/>
      <c r="W22" s="792"/>
      <c r="X22" s="792"/>
      <c r="Y22" s="792"/>
      <c r="Z22" s="792"/>
      <c r="AA22" s="792"/>
      <c r="AB22" s="792"/>
      <c r="AC22" s="792"/>
      <c r="AD22" s="793"/>
      <c r="AE22" s="794"/>
      <c r="AF22" s="794"/>
      <c r="AG22" s="795"/>
      <c r="AH22" s="795"/>
      <c r="AI22" s="795"/>
      <c r="AJ22" s="795"/>
      <c r="AK22" s="795"/>
      <c r="AL22" s="795"/>
      <c r="AM22" s="795"/>
      <c r="AN22" s="795"/>
      <c r="AQ22" s="795"/>
      <c r="AR22" s="795"/>
      <c r="BF22"/>
      <c r="BG22"/>
      <c r="BH22"/>
      <c r="BI22"/>
      <c r="BJ22"/>
      <c r="BK22"/>
      <c r="BL22"/>
      <c r="BM22"/>
      <c r="BN22"/>
      <c r="BO22"/>
      <c r="BP22"/>
      <c r="BQ22"/>
      <c r="BR22"/>
      <c r="BS22"/>
      <c r="BT22"/>
      <c r="BU22"/>
      <c r="BV22"/>
      <c r="BW22"/>
      <c r="BX22"/>
      <c r="BY22"/>
      <c r="BZ22"/>
      <c r="CA22"/>
      <c r="CB22"/>
      <c r="CC22"/>
    </row>
    <row r="23" spans="2:81" ht="12.9" customHeight="1">
      <c r="B23" s="771" t="s">
        <v>2162</v>
      </c>
      <c r="C23" s="771"/>
      <c r="D23" s="771"/>
      <c r="E23" s="771"/>
      <c r="F23" s="771"/>
      <c r="G23" s="771"/>
      <c r="H23" s="771"/>
      <c r="I23" s="771"/>
      <c r="J23" s="771"/>
      <c r="K23" s="771"/>
      <c r="L23" s="771"/>
      <c r="M23" s="771"/>
      <c r="N23" s="771"/>
      <c r="O23" s="771"/>
      <c r="P23" s="771"/>
      <c r="Q23" s="771"/>
      <c r="R23" s="771"/>
      <c r="S23" s="771"/>
      <c r="T23" s="771"/>
      <c r="U23" s="771"/>
      <c r="V23" s="771"/>
      <c r="W23" s="771"/>
      <c r="X23" s="771"/>
      <c r="Y23" s="771"/>
      <c r="Z23" s="771"/>
      <c r="AA23" s="771"/>
      <c r="AB23" s="771"/>
      <c r="AC23" s="771"/>
      <c r="AD23" s="771"/>
      <c r="AE23" s="796"/>
      <c r="AF23" s="796"/>
      <c r="AG23" s="796"/>
      <c r="AH23" s="796"/>
      <c r="AI23" s="796"/>
      <c r="AJ23" s="796"/>
      <c r="AK23" s="796"/>
      <c r="AL23" s="796"/>
      <c r="AM23" s="796"/>
      <c r="AN23" s="796"/>
      <c r="AQ23" s="796"/>
      <c r="AR23" s="796"/>
      <c r="BF23"/>
      <c r="BG23"/>
      <c r="BH23"/>
      <c r="BI23"/>
      <c r="BJ23"/>
      <c r="BK23"/>
      <c r="BL23"/>
      <c r="BM23"/>
      <c r="BN23"/>
      <c r="BO23"/>
      <c r="BP23"/>
      <c r="BQ23"/>
      <c r="BR23"/>
      <c r="BS23"/>
      <c r="BT23"/>
      <c r="BU23"/>
      <c r="BV23"/>
      <c r="BW23"/>
      <c r="BX23"/>
      <c r="BY23"/>
      <c r="BZ23"/>
      <c r="CA23"/>
      <c r="CB23"/>
      <c r="CC23"/>
    </row>
    <row r="24" spans="2:81" ht="12.9" customHeight="1">
      <c r="B24" s="771"/>
      <c r="C24" s="771"/>
      <c r="D24" s="771"/>
      <c r="E24" s="771"/>
      <c r="F24" s="771"/>
      <c r="G24" s="771"/>
      <c r="H24" s="771"/>
      <c r="I24" s="771"/>
      <c r="J24" s="771"/>
      <c r="K24" s="771"/>
      <c r="L24" s="771"/>
      <c r="M24" s="771"/>
      <c r="N24" s="771"/>
      <c r="O24" s="771"/>
      <c r="P24" s="771"/>
      <c r="Q24" s="771"/>
      <c r="R24" s="771"/>
      <c r="S24" s="771"/>
      <c r="T24" s="771"/>
      <c r="U24" s="771"/>
      <c r="V24" s="771"/>
      <c r="W24" s="771"/>
      <c r="X24" s="771"/>
      <c r="Y24" s="771"/>
      <c r="Z24" s="771"/>
      <c r="AA24" s="771"/>
      <c r="AB24" s="771"/>
      <c r="AC24" s="771"/>
      <c r="AD24" s="771"/>
      <c r="AE24" s="796"/>
      <c r="AF24" s="796"/>
      <c r="AG24" s="796"/>
      <c r="AH24" s="796"/>
      <c r="AI24" s="796"/>
      <c r="AJ24" s="796"/>
      <c r="AK24" s="796"/>
      <c r="AL24" s="796"/>
      <c r="AM24" s="796"/>
      <c r="AN24" s="796"/>
      <c r="AQ24" s="796"/>
      <c r="AR24" s="796"/>
      <c r="BF24"/>
      <c r="BG24"/>
      <c r="BH24"/>
      <c r="BI24"/>
      <c r="BJ24"/>
      <c r="BK24"/>
      <c r="BL24"/>
      <c r="BM24"/>
      <c r="BN24"/>
      <c r="BO24"/>
      <c r="BP24"/>
      <c r="BQ24"/>
      <c r="BR24"/>
      <c r="BS24"/>
      <c r="BT24"/>
      <c r="BU24"/>
      <c r="BV24"/>
      <c r="BW24"/>
      <c r="BX24"/>
      <c r="BY24"/>
      <c r="BZ24"/>
      <c r="CA24"/>
      <c r="CB24"/>
      <c r="CC24"/>
    </row>
    <row r="25" spans="2:81" ht="30" customHeight="1">
      <c r="B25" s="771"/>
      <c r="C25" s="1564"/>
      <c r="D25" s="1564"/>
      <c r="E25" s="1564"/>
      <c r="F25" s="1564"/>
      <c r="G25" s="1440" t="s">
        <v>2100</v>
      </c>
      <c r="H25" s="1441"/>
      <c r="I25" s="1441"/>
      <c r="J25" s="1441"/>
      <c r="K25" s="1441"/>
      <c r="L25" s="1441"/>
      <c r="M25" s="1441"/>
      <c r="N25" s="1441"/>
      <c r="O25" s="1441"/>
      <c r="P25" s="1441"/>
      <c r="Q25" s="1441"/>
      <c r="R25" s="1441"/>
      <c r="S25" s="1441"/>
      <c r="T25" s="1441"/>
      <c r="U25" s="1441"/>
      <c r="V25" s="1441"/>
      <c r="W25" s="1441"/>
      <c r="X25" s="1441"/>
      <c r="Y25" s="1441"/>
      <c r="Z25" s="1441"/>
      <c r="AA25" s="1441"/>
      <c r="AB25" s="1441"/>
      <c r="AC25" s="1442"/>
      <c r="AD25" s="790" t="s">
        <v>2163</v>
      </c>
      <c r="AE25" s="797"/>
      <c r="AF25" s="797"/>
      <c r="AG25" s="1444" t="s">
        <v>2164</v>
      </c>
      <c r="AH25" s="1445"/>
      <c r="AI25" s="1445"/>
      <c r="AJ25" s="1445"/>
      <c r="AK25" s="1445"/>
      <c r="AL25" s="1445"/>
      <c r="AM25" s="1445"/>
      <c r="AN25" s="1445"/>
      <c r="AO25" s="1445"/>
      <c r="AP25" s="1445"/>
      <c r="AQ25" s="1445"/>
      <c r="AR25" s="1445"/>
      <c r="AS25" s="1445"/>
      <c r="AT25" s="1445"/>
      <c r="AU25" s="1445"/>
      <c r="AV25" s="1445"/>
      <c r="AW25" s="1445"/>
      <c r="AX25" s="1445"/>
      <c r="AY25" s="1445"/>
      <c r="AZ25" s="1445"/>
      <c r="BA25" s="1445"/>
      <c r="BB25" s="1445"/>
      <c r="BC25" s="1446"/>
      <c r="BF25"/>
      <c r="BG25"/>
      <c r="BH25"/>
      <c r="BI25"/>
      <c r="BJ25"/>
      <c r="BK25"/>
      <c r="BL25"/>
      <c r="BM25"/>
      <c r="BN25"/>
      <c r="BO25"/>
      <c r="BP25"/>
      <c r="BQ25"/>
      <c r="BR25"/>
      <c r="BS25"/>
      <c r="BT25"/>
      <c r="BU25"/>
      <c r="BV25"/>
      <c r="BW25"/>
      <c r="BX25"/>
      <c r="BY25"/>
      <c r="BZ25"/>
      <c r="CA25"/>
      <c r="CB25"/>
      <c r="CC25"/>
    </row>
    <row r="26" spans="2:81" ht="30" customHeight="1">
      <c r="B26" s="771"/>
      <c r="C26" s="1564" t="s">
        <v>2165</v>
      </c>
      <c r="D26" s="1564"/>
      <c r="E26" s="798" t="s">
        <v>2166</v>
      </c>
      <c r="F26" s="778" t="s">
        <v>69</v>
      </c>
      <c r="G26" s="779" t="s">
        <v>2128</v>
      </c>
      <c r="H26" s="779" t="s">
        <v>2129</v>
      </c>
      <c r="I26" s="779" t="s">
        <v>2130</v>
      </c>
      <c r="J26" s="779" t="s">
        <v>2131</v>
      </c>
      <c r="K26" s="779" t="s">
        <v>2132</v>
      </c>
      <c r="L26" s="779" t="s">
        <v>2133</v>
      </c>
      <c r="M26" s="779" t="s">
        <v>2134</v>
      </c>
      <c r="N26" s="779" t="s">
        <v>2135</v>
      </c>
      <c r="O26" s="779" t="s">
        <v>2136</v>
      </c>
      <c r="P26" s="779" t="s">
        <v>2137</v>
      </c>
      <c r="Q26" s="779" t="s">
        <v>2138</v>
      </c>
      <c r="R26" s="779" t="s">
        <v>2139</v>
      </c>
      <c r="S26" s="779" t="s">
        <v>2140</v>
      </c>
      <c r="T26" s="779" t="s">
        <v>2141</v>
      </c>
      <c r="U26" s="779" t="s">
        <v>2142</v>
      </c>
      <c r="V26" s="779" t="s">
        <v>2143</v>
      </c>
      <c r="W26" s="779" t="s">
        <v>2144</v>
      </c>
      <c r="X26" s="779" t="s">
        <v>2167</v>
      </c>
      <c r="Y26" s="779" t="s">
        <v>2146</v>
      </c>
      <c r="Z26" s="779" t="s">
        <v>2147</v>
      </c>
      <c r="AA26" s="779" t="s">
        <v>2148</v>
      </c>
      <c r="AB26" s="779" t="s">
        <v>2149</v>
      </c>
      <c r="AC26" s="779" t="s">
        <v>2150</v>
      </c>
      <c r="AD26" s="779" t="s">
        <v>69</v>
      </c>
      <c r="AE26" s="780" t="s">
        <v>2168</v>
      </c>
      <c r="AF26" s="780" t="s">
        <v>2169</v>
      </c>
      <c r="AG26" s="779" t="s">
        <v>2128</v>
      </c>
      <c r="AH26" s="779" t="s">
        <v>2129</v>
      </c>
      <c r="AI26" s="779" t="s">
        <v>2130</v>
      </c>
      <c r="AJ26" s="779" t="s">
        <v>2131</v>
      </c>
      <c r="AK26" s="779" t="s">
        <v>2132</v>
      </c>
      <c r="AL26" s="779" t="s">
        <v>2133</v>
      </c>
      <c r="AM26" s="779" t="s">
        <v>2134</v>
      </c>
      <c r="AN26" s="779" t="s">
        <v>2135</v>
      </c>
      <c r="AO26" s="779" t="s">
        <v>2136</v>
      </c>
      <c r="AP26" s="779" t="s">
        <v>2137</v>
      </c>
      <c r="AQ26" s="779" t="s">
        <v>2138</v>
      </c>
      <c r="AR26" s="779" t="s">
        <v>2139</v>
      </c>
      <c r="AS26" s="779" t="s">
        <v>2140</v>
      </c>
      <c r="AT26" s="779" t="s">
        <v>2141</v>
      </c>
      <c r="AU26" s="779" t="s">
        <v>2142</v>
      </c>
      <c r="AV26" s="779" t="s">
        <v>2143</v>
      </c>
      <c r="AW26" s="779" t="s">
        <v>2144</v>
      </c>
      <c r="AX26" s="779" t="s">
        <v>2167</v>
      </c>
      <c r="AY26" s="779" t="s">
        <v>2146</v>
      </c>
      <c r="AZ26" s="779" t="s">
        <v>2147</v>
      </c>
      <c r="BA26" s="779" t="s">
        <v>2148</v>
      </c>
      <c r="BB26" s="779" t="s">
        <v>2149</v>
      </c>
      <c r="BC26" s="779" t="s">
        <v>2150</v>
      </c>
      <c r="BF26"/>
      <c r="BG26"/>
      <c r="BH26"/>
      <c r="BI26"/>
      <c r="BJ26"/>
      <c r="BK26"/>
      <c r="BL26"/>
      <c r="BM26"/>
      <c r="BN26"/>
      <c r="BO26"/>
      <c r="BP26"/>
      <c r="BQ26"/>
      <c r="BR26"/>
      <c r="BS26"/>
      <c r="BT26"/>
      <c r="BU26"/>
      <c r="BV26"/>
      <c r="BW26"/>
      <c r="BX26"/>
      <c r="BY26"/>
      <c r="BZ26"/>
      <c r="CA26"/>
      <c r="CB26"/>
      <c r="CC26"/>
    </row>
    <row r="27" spans="2:81" ht="30" customHeight="1">
      <c r="B27" s="771"/>
      <c r="C27" s="1568" t="s">
        <v>2170</v>
      </c>
      <c r="D27" s="1568"/>
      <c r="E27" s="799">
        <v>0.45800000000000002</v>
      </c>
      <c r="F27" s="782" t="s">
        <v>300</v>
      </c>
      <c r="G27" s="789"/>
      <c r="H27" s="789"/>
      <c r="I27" s="789"/>
      <c r="J27" s="789"/>
      <c r="K27" s="789"/>
      <c r="L27" s="789"/>
      <c r="M27" s="784"/>
      <c r="N27" s="784"/>
      <c r="O27" s="784"/>
      <c r="P27" s="784"/>
      <c r="Q27" s="784"/>
      <c r="R27" s="784"/>
      <c r="S27" s="784"/>
      <c r="T27" s="784"/>
      <c r="U27" s="784"/>
      <c r="V27" s="784"/>
      <c r="W27" s="784"/>
      <c r="X27" s="784"/>
      <c r="Y27" s="784"/>
      <c r="Z27" s="784"/>
      <c r="AA27" s="784"/>
      <c r="AB27" s="784"/>
      <c r="AC27" s="784"/>
      <c r="AD27" s="799" t="s">
        <v>19</v>
      </c>
      <c r="AE27" s="800">
        <f>IF(OR(F27="kg",F27="ｔ"),1,E27)</f>
        <v>1</v>
      </c>
      <c r="AF27" s="786">
        <f>VLOOKUP(F27,$BA$58:$BB$61,2,FALSE)</f>
        <v>1000</v>
      </c>
      <c r="AG27" s="786">
        <f t="shared" ref="AG27:AO30" si="15">ROUND(G27/$AE27/$AF27,0)</f>
        <v>0</v>
      </c>
      <c r="AH27" s="786">
        <f t="shared" si="15"/>
        <v>0</v>
      </c>
      <c r="AI27" s="786">
        <f t="shared" si="15"/>
        <v>0</v>
      </c>
      <c r="AJ27" s="786">
        <f t="shared" si="15"/>
        <v>0</v>
      </c>
      <c r="AK27" s="786">
        <f t="shared" si="15"/>
        <v>0</v>
      </c>
      <c r="AL27" s="786">
        <f t="shared" si="15"/>
        <v>0</v>
      </c>
      <c r="AM27" s="786">
        <f t="shared" si="15"/>
        <v>0</v>
      </c>
      <c r="AN27" s="786">
        <f t="shared" si="15"/>
        <v>0</v>
      </c>
      <c r="AO27" s="786">
        <f>ROUND(O27/$AE27/$AF27,0)</f>
        <v>0</v>
      </c>
      <c r="AP27" s="786">
        <f t="shared" ref="AP27:BC30" si="16">ROUND(P27/$AE27/$AF27,0)</f>
        <v>0</v>
      </c>
      <c r="AQ27" s="786">
        <f t="shared" si="16"/>
        <v>0</v>
      </c>
      <c r="AR27" s="786">
        <f t="shared" si="16"/>
        <v>0</v>
      </c>
      <c r="AS27" s="786">
        <f t="shared" si="16"/>
        <v>0</v>
      </c>
      <c r="AT27" s="786">
        <f t="shared" si="16"/>
        <v>0</v>
      </c>
      <c r="AU27" s="786">
        <f t="shared" si="16"/>
        <v>0</v>
      </c>
      <c r="AV27" s="786">
        <f t="shared" si="16"/>
        <v>0</v>
      </c>
      <c r="AW27" s="786">
        <f t="shared" si="16"/>
        <v>0</v>
      </c>
      <c r="AX27" s="786">
        <f t="shared" si="16"/>
        <v>0</v>
      </c>
      <c r="AY27" s="786">
        <f t="shared" si="16"/>
        <v>0</v>
      </c>
      <c r="AZ27" s="786">
        <f t="shared" si="16"/>
        <v>0</v>
      </c>
      <c r="BA27" s="786">
        <f t="shared" si="16"/>
        <v>0</v>
      </c>
      <c r="BB27" s="786">
        <f t="shared" si="16"/>
        <v>0</v>
      </c>
      <c r="BC27" s="786">
        <f t="shared" si="16"/>
        <v>0</v>
      </c>
      <c r="BF27"/>
      <c r="BG27"/>
      <c r="BH27"/>
      <c r="BI27"/>
      <c r="BJ27"/>
      <c r="BK27"/>
      <c r="BL27"/>
      <c r="BM27"/>
      <c r="BN27"/>
      <c r="BO27"/>
      <c r="BP27"/>
      <c r="BQ27"/>
      <c r="BR27"/>
      <c r="BS27"/>
      <c r="BT27"/>
      <c r="BU27"/>
      <c r="BV27"/>
      <c r="BW27"/>
      <c r="BX27"/>
      <c r="BY27"/>
      <c r="BZ27"/>
      <c r="CA27"/>
      <c r="CB27"/>
      <c r="CC27"/>
    </row>
    <row r="28" spans="2:81" ht="30" customHeight="1">
      <c r="B28" s="771"/>
      <c r="C28" s="1569" t="s">
        <v>2171</v>
      </c>
      <c r="D28" s="1569"/>
      <c r="E28" s="799">
        <v>0.502</v>
      </c>
      <c r="F28" s="782" t="s">
        <v>300</v>
      </c>
      <c r="G28" s="789"/>
      <c r="H28" s="789"/>
      <c r="I28" s="789"/>
      <c r="J28" s="789"/>
      <c r="K28" s="789"/>
      <c r="L28" s="789"/>
      <c r="M28" s="784"/>
      <c r="N28" s="784"/>
      <c r="O28" s="784"/>
      <c r="P28" s="784"/>
      <c r="Q28" s="784"/>
      <c r="R28" s="784"/>
      <c r="S28" s="784"/>
      <c r="T28" s="784"/>
      <c r="U28" s="784"/>
      <c r="V28" s="784"/>
      <c r="W28" s="784"/>
      <c r="X28" s="784"/>
      <c r="Y28" s="784"/>
      <c r="Z28" s="784"/>
      <c r="AA28" s="784"/>
      <c r="AB28" s="784"/>
      <c r="AC28" s="784"/>
      <c r="AD28" s="799" t="s">
        <v>19</v>
      </c>
      <c r="AE28" s="800">
        <f>IF(OR(F28="kg",F28="ｔ"),1,E28)</f>
        <v>1</v>
      </c>
      <c r="AF28" s="786">
        <f>VLOOKUP(F28,$BA$58:$BB$61,2,FALSE)</f>
        <v>1000</v>
      </c>
      <c r="AG28" s="786">
        <f t="shared" si="15"/>
        <v>0</v>
      </c>
      <c r="AH28" s="786">
        <f t="shared" si="15"/>
        <v>0</v>
      </c>
      <c r="AI28" s="786">
        <f t="shared" si="15"/>
        <v>0</v>
      </c>
      <c r="AJ28" s="786">
        <f t="shared" si="15"/>
        <v>0</v>
      </c>
      <c r="AK28" s="786">
        <f t="shared" si="15"/>
        <v>0</v>
      </c>
      <c r="AL28" s="786">
        <f t="shared" si="15"/>
        <v>0</v>
      </c>
      <c r="AM28" s="786">
        <f t="shared" si="15"/>
        <v>0</v>
      </c>
      <c r="AN28" s="786">
        <f t="shared" si="15"/>
        <v>0</v>
      </c>
      <c r="AO28" s="786">
        <f t="shared" si="15"/>
        <v>0</v>
      </c>
      <c r="AP28" s="786">
        <f t="shared" si="16"/>
        <v>0</v>
      </c>
      <c r="AQ28" s="786">
        <f t="shared" si="16"/>
        <v>0</v>
      </c>
      <c r="AR28" s="786">
        <f t="shared" si="16"/>
        <v>0</v>
      </c>
      <c r="AS28" s="786">
        <f t="shared" si="16"/>
        <v>0</v>
      </c>
      <c r="AT28" s="786">
        <f t="shared" si="16"/>
        <v>0</v>
      </c>
      <c r="AU28" s="786">
        <f t="shared" si="16"/>
        <v>0</v>
      </c>
      <c r="AV28" s="786">
        <f t="shared" si="16"/>
        <v>0</v>
      </c>
      <c r="AW28" s="786">
        <f t="shared" si="16"/>
        <v>0</v>
      </c>
      <c r="AX28" s="786">
        <f t="shared" si="16"/>
        <v>0</v>
      </c>
      <c r="AY28" s="786">
        <f t="shared" si="16"/>
        <v>0</v>
      </c>
      <c r="AZ28" s="786">
        <f t="shared" si="16"/>
        <v>0</v>
      </c>
      <c r="BA28" s="786">
        <f t="shared" si="16"/>
        <v>0</v>
      </c>
      <c r="BB28" s="786">
        <f t="shared" si="16"/>
        <v>0</v>
      </c>
      <c r="BC28" s="786">
        <f t="shared" si="16"/>
        <v>0</v>
      </c>
      <c r="BF28"/>
      <c r="BG28"/>
      <c r="BH28"/>
      <c r="BI28"/>
      <c r="BJ28"/>
      <c r="BK28"/>
      <c r="BL28"/>
      <c r="BM28"/>
      <c r="BN28"/>
      <c r="BO28"/>
      <c r="BP28"/>
      <c r="BQ28"/>
      <c r="BR28"/>
      <c r="BS28"/>
      <c r="BT28"/>
      <c r="BU28"/>
      <c r="BV28"/>
      <c r="BW28"/>
      <c r="BX28"/>
      <c r="BY28"/>
      <c r="BZ28"/>
      <c r="CA28"/>
      <c r="CB28"/>
      <c r="CC28"/>
    </row>
    <row r="29" spans="2:81" ht="30" customHeight="1">
      <c r="B29" s="771"/>
      <c r="C29" s="1567" t="s">
        <v>2172</v>
      </c>
      <c r="D29" s="1567"/>
      <c r="E29" s="799">
        <v>0.35499999999999998</v>
      </c>
      <c r="F29" s="782" t="s">
        <v>300</v>
      </c>
      <c r="G29" s="789"/>
      <c r="H29" s="789"/>
      <c r="I29" s="789"/>
      <c r="J29" s="789"/>
      <c r="K29" s="789"/>
      <c r="L29" s="789"/>
      <c r="M29" s="784"/>
      <c r="N29" s="784"/>
      <c r="O29" s="784"/>
      <c r="P29" s="784"/>
      <c r="Q29" s="784"/>
      <c r="R29" s="784"/>
      <c r="S29" s="784"/>
      <c r="T29" s="784"/>
      <c r="U29" s="784"/>
      <c r="V29" s="784"/>
      <c r="W29" s="784"/>
      <c r="X29" s="784"/>
      <c r="Y29" s="784"/>
      <c r="Z29" s="784"/>
      <c r="AA29" s="784"/>
      <c r="AB29" s="784"/>
      <c r="AC29" s="784"/>
      <c r="AD29" s="799" t="s">
        <v>19</v>
      </c>
      <c r="AE29" s="800">
        <f>IF(OR(F29="kg",F29="ｔ"),1,E29)</f>
        <v>1</v>
      </c>
      <c r="AF29" s="786">
        <f>VLOOKUP(F29,$BA$58:$BB$61,2,FALSE)</f>
        <v>1000</v>
      </c>
      <c r="AG29" s="786">
        <f t="shared" si="15"/>
        <v>0</v>
      </c>
      <c r="AH29" s="786">
        <f t="shared" si="15"/>
        <v>0</v>
      </c>
      <c r="AI29" s="786">
        <f t="shared" si="15"/>
        <v>0</v>
      </c>
      <c r="AJ29" s="786">
        <f t="shared" si="15"/>
        <v>0</v>
      </c>
      <c r="AK29" s="786">
        <f t="shared" si="15"/>
        <v>0</v>
      </c>
      <c r="AL29" s="786">
        <f t="shared" si="15"/>
        <v>0</v>
      </c>
      <c r="AM29" s="786">
        <f t="shared" si="15"/>
        <v>0</v>
      </c>
      <c r="AN29" s="786">
        <f t="shared" si="15"/>
        <v>0</v>
      </c>
      <c r="AO29" s="786">
        <f t="shared" si="15"/>
        <v>0</v>
      </c>
      <c r="AP29" s="786">
        <f t="shared" si="16"/>
        <v>0</v>
      </c>
      <c r="AQ29" s="786">
        <f t="shared" si="16"/>
        <v>0</v>
      </c>
      <c r="AR29" s="786">
        <f t="shared" si="16"/>
        <v>0</v>
      </c>
      <c r="AS29" s="786">
        <f t="shared" si="16"/>
        <v>0</v>
      </c>
      <c r="AT29" s="786">
        <f t="shared" si="16"/>
        <v>0</v>
      </c>
      <c r="AU29" s="786">
        <f t="shared" si="16"/>
        <v>0</v>
      </c>
      <c r="AV29" s="786">
        <f t="shared" si="16"/>
        <v>0</v>
      </c>
      <c r="AW29" s="786">
        <f t="shared" si="16"/>
        <v>0</v>
      </c>
      <c r="AX29" s="786">
        <f t="shared" si="16"/>
        <v>0</v>
      </c>
      <c r="AY29" s="786">
        <f t="shared" si="16"/>
        <v>0</v>
      </c>
      <c r="AZ29" s="786">
        <f t="shared" si="16"/>
        <v>0</v>
      </c>
      <c r="BA29" s="786">
        <f t="shared" si="16"/>
        <v>0</v>
      </c>
      <c r="BB29" s="786">
        <f t="shared" si="16"/>
        <v>0</v>
      </c>
      <c r="BC29" s="786">
        <f t="shared" si="16"/>
        <v>0</v>
      </c>
      <c r="BF29"/>
      <c r="BG29"/>
      <c r="BH29"/>
      <c r="BI29"/>
      <c r="BJ29"/>
      <c r="BK29"/>
      <c r="BL29"/>
      <c r="BM29"/>
      <c r="BN29"/>
      <c r="BO29"/>
      <c r="BP29"/>
      <c r="BQ29"/>
      <c r="BR29"/>
      <c r="BS29"/>
      <c r="BT29"/>
      <c r="BU29"/>
      <c r="BV29"/>
      <c r="BW29"/>
      <c r="BX29"/>
      <c r="BY29"/>
      <c r="BZ29"/>
      <c r="CA29"/>
      <c r="CB29"/>
      <c r="CC29"/>
    </row>
    <row r="30" spans="2:81" ht="30" customHeight="1">
      <c r="B30" s="771"/>
      <c r="C30" s="1567" t="s">
        <v>2173</v>
      </c>
      <c r="D30" s="1567"/>
      <c r="E30" s="799">
        <v>0.48199999999999998</v>
      </c>
      <c r="F30" s="782" t="s">
        <v>300</v>
      </c>
      <c r="G30" s="789"/>
      <c r="H30" s="789"/>
      <c r="I30" s="789"/>
      <c r="J30" s="789"/>
      <c r="K30" s="789"/>
      <c r="L30" s="789"/>
      <c r="M30" s="784"/>
      <c r="N30" s="784"/>
      <c r="O30" s="784"/>
      <c r="P30" s="784"/>
      <c r="Q30" s="784"/>
      <c r="R30" s="784"/>
      <c r="S30" s="784"/>
      <c r="T30" s="784"/>
      <c r="U30" s="784"/>
      <c r="V30" s="784"/>
      <c r="W30" s="784"/>
      <c r="X30" s="784"/>
      <c r="Y30" s="784"/>
      <c r="Z30" s="784"/>
      <c r="AA30" s="784"/>
      <c r="AB30" s="784"/>
      <c r="AC30" s="784"/>
      <c r="AD30" s="799" t="s">
        <v>19</v>
      </c>
      <c r="AE30" s="800">
        <f>IF(OR(F30="kg",F30="ｔ"),1,E30)</f>
        <v>1</v>
      </c>
      <c r="AF30" s="786">
        <f>VLOOKUP(F30,$BA$58:$BB$61,2,FALSE)</f>
        <v>1000</v>
      </c>
      <c r="AG30" s="786">
        <f t="shared" si="15"/>
        <v>0</v>
      </c>
      <c r="AH30" s="786">
        <f t="shared" si="15"/>
        <v>0</v>
      </c>
      <c r="AI30" s="786">
        <f t="shared" si="15"/>
        <v>0</v>
      </c>
      <c r="AJ30" s="786">
        <f t="shared" si="15"/>
        <v>0</v>
      </c>
      <c r="AK30" s="786">
        <f t="shared" si="15"/>
        <v>0</v>
      </c>
      <c r="AL30" s="786">
        <f t="shared" si="15"/>
        <v>0</v>
      </c>
      <c r="AM30" s="786">
        <f t="shared" si="15"/>
        <v>0</v>
      </c>
      <c r="AN30" s="786">
        <f t="shared" si="15"/>
        <v>0</v>
      </c>
      <c r="AO30" s="786">
        <f t="shared" si="15"/>
        <v>0</v>
      </c>
      <c r="AP30" s="786">
        <f t="shared" si="16"/>
        <v>0</v>
      </c>
      <c r="AQ30" s="786">
        <f t="shared" si="16"/>
        <v>0</v>
      </c>
      <c r="AR30" s="786">
        <f t="shared" si="16"/>
        <v>0</v>
      </c>
      <c r="AS30" s="786">
        <f t="shared" si="16"/>
        <v>0</v>
      </c>
      <c r="AT30" s="786">
        <f t="shared" si="16"/>
        <v>0</v>
      </c>
      <c r="AU30" s="786">
        <f t="shared" si="16"/>
        <v>0</v>
      </c>
      <c r="AV30" s="786">
        <f t="shared" si="16"/>
        <v>0</v>
      </c>
      <c r="AW30" s="786">
        <f t="shared" si="16"/>
        <v>0</v>
      </c>
      <c r="AX30" s="786">
        <f t="shared" si="16"/>
        <v>0</v>
      </c>
      <c r="AY30" s="786">
        <f t="shared" si="16"/>
        <v>0</v>
      </c>
      <c r="AZ30" s="786">
        <f t="shared" si="16"/>
        <v>0</v>
      </c>
      <c r="BA30" s="786">
        <f t="shared" si="16"/>
        <v>0</v>
      </c>
      <c r="BB30" s="786">
        <f t="shared" si="16"/>
        <v>0</v>
      </c>
      <c r="BC30" s="786">
        <f t="shared" si="16"/>
        <v>0</v>
      </c>
      <c r="BF30"/>
      <c r="BG30"/>
      <c r="BH30"/>
      <c r="BI30"/>
      <c r="BJ30"/>
      <c r="BK30"/>
      <c r="BL30"/>
      <c r="BM30"/>
      <c r="BN30"/>
      <c r="BO30"/>
      <c r="BP30"/>
      <c r="BQ30"/>
      <c r="BR30"/>
      <c r="BS30"/>
      <c r="BT30"/>
      <c r="BU30"/>
      <c r="BV30"/>
      <c r="BW30"/>
      <c r="BX30"/>
      <c r="BY30"/>
      <c r="BZ30"/>
      <c r="CA30"/>
      <c r="CB30"/>
      <c r="CC30"/>
    </row>
    <row r="31" spans="2:81" ht="30" customHeight="1">
      <c r="B31" s="771"/>
      <c r="C31" s="1564"/>
      <c r="D31" s="1564"/>
      <c r="E31" s="1464"/>
      <c r="F31" s="1465"/>
      <c r="G31" s="1465"/>
      <c r="H31" s="1465"/>
      <c r="I31" s="1465"/>
      <c r="J31" s="1465"/>
      <c r="K31" s="1465"/>
      <c r="L31" s="1465"/>
      <c r="M31" s="1465"/>
      <c r="N31" s="1465"/>
      <c r="O31" s="1465"/>
      <c r="P31" s="1465"/>
      <c r="Q31" s="1465"/>
      <c r="R31" s="1465"/>
      <c r="S31" s="1465"/>
      <c r="T31" s="1465"/>
      <c r="U31" s="1465"/>
      <c r="V31" s="1465"/>
      <c r="W31" s="1465"/>
      <c r="X31" s="1465"/>
      <c r="Y31" s="1465"/>
      <c r="Z31" s="1465"/>
      <c r="AA31" s="1465"/>
      <c r="AB31" s="1465"/>
      <c r="AC31" s="1466"/>
      <c r="AD31" s="790"/>
      <c r="AE31" s="797"/>
      <c r="AF31" s="797"/>
      <c r="AG31" s="801">
        <f t="shared" ref="AG31:AX31" si="17">SUM(AG27:AG30)</f>
        <v>0</v>
      </c>
      <c r="AH31" s="801">
        <f t="shared" si="17"/>
        <v>0</v>
      </c>
      <c r="AI31" s="801">
        <f t="shared" si="17"/>
        <v>0</v>
      </c>
      <c r="AJ31" s="801">
        <f t="shared" si="17"/>
        <v>0</v>
      </c>
      <c r="AK31" s="801">
        <f t="shared" si="17"/>
        <v>0</v>
      </c>
      <c r="AL31" s="801">
        <f t="shared" si="17"/>
        <v>0</v>
      </c>
      <c r="AM31" s="801">
        <f t="shared" si="17"/>
        <v>0</v>
      </c>
      <c r="AN31" s="801">
        <f t="shared" si="17"/>
        <v>0</v>
      </c>
      <c r="AO31" s="801">
        <f t="shared" si="17"/>
        <v>0</v>
      </c>
      <c r="AP31" s="801">
        <f t="shared" si="17"/>
        <v>0</v>
      </c>
      <c r="AQ31" s="801">
        <f t="shared" si="17"/>
        <v>0</v>
      </c>
      <c r="AR31" s="801">
        <f t="shared" si="17"/>
        <v>0</v>
      </c>
      <c r="AS31" s="801">
        <f t="shared" si="17"/>
        <v>0</v>
      </c>
      <c r="AT31" s="801">
        <f t="shared" si="17"/>
        <v>0</v>
      </c>
      <c r="AU31" s="801">
        <f t="shared" si="17"/>
        <v>0</v>
      </c>
      <c r="AV31" s="801">
        <f t="shared" si="17"/>
        <v>0</v>
      </c>
      <c r="AW31" s="801">
        <f t="shared" si="17"/>
        <v>0</v>
      </c>
      <c r="AX31" s="801">
        <f t="shared" si="17"/>
        <v>0</v>
      </c>
      <c r="AY31" s="801">
        <f t="shared" ref="AY31:BC31" si="18">SUM(AY27:AY30)</f>
        <v>0</v>
      </c>
      <c r="AZ31" s="801">
        <f t="shared" si="18"/>
        <v>0</v>
      </c>
      <c r="BA31" s="801">
        <f t="shared" si="18"/>
        <v>0</v>
      </c>
      <c r="BB31" s="801">
        <f t="shared" si="18"/>
        <v>0</v>
      </c>
      <c r="BC31" s="801">
        <f t="shared" si="18"/>
        <v>0</v>
      </c>
      <c r="BF31"/>
      <c r="BG31"/>
      <c r="BH31"/>
      <c r="BI31"/>
      <c r="BJ31"/>
      <c r="BK31"/>
      <c r="BL31"/>
      <c r="BM31"/>
      <c r="BN31"/>
      <c r="BO31"/>
      <c r="BP31"/>
      <c r="BQ31"/>
      <c r="BR31"/>
      <c r="BS31"/>
      <c r="BT31"/>
      <c r="BU31"/>
      <c r="BV31"/>
      <c r="BW31"/>
      <c r="BX31"/>
      <c r="BY31"/>
      <c r="BZ31"/>
      <c r="CA31"/>
      <c r="CB31"/>
      <c r="CC31"/>
    </row>
    <row r="32" spans="2:81" ht="12.9" customHeight="1">
      <c r="B32" s="771"/>
      <c r="C32" s="771"/>
      <c r="D32" s="771"/>
      <c r="E32" s="771"/>
      <c r="F32" s="771"/>
      <c r="G32" s="771"/>
      <c r="H32" s="771"/>
      <c r="I32" s="771"/>
      <c r="J32" s="771"/>
      <c r="K32" s="771"/>
      <c r="L32" s="771"/>
      <c r="M32" s="771"/>
      <c r="N32" s="771"/>
      <c r="O32" s="771"/>
      <c r="P32" s="771"/>
      <c r="Q32" s="771"/>
      <c r="R32" s="771"/>
      <c r="S32" s="771"/>
      <c r="T32" s="771"/>
      <c r="U32" s="771"/>
      <c r="V32" s="771"/>
      <c r="W32" s="771"/>
      <c r="X32" s="771"/>
      <c r="Y32" s="771"/>
      <c r="Z32" s="771"/>
      <c r="AA32" s="771"/>
      <c r="AB32" s="771"/>
      <c r="AC32" s="771"/>
      <c r="AD32" s="771"/>
      <c r="AE32" s="796"/>
      <c r="AF32" s="796"/>
      <c r="AG32" s="796"/>
      <c r="AH32" s="796"/>
      <c r="AI32" s="796"/>
      <c r="AJ32" s="796"/>
      <c r="AK32" s="796"/>
      <c r="AL32" s="796"/>
      <c r="AM32" s="796"/>
      <c r="AN32" s="796"/>
      <c r="AQ32" s="796"/>
      <c r="AR32" s="796"/>
      <c r="BF32"/>
      <c r="BG32"/>
      <c r="BH32"/>
      <c r="BI32"/>
      <c r="BJ32"/>
      <c r="BK32"/>
      <c r="BL32"/>
      <c r="BM32"/>
      <c r="BN32"/>
      <c r="BO32"/>
      <c r="BP32"/>
      <c r="BQ32"/>
      <c r="BR32"/>
      <c r="BS32"/>
      <c r="BT32"/>
      <c r="BU32"/>
      <c r="BV32"/>
      <c r="BW32"/>
      <c r="BX32"/>
      <c r="BY32"/>
      <c r="BZ32"/>
      <c r="CA32"/>
      <c r="CB32"/>
      <c r="CC32"/>
    </row>
    <row r="33" spans="2:81" ht="12.9" customHeight="1">
      <c r="B33" s="771" t="s">
        <v>2174</v>
      </c>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c r="AD33" s="771"/>
      <c r="AE33" s="796"/>
      <c r="AF33" s="796"/>
      <c r="AG33" s="796"/>
      <c r="AH33" s="796"/>
      <c r="AI33" s="796"/>
      <c r="AJ33" s="796"/>
      <c r="AK33" s="796"/>
      <c r="AL33" s="796"/>
      <c r="AM33" s="796"/>
      <c r="AN33" s="796"/>
      <c r="AQ33" s="796"/>
      <c r="AR33" s="796"/>
      <c r="BF33"/>
      <c r="BG33"/>
      <c r="BH33"/>
      <c r="BI33"/>
      <c r="BJ33"/>
      <c r="BK33"/>
      <c r="BL33"/>
      <c r="BM33"/>
      <c r="BN33"/>
      <c r="BO33"/>
      <c r="BP33"/>
      <c r="BQ33"/>
      <c r="BR33"/>
      <c r="BS33"/>
      <c r="BT33"/>
      <c r="BU33"/>
      <c r="BV33"/>
      <c r="BW33"/>
      <c r="BX33"/>
      <c r="BY33"/>
      <c r="BZ33"/>
      <c r="CA33"/>
      <c r="CB33"/>
      <c r="CC33"/>
    </row>
    <row r="34" spans="2:81" ht="12.9" customHeight="1">
      <c r="B34" s="771"/>
      <c r="C34" s="771"/>
      <c r="D34" s="771"/>
      <c r="E34" s="771"/>
      <c r="F34" s="771"/>
      <c r="G34" s="771"/>
      <c r="H34" s="771"/>
      <c r="I34" s="771"/>
      <c r="J34" s="771"/>
      <c r="K34" s="771"/>
      <c r="L34" s="771"/>
      <c r="M34" s="771"/>
      <c r="N34" s="771"/>
      <c r="O34" s="771"/>
      <c r="P34" s="771"/>
      <c r="Q34" s="771"/>
      <c r="R34" s="771"/>
      <c r="S34" s="771"/>
      <c r="T34" s="771"/>
      <c r="U34" s="771"/>
      <c r="V34" s="771"/>
      <c r="W34" s="771"/>
      <c r="X34" s="771"/>
      <c r="Y34" s="771"/>
      <c r="Z34" s="771"/>
      <c r="AA34" s="771"/>
      <c r="AB34" s="771"/>
      <c r="AC34" s="771"/>
      <c r="AD34" s="771"/>
      <c r="AE34" s="796"/>
      <c r="AF34" s="796"/>
      <c r="AG34" s="796"/>
      <c r="AH34" s="796"/>
      <c r="AI34" s="796"/>
      <c r="AJ34" s="796"/>
      <c r="AK34" s="796"/>
      <c r="AL34" s="796"/>
      <c r="AM34" s="796"/>
      <c r="AN34" s="796"/>
      <c r="AQ34" s="796"/>
      <c r="AR34" s="796"/>
      <c r="BF34"/>
      <c r="BG34"/>
      <c r="BH34"/>
      <c r="BI34"/>
      <c r="BJ34"/>
      <c r="BK34"/>
      <c r="BL34"/>
      <c r="BM34"/>
      <c r="BN34"/>
      <c r="BO34"/>
      <c r="BP34"/>
      <c r="BQ34"/>
      <c r="BR34"/>
      <c r="BS34"/>
      <c r="BT34"/>
      <c r="BU34"/>
      <c r="BV34"/>
      <c r="BW34"/>
      <c r="BX34"/>
      <c r="BY34"/>
      <c r="BZ34"/>
      <c r="CA34"/>
      <c r="CB34"/>
      <c r="CC34"/>
    </row>
    <row r="35" spans="2:81" ht="30" customHeight="1">
      <c r="B35" s="771"/>
      <c r="C35" s="1437"/>
      <c r="D35" s="1438"/>
      <c r="E35" s="1438"/>
      <c r="F35" s="1439"/>
      <c r="G35" s="1440" t="s">
        <v>2100</v>
      </c>
      <c r="H35" s="1441"/>
      <c r="I35" s="1441"/>
      <c r="J35" s="1441"/>
      <c r="K35" s="1441"/>
      <c r="L35" s="1441"/>
      <c r="M35" s="1441"/>
      <c r="N35" s="1441"/>
      <c r="O35" s="1441"/>
      <c r="P35" s="1441"/>
      <c r="Q35" s="1441"/>
      <c r="R35" s="1441"/>
      <c r="S35" s="1441"/>
      <c r="T35" s="1441"/>
      <c r="U35" s="1441"/>
      <c r="V35" s="1441"/>
      <c r="W35" s="1441"/>
      <c r="X35" s="1441"/>
      <c r="Y35" s="1441"/>
      <c r="Z35" s="1441"/>
      <c r="AA35" s="1441"/>
      <c r="AB35" s="1441"/>
      <c r="AC35" s="1442"/>
      <c r="AD35" s="777" t="s">
        <v>2101</v>
      </c>
      <c r="AE35" s="802"/>
      <c r="AF35" s="803"/>
      <c r="AG35" s="1444" t="s">
        <v>2175</v>
      </c>
      <c r="AH35" s="1445"/>
      <c r="AI35" s="1445"/>
      <c r="AJ35" s="1445"/>
      <c r="AK35" s="1445"/>
      <c r="AL35" s="1445"/>
      <c r="AM35" s="1445"/>
      <c r="AN35" s="1445"/>
      <c r="AO35" s="1445"/>
      <c r="AP35" s="1445"/>
      <c r="AQ35" s="1445"/>
      <c r="AR35" s="1445"/>
      <c r="AS35" s="1445"/>
      <c r="AT35" s="1445"/>
      <c r="AU35" s="1445"/>
      <c r="AV35" s="1445"/>
      <c r="AW35" s="1445"/>
      <c r="AX35" s="1445"/>
      <c r="AY35" s="1445"/>
      <c r="AZ35" s="1445"/>
      <c r="BA35" s="1445"/>
      <c r="BB35" s="1445"/>
      <c r="BC35" s="1446"/>
      <c r="BF35"/>
      <c r="BG35"/>
      <c r="BH35"/>
      <c r="BI35"/>
      <c r="BJ35"/>
      <c r="BK35"/>
      <c r="BL35"/>
      <c r="BM35"/>
      <c r="BN35"/>
      <c r="BO35"/>
      <c r="BP35"/>
      <c r="BQ35"/>
      <c r="BR35"/>
      <c r="BS35"/>
      <c r="BT35"/>
      <c r="BU35"/>
      <c r="BV35"/>
      <c r="BW35"/>
      <c r="BX35"/>
      <c r="BY35"/>
      <c r="BZ35"/>
      <c r="CA35"/>
      <c r="CB35"/>
      <c r="CC35"/>
    </row>
    <row r="36" spans="2:81" ht="30" customHeight="1">
      <c r="B36" s="771"/>
      <c r="C36" s="1447"/>
      <c r="D36" s="1448"/>
      <c r="E36" s="1449"/>
      <c r="F36" s="778" t="s">
        <v>69</v>
      </c>
      <c r="G36" s="779" t="s">
        <v>2128</v>
      </c>
      <c r="H36" s="779" t="s">
        <v>2129</v>
      </c>
      <c r="I36" s="779" t="s">
        <v>2130</v>
      </c>
      <c r="J36" s="779" t="s">
        <v>2131</v>
      </c>
      <c r="K36" s="779" t="s">
        <v>2132</v>
      </c>
      <c r="L36" s="779" t="s">
        <v>2133</v>
      </c>
      <c r="M36" s="779" t="s">
        <v>2134</v>
      </c>
      <c r="N36" s="779" t="s">
        <v>2135</v>
      </c>
      <c r="O36" s="779" t="s">
        <v>2136</v>
      </c>
      <c r="P36" s="779" t="s">
        <v>2137</v>
      </c>
      <c r="Q36" s="779" t="s">
        <v>2138</v>
      </c>
      <c r="R36" s="779" t="s">
        <v>2139</v>
      </c>
      <c r="S36" s="779" t="s">
        <v>2140</v>
      </c>
      <c r="T36" s="779" t="s">
        <v>2141</v>
      </c>
      <c r="U36" s="779" t="s">
        <v>2142</v>
      </c>
      <c r="V36" s="779" t="s">
        <v>2143</v>
      </c>
      <c r="W36" s="779" t="s">
        <v>2144</v>
      </c>
      <c r="X36" s="779" t="s">
        <v>2167</v>
      </c>
      <c r="Y36" s="779" t="s">
        <v>2146</v>
      </c>
      <c r="Z36" s="779" t="s">
        <v>2147</v>
      </c>
      <c r="AA36" s="779" t="s">
        <v>2148</v>
      </c>
      <c r="AB36" s="779" t="s">
        <v>2149</v>
      </c>
      <c r="AC36" s="779" t="s">
        <v>2150</v>
      </c>
      <c r="AD36" s="779" t="s">
        <v>69</v>
      </c>
      <c r="AE36" s="780"/>
      <c r="AF36" s="780"/>
      <c r="AG36" s="779" t="s">
        <v>2128</v>
      </c>
      <c r="AH36" s="779" t="s">
        <v>2129</v>
      </c>
      <c r="AI36" s="779" t="s">
        <v>2130</v>
      </c>
      <c r="AJ36" s="779" t="s">
        <v>2131</v>
      </c>
      <c r="AK36" s="779" t="s">
        <v>2132</v>
      </c>
      <c r="AL36" s="779" t="s">
        <v>2133</v>
      </c>
      <c r="AM36" s="779" t="s">
        <v>2134</v>
      </c>
      <c r="AN36" s="779" t="s">
        <v>2135</v>
      </c>
      <c r="AO36" s="779" t="s">
        <v>2136</v>
      </c>
      <c r="AP36" s="779" t="s">
        <v>2137</v>
      </c>
      <c r="AQ36" s="779" t="s">
        <v>2138</v>
      </c>
      <c r="AR36" s="779" t="s">
        <v>2139</v>
      </c>
      <c r="AS36" s="779" t="s">
        <v>2140</v>
      </c>
      <c r="AT36" s="779" t="s">
        <v>2141</v>
      </c>
      <c r="AU36" s="779" t="s">
        <v>2142</v>
      </c>
      <c r="AV36" s="779" t="s">
        <v>2143</v>
      </c>
      <c r="AW36" s="779" t="s">
        <v>2144</v>
      </c>
      <c r="AX36" s="779" t="s">
        <v>2167</v>
      </c>
      <c r="AY36" s="779" t="s">
        <v>2146</v>
      </c>
      <c r="AZ36" s="779" t="s">
        <v>2147</v>
      </c>
      <c r="BA36" s="779" t="s">
        <v>2148</v>
      </c>
      <c r="BB36" s="779" t="s">
        <v>2149</v>
      </c>
      <c r="BC36" s="779" t="s">
        <v>2150</v>
      </c>
      <c r="BF36"/>
      <c r="BG36"/>
      <c r="BH36"/>
      <c r="BI36"/>
      <c r="BJ36"/>
      <c r="BK36"/>
      <c r="BL36"/>
      <c r="BM36"/>
      <c r="BN36"/>
      <c r="BO36"/>
      <c r="BP36"/>
      <c r="BQ36"/>
      <c r="BR36"/>
      <c r="BS36"/>
      <c r="BT36"/>
      <c r="BU36"/>
      <c r="BV36"/>
      <c r="BW36"/>
      <c r="BX36"/>
      <c r="BY36"/>
      <c r="BZ36"/>
      <c r="CA36"/>
      <c r="CB36"/>
      <c r="CC36"/>
    </row>
    <row r="37" spans="2:81" ht="30" customHeight="1">
      <c r="B37" s="771"/>
      <c r="C37" s="1450" t="s">
        <v>2176</v>
      </c>
      <c r="D37" s="1451"/>
      <c r="E37" s="804" t="s">
        <v>2177</v>
      </c>
      <c r="F37" s="778" t="s">
        <v>2178</v>
      </c>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779"/>
      <c r="AE37" s="806" t="s">
        <v>2127</v>
      </c>
      <c r="AF37" s="802"/>
      <c r="AG37" s="807">
        <f>IF(COUNTIF(F39,"*Nm3")&gt;0,1,G37/101.325*273.15/(273.15+G38))</f>
        <v>0</v>
      </c>
      <c r="AH37" s="807">
        <f>IF(COUNTIF(F39,"*Nm3")&gt;0,1,H37/101.325*273.15/(273.15+H38))</f>
        <v>0</v>
      </c>
      <c r="AI37" s="807">
        <f>IF(COUNTIF(F39,"*Nm3")&gt;0,1,I37/101.325*273.15/(273.15+I38))</f>
        <v>0</v>
      </c>
      <c r="AJ37" s="807">
        <f>IF(COUNTIF(F39,"*Nm3")&gt;0,1,J37/101.325*273.15/(273.15+J38))</f>
        <v>0</v>
      </c>
      <c r="AK37" s="807">
        <f>IF(COUNTIF(F39,"*Nm3")&gt;0,1,K37/101.325*273.15/(273.15+K38))</f>
        <v>0</v>
      </c>
      <c r="AL37" s="807">
        <f>IF(COUNTIF(F39,"*Nm3")&gt;0,1,L37/101.325*273.15/(273.15+L38))</f>
        <v>0</v>
      </c>
      <c r="AM37" s="807">
        <f>IF(COUNTIF(F39,"*Nm3")&gt;0,1,M37/101.325*273.15/(273.15+M38))</f>
        <v>0</v>
      </c>
      <c r="AN37" s="807">
        <f>IF(COUNTIF(F39,"*Nm3")&gt;0,1,N37/101.325*273.15/(273.15+N38))</f>
        <v>0</v>
      </c>
      <c r="AO37" s="807">
        <f>IF(COUNTIF(F39,"*Nm3")&gt;0,1,O37/101.325*273.15/(273.15+O38))</f>
        <v>0</v>
      </c>
      <c r="AP37" s="807">
        <f>IF(COUNTIF(F39,"*Nm3")&gt;0,1,P37/101.325*273.15/(273.15+P38))</f>
        <v>0</v>
      </c>
      <c r="AQ37" s="807">
        <f>IF(COUNTIF(F39,"*Nm3")&gt;0,1,Q37/101.325*273.15/(273.15+Q38))</f>
        <v>0</v>
      </c>
      <c r="AR37" s="807">
        <f>IF(COUNTIF(F39,"*Nm3")&gt;0,1,R37/101.325*273.15/(273.15+R38))</f>
        <v>0</v>
      </c>
      <c r="AS37" s="807">
        <f t="shared" ref="AS37:BC37" si="19">IF(COUNTIF(F39,"*Nm3")&gt;0,1,S37/101.325*273.15/(273.15+S38))</f>
        <v>0</v>
      </c>
      <c r="AT37" s="807">
        <f t="shared" si="19"/>
        <v>0</v>
      </c>
      <c r="AU37" s="807">
        <f t="shared" si="19"/>
        <v>0</v>
      </c>
      <c r="AV37" s="807">
        <f t="shared" si="19"/>
        <v>0</v>
      </c>
      <c r="AW37" s="807">
        <f t="shared" si="19"/>
        <v>0</v>
      </c>
      <c r="AX37" s="807">
        <f t="shared" si="19"/>
        <v>0</v>
      </c>
      <c r="AY37" s="807">
        <f t="shared" si="19"/>
        <v>0</v>
      </c>
      <c r="AZ37" s="807">
        <f t="shared" si="19"/>
        <v>0</v>
      </c>
      <c r="BA37" s="807">
        <f t="shared" si="19"/>
        <v>0</v>
      </c>
      <c r="BB37" s="807">
        <f t="shared" si="19"/>
        <v>0</v>
      </c>
      <c r="BC37" s="807">
        <f t="shared" si="19"/>
        <v>0</v>
      </c>
      <c r="BF37"/>
      <c r="BG37"/>
      <c r="BH37"/>
      <c r="BI37"/>
      <c r="BJ37"/>
      <c r="BK37"/>
      <c r="BL37"/>
      <c r="BM37"/>
      <c r="BN37"/>
      <c r="BO37"/>
      <c r="BP37"/>
      <c r="BQ37"/>
      <c r="BR37"/>
      <c r="BS37"/>
      <c r="BT37"/>
      <c r="BU37"/>
      <c r="BV37"/>
      <c r="BW37"/>
      <c r="BX37"/>
      <c r="BY37"/>
      <c r="BZ37"/>
      <c r="CA37"/>
      <c r="CB37"/>
      <c r="CC37"/>
    </row>
    <row r="38" spans="2:81" ht="30" customHeight="1">
      <c r="B38" s="771"/>
      <c r="C38" s="1452"/>
      <c r="D38" s="1453"/>
      <c r="E38" s="804" t="s">
        <v>2179</v>
      </c>
      <c r="F38" s="778" t="s">
        <v>2180</v>
      </c>
      <c r="G38" s="805"/>
      <c r="H38" s="805"/>
      <c r="I38" s="805"/>
      <c r="J38" s="805"/>
      <c r="K38" s="805"/>
      <c r="L38" s="805"/>
      <c r="M38" s="805"/>
      <c r="N38" s="805"/>
      <c r="O38" s="805"/>
      <c r="P38" s="805"/>
      <c r="Q38" s="805"/>
      <c r="R38" s="805"/>
      <c r="S38" s="805"/>
      <c r="T38" s="805"/>
      <c r="U38" s="805"/>
      <c r="V38" s="805"/>
      <c r="W38" s="805"/>
      <c r="X38" s="805"/>
      <c r="Y38" s="808"/>
      <c r="Z38" s="808"/>
      <c r="AA38" s="808"/>
      <c r="AB38" s="808"/>
      <c r="AC38" s="805"/>
      <c r="AD38" s="1433"/>
      <c r="AE38" s="1434"/>
      <c r="AF38" s="1434"/>
      <c r="AG38" s="1434"/>
      <c r="AH38" s="1434"/>
      <c r="AI38" s="1434"/>
      <c r="AJ38" s="1434"/>
      <c r="AK38" s="1434"/>
      <c r="AL38" s="1434"/>
      <c r="AM38" s="1434"/>
      <c r="AN38" s="1434"/>
      <c r="AO38" s="1434"/>
      <c r="AP38" s="1434"/>
      <c r="AQ38" s="1434"/>
      <c r="AR38" s="1434"/>
      <c r="AS38" s="1435"/>
      <c r="AT38" s="809"/>
      <c r="AU38" s="809"/>
      <c r="AV38" s="809"/>
      <c r="AW38" s="809"/>
      <c r="AX38" s="809"/>
      <c r="AY38" s="809"/>
      <c r="AZ38" s="809"/>
      <c r="BA38" s="809"/>
      <c r="BB38" s="809"/>
      <c r="BC38" s="810"/>
      <c r="BF38"/>
      <c r="BG38"/>
      <c r="BH38"/>
      <c r="BI38"/>
      <c r="BJ38"/>
      <c r="BK38"/>
      <c r="BL38"/>
      <c r="BM38"/>
      <c r="BN38"/>
      <c r="BO38"/>
      <c r="BP38"/>
      <c r="BQ38"/>
      <c r="BR38"/>
      <c r="BS38"/>
      <c r="BT38"/>
      <c r="BU38"/>
      <c r="BV38"/>
      <c r="BW38"/>
      <c r="BX38"/>
      <c r="BY38"/>
      <c r="BZ38"/>
      <c r="CA38"/>
      <c r="CB38"/>
      <c r="CC38"/>
    </row>
    <row r="39" spans="2:81" ht="30" customHeight="1">
      <c r="B39" s="771"/>
      <c r="C39" s="1454"/>
      <c r="D39" s="1455"/>
      <c r="E39" s="811" t="s">
        <v>75</v>
      </c>
      <c r="F39" s="782" t="s">
        <v>2154</v>
      </c>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77" t="s">
        <v>2155</v>
      </c>
      <c r="AE39" s="812" t="s">
        <v>77</v>
      </c>
      <c r="AF39" s="786">
        <f>VLOOKUP($F39,$BA$60:$BB$63,2,FALSE)/VLOOKUP($AD39,$BA$60:$BB$63,2,FALSE)</f>
        <v>1000</v>
      </c>
      <c r="AG39" s="786">
        <f>ROUND(H14_その他ガス*$AG37/$AF39,0)</f>
        <v>0</v>
      </c>
      <c r="AH39" s="786">
        <f>ROUND(H15_その他ガス*$AH37/$AF39,0)</f>
        <v>0</v>
      </c>
      <c r="AI39" s="786">
        <f>ROUND(H16_その他ガス*$AI37/$AF39,0)</f>
        <v>0</v>
      </c>
      <c r="AJ39" s="786">
        <f>ROUND(H17_その他ガス*$AJ37/$AF39,0)</f>
        <v>0</v>
      </c>
      <c r="AK39" s="786">
        <f>ROUND(H18_その他ガス*$AK37/$AF39,0)</f>
        <v>0</v>
      </c>
      <c r="AL39" s="786">
        <f>ROUND(H19_その他ガス*$AL37/$AF39,0)</f>
        <v>0</v>
      </c>
      <c r="AM39" s="786">
        <f>ROUND(H20_その他ガス*$AM37/$AF39,0)</f>
        <v>0</v>
      </c>
      <c r="AN39" s="786">
        <f>ROUND(H21_その他ガス*$AN37/$AF39,0)</f>
        <v>0</v>
      </c>
      <c r="AO39" s="786">
        <f>ROUND(H22_その他ガス*$AO37/$AF39,0)</f>
        <v>0</v>
      </c>
      <c r="AP39" s="786">
        <f>ROUND(H23_その他ガス*$AP37/$AF39,0)</f>
        <v>0</v>
      </c>
      <c r="AQ39" s="786">
        <f>ROUND(H24_その他ガス*$AQ37/$AF39,0)</f>
        <v>0</v>
      </c>
      <c r="AR39" s="786">
        <f>ROUND(H25_その他ガス*$AR37/$AF39,0)</f>
        <v>0</v>
      </c>
      <c r="AS39" s="786">
        <f>ROUND(H26_その他ガス*$AS37/$AF39,0)</f>
        <v>0</v>
      </c>
      <c r="AT39" s="786">
        <f>ROUND(H27_その他ガス*$AS37/$AF39,0)</f>
        <v>0</v>
      </c>
      <c r="AU39" s="786">
        <f>ROUND(H28_その他ガス*$AS37/$AF39,0)</f>
        <v>0</v>
      </c>
      <c r="AV39" s="786">
        <f>ROUND(H29_その他ガス*$AS37/$AF39,0)</f>
        <v>0</v>
      </c>
      <c r="AW39" s="786">
        <f>ROUND(H30_その他ガス*$AS37/$AF39,0)</f>
        <v>0</v>
      </c>
      <c r="AX39" s="786">
        <f>ROUND(H31_その他ガス*$AS37/$AF39,0)</f>
        <v>0</v>
      </c>
      <c r="AY39" s="786">
        <f>ROUND(Y39*$AS37/$AF39,0)</f>
        <v>0</v>
      </c>
      <c r="AZ39" s="786">
        <f t="shared" ref="AZ39:BC39" si="20">ROUND(Z39*$AS37/$AF39,0)</f>
        <v>0</v>
      </c>
      <c r="BA39" s="786">
        <f t="shared" si="20"/>
        <v>0</v>
      </c>
      <c r="BB39" s="786">
        <f t="shared" si="20"/>
        <v>0</v>
      </c>
      <c r="BC39" s="786">
        <f t="shared" si="20"/>
        <v>0</v>
      </c>
      <c r="BF39"/>
      <c r="BG39"/>
      <c r="BH39"/>
      <c r="BI39"/>
      <c r="BJ39"/>
      <c r="BK39"/>
      <c r="BL39"/>
      <c r="BM39"/>
      <c r="BN39"/>
      <c r="BO39"/>
      <c r="BP39"/>
      <c r="BQ39"/>
      <c r="BR39"/>
      <c r="BS39"/>
      <c r="BT39"/>
      <c r="BU39"/>
      <c r="BV39"/>
      <c r="BW39"/>
      <c r="BX39"/>
      <c r="BY39"/>
      <c r="BZ39"/>
      <c r="CA39"/>
      <c r="CB39"/>
      <c r="CC39"/>
    </row>
    <row r="40" spans="2:81" ht="30" customHeight="1">
      <c r="B40" s="771"/>
      <c r="C40" s="1456" t="s">
        <v>29</v>
      </c>
      <c r="D40" s="1457"/>
      <c r="E40" s="804" t="s">
        <v>2177</v>
      </c>
      <c r="F40" s="778" t="s">
        <v>2178</v>
      </c>
      <c r="G40" s="805"/>
      <c r="H40" s="805"/>
      <c r="I40" s="805"/>
      <c r="J40" s="805"/>
      <c r="K40" s="805"/>
      <c r="L40" s="805"/>
      <c r="M40" s="805"/>
      <c r="N40" s="805"/>
      <c r="O40" s="805"/>
      <c r="P40" s="805"/>
      <c r="Q40" s="805"/>
      <c r="R40" s="805"/>
      <c r="S40" s="805"/>
      <c r="T40" s="805"/>
      <c r="U40" s="805"/>
      <c r="V40" s="805"/>
      <c r="W40" s="805"/>
      <c r="X40" s="805"/>
      <c r="Y40" s="805"/>
      <c r="Z40" s="805"/>
      <c r="AA40" s="805"/>
      <c r="AB40" s="805"/>
      <c r="AC40" s="805"/>
      <c r="AD40" s="779"/>
      <c r="AE40" s="806" t="s">
        <v>2127</v>
      </c>
      <c r="AF40" s="780"/>
      <c r="AG40" s="807">
        <f>IF(COUNTIF(F42,"*Nm3")&gt;0,1,G40/101.325*273.15/(273.15+G41))</f>
        <v>0</v>
      </c>
      <c r="AH40" s="807">
        <f>IF(COUNTIF(F42,"*Nm3")&gt;0,1,H40/101.325*273.15/(273.15+H41))</f>
        <v>0</v>
      </c>
      <c r="AI40" s="807">
        <f>IF(COUNTIF(F42,"*Nm3")&gt;0,1,I40/101.325*273.15/(273.15+I41))</f>
        <v>0</v>
      </c>
      <c r="AJ40" s="807">
        <f>IF(COUNTIF(F42,"*Nm3")&gt;0,1,J40/101.325*273.15/(273.15+J41))</f>
        <v>0</v>
      </c>
      <c r="AK40" s="807">
        <f>IF(COUNTIF(F42,"*Nm3")&gt;0,1,K40/101.325*273.15/(273.15+K41))</f>
        <v>0</v>
      </c>
      <c r="AL40" s="807">
        <f>IF(COUNTIF(F42,"*Nm3")&gt;0,1,L40/101.325*273.15/(273.15+L41))</f>
        <v>0</v>
      </c>
      <c r="AM40" s="807">
        <f>IF(COUNTIF(F42,"*Nm3")&gt;0,1,M40/101.325*273.15/(273.15+M41))</f>
        <v>0</v>
      </c>
      <c r="AN40" s="807">
        <f>IF(COUNTIF(F42,"*Nm3")&gt;0,1,N40/101.325*273.15/(273.15+N41))</f>
        <v>0</v>
      </c>
      <c r="AO40" s="807">
        <f>IF(COUNTIF(F42,"*Nm3")&gt;0,1,O40/101.325*273.15/(273.15+O41))</f>
        <v>0</v>
      </c>
      <c r="AP40" s="807">
        <f>IF(COUNTIF(F42,"*Nm3")&gt;0,1,P40/101.325*273.15/(273.15+P41))</f>
        <v>0</v>
      </c>
      <c r="AQ40" s="807">
        <f>IF(COUNTIF(F42,"*Nm3")&gt;0,1,Q40/101.325*273.15/(273.15+Q41))</f>
        <v>0</v>
      </c>
      <c r="AR40" s="807">
        <f>IF(COUNTIF(F42,"*Nm3")&gt;0,1,R40/101.325*273.15/(273.15+R41))</f>
        <v>0</v>
      </c>
      <c r="AS40" s="807">
        <f t="shared" ref="AS40:BC40" si="21">IF(COUNTIF(F42,"*Nm3")&gt;0,1,S40/101.325*273.15/(273.15+S41))</f>
        <v>0</v>
      </c>
      <c r="AT40" s="807">
        <f t="shared" si="21"/>
        <v>0</v>
      </c>
      <c r="AU40" s="807">
        <f t="shared" si="21"/>
        <v>0</v>
      </c>
      <c r="AV40" s="807">
        <f t="shared" si="21"/>
        <v>0</v>
      </c>
      <c r="AW40" s="807">
        <f t="shared" si="21"/>
        <v>0</v>
      </c>
      <c r="AX40" s="807">
        <f t="shared" si="21"/>
        <v>0</v>
      </c>
      <c r="AY40" s="807">
        <f t="shared" si="21"/>
        <v>0</v>
      </c>
      <c r="AZ40" s="807">
        <f t="shared" si="21"/>
        <v>0</v>
      </c>
      <c r="BA40" s="807">
        <f t="shared" si="21"/>
        <v>0</v>
      </c>
      <c r="BB40" s="807">
        <f t="shared" si="21"/>
        <v>0</v>
      </c>
      <c r="BC40" s="807">
        <f t="shared" si="21"/>
        <v>0</v>
      </c>
      <c r="BF40"/>
      <c r="BG40"/>
      <c r="BH40"/>
      <c r="BI40"/>
      <c r="BJ40"/>
      <c r="BK40"/>
      <c r="BL40"/>
      <c r="BM40"/>
      <c r="BN40"/>
      <c r="BO40"/>
      <c r="BP40"/>
      <c r="BQ40"/>
      <c r="BR40"/>
      <c r="BS40"/>
      <c r="BT40"/>
      <c r="BU40"/>
      <c r="BV40"/>
      <c r="BW40"/>
      <c r="BX40"/>
      <c r="BY40"/>
      <c r="BZ40"/>
      <c r="CA40"/>
      <c r="CB40"/>
      <c r="CC40"/>
    </row>
    <row r="41" spans="2:81" ht="30" customHeight="1">
      <c r="B41" s="771"/>
      <c r="C41" s="1458"/>
      <c r="D41" s="1459"/>
      <c r="E41" s="804" t="s">
        <v>2179</v>
      </c>
      <c r="F41" s="778" t="s">
        <v>2180</v>
      </c>
      <c r="G41" s="805"/>
      <c r="H41" s="805"/>
      <c r="I41" s="805"/>
      <c r="J41" s="805"/>
      <c r="K41" s="805"/>
      <c r="L41" s="805"/>
      <c r="M41" s="805"/>
      <c r="N41" s="805"/>
      <c r="O41" s="805"/>
      <c r="P41" s="805"/>
      <c r="Q41" s="805"/>
      <c r="R41" s="805"/>
      <c r="S41" s="805"/>
      <c r="T41" s="808"/>
      <c r="U41" s="808"/>
      <c r="V41" s="808"/>
      <c r="W41" s="808"/>
      <c r="X41" s="805"/>
      <c r="Y41" s="808"/>
      <c r="Z41" s="808"/>
      <c r="AA41" s="808"/>
      <c r="AB41" s="808"/>
      <c r="AC41" s="805"/>
      <c r="AD41" s="1433"/>
      <c r="AE41" s="1434"/>
      <c r="AF41" s="1434"/>
      <c r="AG41" s="1434"/>
      <c r="AH41" s="1434"/>
      <c r="AI41" s="1434"/>
      <c r="AJ41" s="1434"/>
      <c r="AK41" s="1434"/>
      <c r="AL41" s="1434"/>
      <c r="AM41" s="1434"/>
      <c r="AN41" s="1434"/>
      <c r="AO41" s="1434"/>
      <c r="AP41" s="1434"/>
      <c r="AQ41" s="1434"/>
      <c r="AR41" s="1434"/>
      <c r="AS41" s="1435"/>
      <c r="AT41" s="809"/>
      <c r="AU41" s="809"/>
      <c r="AV41" s="809"/>
      <c r="AW41" s="809"/>
      <c r="AX41" s="809"/>
      <c r="AY41" s="809"/>
      <c r="AZ41" s="809"/>
      <c r="BA41" s="809"/>
      <c r="BB41" s="809"/>
      <c r="BC41" s="813"/>
      <c r="BF41"/>
      <c r="BG41"/>
      <c r="BH41"/>
      <c r="BI41"/>
      <c r="BJ41"/>
      <c r="BK41"/>
      <c r="BL41"/>
      <c r="BM41"/>
      <c r="BN41"/>
      <c r="BO41"/>
      <c r="BP41"/>
      <c r="BQ41"/>
      <c r="BR41"/>
      <c r="BS41"/>
      <c r="BT41"/>
      <c r="BU41"/>
      <c r="BV41"/>
      <c r="BW41"/>
      <c r="BX41"/>
      <c r="BY41"/>
      <c r="BZ41"/>
      <c r="CA41"/>
      <c r="CB41"/>
      <c r="CC41"/>
    </row>
    <row r="42" spans="2:81" ht="30" customHeight="1">
      <c r="B42" s="771"/>
      <c r="C42" s="1460"/>
      <c r="D42" s="1461"/>
      <c r="E42" s="811" t="s">
        <v>75</v>
      </c>
      <c r="F42" s="782" t="s">
        <v>2154</v>
      </c>
      <c r="G42" s="784"/>
      <c r="H42" s="784"/>
      <c r="I42" s="784"/>
      <c r="J42" s="784"/>
      <c r="K42" s="784"/>
      <c r="L42" s="784"/>
      <c r="M42" s="784"/>
      <c r="N42" s="784"/>
      <c r="O42" s="784"/>
      <c r="P42" s="784"/>
      <c r="Q42" s="784"/>
      <c r="R42" s="784"/>
      <c r="S42" s="784"/>
      <c r="T42" s="784"/>
      <c r="U42" s="784"/>
      <c r="V42" s="784"/>
      <c r="W42" s="784"/>
      <c r="X42" s="784"/>
      <c r="Y42" s="784"/>
      <c r="Z42" s="784"/>
      <c r="AA42" s="784"/>
      <c r="AB42" s="784"/>
      <c r="AC42" s="784"/>
      <c r="AD42" s="777" t="s">
        <v>2155</v>
      </c>
      <c r="AE42" s="812" t="s">
        <v>77</v>
      </c>
      <c r="AF42" s="786">
        <f>VLOOKUP($F42,$BA$60:$BB$63,2,FALSE)</f>
        <v>1000</v>
      </c>
      <c r="AG42" s="786">
        <f>ROUND(H14_その他ガス*$AG40/$AF42,0)</f>
        <v>0</v>
      </c>
      <c r="AH42" s="786">
        <f>ROUND(H15_その他ガス*$AH40/$AF42,0)</f>
        <v>0</v>
      </c>
      <c r="AI42" s="786">
        <f>ROUND(H16_その他ガス*$AI40/$AF42,0)</f>
        <v>0</v>
      </c>
      <c r="AJ42" s="786">
        <f>ROUND(H17_その他ガス*$AJ40/$AF42,0)</f>
        <v>0</v>
      </c>
      <c r="AK42" s="786">
        <f>ROUND(H18_その他ガス*$AK40/$AF42,0)</f>
        <v>0</v>
      </c>
      <c r="AL42" s="786">
        <f>ROUND(H19_その他ガス*$AL40/$AF42,0)</f>
        <v>0</v>
      </c>
      <c r="AM42" s="786">
        <f>ROUND(H20_その他ガス*$AM40/$AF42,0)</f>
        <v>0</v>
      </c>
      <c r="AN42" s="786">
        <f>ROUND(H21_その他ガス*$AN40/$AF42,0)</f>
        <v>0</v>
      </c>
      <c r="AO42" s="786">
        <f>ROUND(H22_その他ガス*$AO40/$AF42,0)</f>
        <v>0</v>
      </c>
      <c r="AP42" s="786">
        <f>ROUND(H23_その他ガス*$AP40/$AF42,0)</f>
        <v>0</v>
      </c>
      <c r="AQ42" s="786">
        <f>ROUND(H24_その他ガス*$AQ40/$AF42,0)</f>
        <v>0</v>
      </c>
      <c r="AR42" s="786">
        <f>ROUND(H25_その他ガス*$AR40/$AF42,0)</f>
        <v>0</v>
      </c>
      <c r="AS42" s="786">
        <f>ROUND(H26_その他ガス*$AS40/$AF42,0)</f>
        <v>0</v>
      </c>
      <c r="AT42" s="786">
        <f>ROUND(H27_その他ガス*$AS40/$AF42,0)</f>
        <v>0</v>
      </c>
      <c r="AU42" s="786">
        <f>ROUND(H28_その他ガス*$AS40/$AF42,0)</f>
        <v>0</v>
      </c>
      <c r="AV42" s="786">
        <f>ROUND(H29_その他ガス*$AS40/$AF42,0)</f>
        <v>0</v>
      </c>
      <c r="AW42" s="786">
        <f>ROUND(H30_その他ガス*$AS40/$AF42,0)</f>
        <v>0</v>
      </c>
      <c r="AX42" s="786">
        <f>ROUND(H31_その他ガス*$AS40/$AF42,0)</f>
        <v>0</v>
      </c>
      <c r="AY42" s="786">
        <f>ROUND(Y42*$AS40/$AF42,0)</f>
        <v>0</v>
      </c>
      <c r="AZ42" s="786">
        <f t="shared" ref="AZ42:BC42" si="22">ROUND(Z42*$AS40/$AF42,0)</f>
        <v>0</v>
      </c>
      <c r="BA42" s="786">
        <f t="shared" si="22"/>
        <v>0</v>
      </c>
      <c r="BB42" s="786">
        <f t="shared" si="22"/>
        <v>0</v>
      </c>
      <c r="BC42" s="786">
        <f t="shared" si="22"/>
        <v>0</v>
      </c>
      <c r="BF42"/>
      <c r="BG42"/>
      <c r="BH42"/>
      <c r="BI42"/>
      <c r="BJ42"/>
      <c r="BK42"/>
      <c r="BL42"/>
      <c r="BM42"/>
      <c r="BN42"/>
      <c r="BO42"/>
      <c r="BP42"/>
      <c r="BQ42"/>
      <c r="BR42"/>
      <c r="BS42"/>
      <c r="BT42"/>
      <c r="BU42"/>
      <c r="BV42"/>
      <c r="BW42"/>
      <c r="BX42"/>
      <c r="BY42"/>
      <c r="BZ42"/>
      <c r="CA42"/>
      <c r="CB42"/>
      <c r="CC42"/>
    </row>
    <row r="43" spans="2:81" ht="30" customHeight="1">
      <c r="B43" s="771"/>
      <c r="C43" s="1427" t="s">
        <v>1637</v>
      </c>
      <c r="D43" s="1428"/>
      <c r="E43" s="804" t="s">
        <v>2177</v>
      </c>
      <c r="F43" s="778" t="s">
        <v>2178</v>
      </c>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779"/>
      <c r="AE43" s="806" t="s">
        <v>2127</v>
      </c>
      <c r="AF43" s="780"/>
      <c r="AG43" s="807">
        <f>IF(COUNTIF(F45,"*Nm3")&gt;0,1,G43/101.325*273.15/(273.15+G44))</f>
        <v>0</v>
      </c>
      <c r="AH43" s="807">
        <f>IF(COUNTIF(F45,"*Nm3")&gt;0,1,H43/101.325*273.15/(273.15+H44))</f>
        <v>0</v>
      </c>
      <c r="AI43" s="807">
        <f>IF(COUNTIF(F45,"*Nm3")&gt;0,1,I43/101.325*273.15/(273.15+I44))</f>
        <v>0</v>
      </c>
      <c r="AJ43" s="807">
        <f>IF(COUNTIF(F45,"*Nm3")&gt;0,1,J43/101.325*273.15/(273.15+J44))</f>
        <v>0</v>
      </c>
      <c r="AK43" s="807">
        <f>IF(COUNTIF(F45,"*Nm3")&gt;0,1,K43/101.325*273.15/(273.15+K44))</f>
        <v>0</v>
      </c>
      <c r="AL43" s="807">
        <f>IF(COUNTIF(F45,"*Nm3")&gt;0,1,L43/101.325*273.15/(273.15+L44))</f>
        <v>0</v>
      </c>
      <c r="AM43" s="807">
        <f>IF(COUNTIF(F45,"*Nm3")&gt;0,1,M43/101.325*273.15/(273.15+M44))</f>
        <v>0</v>
      </c>
      <c r="AN43" s="807">
        <f>IF(COUNTIF(F45,"*Nm3")&gt;0,1,N43/101.325*273.15/(273.15+N44))</f>
        <v>0</v>
      </c>
      <c r="AO43" s="807">
        <f>IF(COUNTIF(F45,"*Nm3")&gt;0,1,O43/101.325*273.15/(273.15+O44))</f>
        <v>0</v>
      </c>
      <c r="AP43" s="807">
        <f>IF(COUNTIF(F45,"*Nm3")&gt;0,1,P43/101.325*273.15/(273.15+P44))</f>
        <v>0</v>
      </c>
      <c r="AQ43" s="807">
        <f>IF(COUNTIF(F45,"*Nm3")&gt;0,1,Q43/101.325*273.15/(273.15+Q44))</f>
        <v>0</v>
      </c>
      <c r="AR43" s="807">
        <f>IF(COUNTIF(F45,"*Nm3")&gt;0,1,R43/101.325*273.15/(273.15+R44))</f>
        <v>0</v>
      </c>
      <c r="AS43" s="807">
        <f t="shared" ref="AS43:BC43" si="23">IF(COUNTIF(F45,"*Nm3")&gt;0,1,S43/101.325*273.15/(273.15+S44))</f>
        <v>0</v>
      </c>
      <c r="AT43" s="807">
        <f t="shared" si="23"/>
        <v>0</v>
      </c>
      <c r="AU43" s="807">
        <f t="shared" si="23"/>
        <v>0</v>
      </c>
      <c r="AV43" s="807">
        <f t="shared" si="23"/>
        <v>0</v>
      </c>
      <c r="AW43" s="807">
        <f t="shared" si="23"/>
        <v>0</v>
      </c>
      <c r="AX43" s="807">
        <f t="shared" si="23"/>
        <v>0</v>
      </c>
      <c r="AY43" s="807">
        <f t="shared" si="23"/>
        <v>0</v>
      </c>
      <c r="AZ43" s="807">
        <f t="shared" si="23"/>
        <v>0</v>
      </c>
      <c r="BA43" s="807">
        <f t="shared" si="23"/>
        <v>0</v>
      </c>
      <c r="BB43" s="807">
        <f t="shared" si="23"/>
        <v>0</v>
      </c>
      <c r="BC43" s="807">
        <f t="shared" si="23"/>
        <v>0</v>
      </c>
      <c r="BF43"/>
      <c r="BG43"/>
      <c r="BH43"/>
      <c r="BI43"/>
      <c r="BJ43"/>
      <c r="BK43"/>
      <c r="BL43"/>
      <c r="BM43"/>
      <c r="BN43"/>
      <c r="BO43"/>
      <c r="BP43"/>
      <c r="BQ43"/>
      <c r="BR43"/>
      <c r="BS43"/>
      <c r="BT43"/>
      <c r="BU43"/>
      <c r="BV43"/>
      <c r="BW43"/>
      <c r="BX43"/>
      <c r="BY43"/>
      <c r="BZ43"/>
      <c r="CA43"/>
      <c r="CB43"/>
      <c r="CC43"/>
    </row>
    <row r="44" spans="2:81" ht="30" customHeight="1">
      <c r="B44" s="771"/>
      <c r="C44" s="1429"/>
      <c r="D44" s="1430"/>
      <c r="E44" s="804" t="s">
        <v>2179</v>
      </c>
      <c r="F44" s="778" t="s">
        <v>2180</v>
      </c>
      <c r="G44" s="805"/>
      <c r="H44" s="805"/>
      <c r="I44" s="805"/>
      <c r="J44" s="805"/>
      <c r="K44" s="805"/>
      <c r="L44" s="805"/>
      <c r="M44" s="805"/>
      <c r="N44" s="805"/>
      <c r="O44" s="805"/>
      <c r="P44" s="805"/>
      <c r="Q44" s="805"/>
      <c r="R44" s="805"/>
      <c r="S44" s="805"/>
      <c r="T44" s="808"/>
      <c r="U44" s="808"/>
      <c r="V44" s="808"/>
      <c r="W44" s="808"/>
      <c r="X44" s="805"/>
      <c r="Y44" s="808"/>
      <c r="Z44" s="808"/>
      <c r="AA44" s="808"/>
      <c r="AB44" s="808"/>
      <c r="AC44" s="805"/>
      <c r="AD44" s="1433"/>
      <c r="AE44" s="1434"/>
      <c r="AF44" s="1434"/>
      <c r="AG44" s="1434"/>
      <c r="AH44" s="1434"/>
      <c r="AI44" s="1434"/>
      <c r="AJ44" s="1434"/>
      <c r="AK44" s="1434"/>
      <c r="AL44" s="1434"/>
      <c r="AM44" s="1434"/>
      <c r="AN44" s="1434"/>
      <c r="AO44" s="1434"/>
      <c r="AP44" s="1434"/>
      <c r="AQ44" s="1434"/>
      <c r="AR44" s="1434"/>
      <c r="AS44" s="1435"/>
      <c r="AT44" s="809"/>
      <c r="AU44" s="809"/>
      <c r="AV44" s="809"/>
      <c r="AW44" s="809"/>
      <c r="AX44" s="809"/>
      <c r="AY44" s="809"/>
      <c r="AZ44" s="809"/>
      <c r="BA44" s="809"/>
      <c r="BB44" s="809"/>
      <c r="BC44" s="813"/>
      <c r="BF44"/>
      <c r="BG44"/>
      <c r="BH44"/>
      <c r="BI44"/>
      <c r="BJ44"/>
      <c r="BK44"/>
      <c r="BL44"/>
      <c r="BM44"/>
      <c r="BN44"/>
      <c r="BO44"/>
      <c r="BP44"/>
      <c r="BQ44"/>
      <c r="BR44"/>
      <c r="BS44"/>
      <c r="BT44"/>
      <c r="BU44"/>
      <c r="BV44"/>
      <c r="BW44"/>
      <c r="BX44"/>
      <c r="BY44"/>
      <c r="BZ44"/>
      <c r="CA44"/>
      <c r="CB44"/>
      <c r="CC44"/>
    </row>
    <row r="45" spans="2:81" ht="30" customHeight="1">
      <c r="B45" s="771"/>
      <c r="C45" s="1431"/>
      <c r="D45" s="1432"/>
      <c r="E45" s="811" t="s">
        <v>75</v>
      </c>
      <c r="F45" s="782" t="s">
        <v>2154</v>
      </c>
      <c r="G45" s="784"/>
      <c r="H45" s="784"/>
      <c r="I45" s="784"/>
      <c r="J45" s="784"/>
      <c r="K45" s="784"/>
      <c r="L45" s="784"/>
      <c r="M45" s="784"/>
      <c r="N45" s="784"/>
      <c r="O45" s="784"/>
      <c r="P45" s="784"/>
      <c r="Q45" s="784"/>
      <c r="R45" s="784"/>
      <c r="S45" s="784"/>
      <c r="T45" s="784"/>
      <c r="U45" s="784"/>
      <c r="V45" s="784"/>
      <c r="W45" s="784"/>
      <c r="X45" s="784"/>
      <c r="Y45" s="784"/>
      <c r="Z45" s="784"/>
      <c r="AA45" s="784"/>
      <c r="AB45" s="784"/>
      <c r="AC45" s="784"/>
      <c r="AD45" s="777" t="s">
        <v>2155</v>
      </c>
      <c r="AE45" s="812" t="s">
        <v>77</v>
      </c>
      <c r="AF45" s="786">
        <f>VLOOKUP($F45,$BA$60:$BB$63,2,FALSE)</f>
        <v>1000</v>
      </c>
      <c r="AG45" s="786">
        <f>ROUND(H14_その他ガス*$AG43/$AF45,0)</f>
        <v>0</v>
      </c>
      <c r="AH45" s="786">
        <f>ROUND(H15_その他ガス*$AH43/$AF45,0)</f>
        <v>0</v>
      </c>
      <c r="AI45" s="786">
        <f>ROUND(H16_その他ガス*$AI43/$AF45,0)</f>
        <v>0</v>
      </c>
      <c r="AJ45" s="786">
        <f>ROUND(H17_その他ガス*$AJ43/$AF45,0)</f>
        <v>0</v>
      </c>
      <c r="AK45" s="786">
        <f>ROUND(H18_その他ガス*$AK43/$AF45,0)</f>
        <v>0</v>
      </c>
      <c r="AL45" s="786">
        <f>ROUND(H19_その他ガス*$AL43/$AF45,0)</f>
        <v>0</v>
      </c>
      <c r="AM45" s="786">
        <f>ROUND(H20_その他ガス*$AM43/$AF45,0)</f>
        <v>0</v>
      </c>
      <c r="AN45" s="786">
        <f>ROUND(H21_その他ガス*$AN43/$AF45,0)</f>
        <v>0</v>
      </c>
      <c r="AO45" s="786">
        <f>ROUND(H22_その他ガス*$AO43/$AF45,0)</f>
        <v>0</v>
      </c>
      <c r="AP45" s="786">
        <f>ROUND(H23_その他ガス*$AP43/$AF45,0)</f>
        <v>0</v>
      </c>
      <c r="AQ45" s="786">
        <f>ROUND(H24_その他ガス*$AQ43/$AF45,0)</f>
        <v>0</v>
      </c>
      <c r="AR45" s="786">
        <f>ROUND(H25_その他ガス*$AR43/$AF45,0)</f>
        <v>0</v>
      </c>
      <c r="AS45" s="786">
        <f>ROUND(H26_その他ガス*$AS43/$AF45,0)</f>
        <v>0</v>
      </c>
      <c r="AT45" s="786">
        <f>ROUND(H27_その他ガス*$AS43/$AF45,0)</f>
        <v>0</v>
      </c>
      <c r="AU45" s="786">
        <f>ROUND(H28_その他ガス*$AS43/$AF45,0)</f>
        <v>0</v>
      </c>
      <c r="AV45" s="786">
        <f>ROUND(H29_その他ガス*$AS43/$AF45,0)</f>
        <v>0</v>
      </c>
      <c r="AW45" s="786">
        <f>ROUND(H30_その他ガス*$AS43/$AF45,0)</f>
        <v>0</v>
      </c>
      <c r="AX45" s="786">
        <f>ROUND(H31_その他ガス*$AS43/$AF45,0)</f>
        <v>0</v>
      </c>
      <c r="AY45" s="786">
        <f>ROUND(Y45*$AS43/$AF45,0)</f>
        <v>0</v>
      </c>
      <c r="AZ45" s="786">
        <f t="shared" ref="AZ45:BC45" si="24">ROUND(Z45*$AS43/$AF45,0)</f>
        <v>0</v>
      </c>
      <c r="BA45" s="786">
        <f t="shared" si="24"/>
        <v>0</v>
      </c>
      <c r="BB45" s="786">
        <f t="shared" si="24"/>
        <v>0</v>
      </c>
      <c r="BC45" s="786">
        <f t="shared" si="24"/>
        <v>0</v>
      </c>
      <c r="BF45"/>
      <c r="BG45"/>
      <c r="BH45"/>
      <c r="BI45"/>
      <c r="BJ45"/>
      <c r="BK45"/>
      <c r="BL45"/>
      <c r="BM45"/>
      <c r="BN45"/>
      <c r="BO45"/>
      <c r="BP45"/>
      <c r="BQ45"/>
      <c r="BR45"/>
      <c r="BS45"/>
      <c r="BT45"/>
      <c r="BU45"/>
      <c r="BV45"/>
      <c r="BW45"/>
      <c r="BX45"/>
      <c r="BY45"/>
      <c r="BZ45"/>
      <c r="CA45"/>
      <c r="CB45"/>
      <c r="CC45"/>
    </row>
    <row r="46" spans="2:81" ht="30" customHeight="1">
      <c r="B46" s="771"/>
      <c r="C46" s="1427" t="s">
        <v>30</v>
      </c>
      <c r="D46" s="1428"/>
      <c r="E46" s="804" t="s">
        <v>2177</v>
      </c>
      <c r="F46" s="778" t="s">
        <v>2178</v>
      </c>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779"/>
      <c r="AE46" s="806" t="s">
        <v>2127</v>
      </c>
      <c r="AF46" s="780"/>
      <c r="AG46" s="807">
        <f>IF(COUNTIF(F48,"*Nm3")&gt;0,1,G46/101.325*273.15/(273.15+G47))</f>
        <v>0</v>
      </c>
      <c r="AH46" s="807">
        <f>IF(COUNTIF(F48,"*Nm3")&gt;0,1,H46/101.325*273.15/(273.15+H47))</f>
        <v>0</v>
      </c>
      <c r="AI46" s="807">
        <f>IF(COUNTIF(F48,"*Nm3")&gt;0,1,I46/101.325*273.15/(273.15+I47))</f>
        <v>0</v>
      </c>
      <c r="AJ46" s="807">
        <f>IF(COUNTIF(F48,"*Nm3")&gt;0,1,J46/101.325*273.15/(273.15+J47))</f>
        <v>0</v>
      </c>
      <c r="AK46" s="807">
        <f>IF(COUNTIF(F48,"*Nm3")&gt;0,1,K46/101.325*273.15/(273.15+K47))</f>
        <v>0</v>
      </c>
      <c r="AL46" s="807">
        <f>IF(COUNTIF(F48,"*Nm3")&gt;0,1,L46/101.325*273.15/(273.15+L47))</f>
        <v>0</v>
      </c>
      <c r="AM46" s="807">
        <f>IF(COUNTIF(F48,"*Nm3")&gt;0,1,M46/101.325*273.15/(273.15+M47))</f>
        <v>0</v>
      </c>
      <c r="AN46" s="807">
        <f>IF(COUNTIF(F48,"*Nm3")&gt;0,1,N46/101.325*273.15/(273.15+N47))</f>
        <v>0</v>
      </c>
      <c r="AO46" s="807">
        <f>IF(COUNTIF(F48,"*Nm3")&gt;0,1,O46/101.325*273.15/(273.15+O47))</f>
        <v>0</v>
      </c>
      <c r="AP46" s="807">
        <f>IF(COUNTIF(F48,"*Nm3")&gt;0,1,P46/101.325*273.15/(273.15+P47))</f>
        <v>0</v>
      </c>
      <c r="AQ46" s="807">
        <f>IF(COUNTIF(F48,"*Nm3")&gt;0,1,Q46/101.325*273.15/(273.15+Q47))</f>
        <v>0</v>
      </c>
      <c r="AR46" s="807">
        <f>IF(COUNTIF(F48,"*Nm3")&gt;0,1,R46/101.325*273.15/(273.15+R47))</f>
        <v>0</v>
      </c>
      <c r="AS46" s="807">
        <f t="shared" ref="AS46:BC46" si="25">IF(COUNTIF(F48,"*Nm3")&gt;0,1,S46/101.325*273.15/(273.15+S47))</f>
        <v>0</v>
      </c>
      <c r="AT46" s="807">
        <f t="shared" si="25"/>
        <v>0</v>
      </c>
      <c r="AU46" s="807">
        <f t="shared" si="25"/>
        <v>0</v>
      </c>
      <c r="AV46" s="807">
        <f t="shared" si="25"/>
        <v>0</v>
      </c>
      <c r="AW46" s="807">
        <f t="shared" si="25"/>
        <v>0</v>
      </c>
      <c r="AX46" s="807">
        <f t="shared" si="25"/>
        <v>0</v>
      </c>
      <c r="AY46" s="807">
        <f t="shared" si="25"/>
        <v>0</v>
      </c>
      <c r="AZ46" s="807">
        <f t="shared" si="25"/>
        <v>0</v>
      </c>
      <c r="BA46" s="807">
        <f t="shared" si="25"/>
        <v>0</v>
      </c>
      <c r="BB46" s="807">
        <f t="shared" si="25"/>
        <v>0</v>
      </c>
      <c r="BC46" s="807">
        <f t="shared" si="25"/>
        <v>0</v>
      </c>
      <c r="BF46"/>
      <c r="BG46"/>
      <c r="BH46"/>
      <c r="BI46"/>
      <c r="BJ46"/>
      <c r="BK46"/>
      <c r="BL46"/>
      <c r="BM46"/>
      <c r="BN46"/>
      <c r="BO46"/>
      <c r="BP46"/>
      <c r="BQ46"/>
      <c r="BR46"/>
      <c r="BS46"/>
      <c r="BT46"/>
      <c r="BU46"/>
      <c r="BV46"/>
      <c r="BW46"/>
      <c r="BX46"/>
      <c r="BY46"/>
      <c r="BZ46"/>
      <c r="CA46"/>
      <c r="CB46"/>
      <c r="CC46"/>
    </row>
    <row r="47" spans="2:81" ht="30" customHeight="1">
      <c r="B47" s="771"/>
      <c r="C47" s="1429"/>
      <c r="D47" s="1430"/>
      <c r="E47" s="804" t="s">
        <v>2179</v>
      </c>
      <c r="F47" s="778" t="s">
        <v>2180</v>
      </c>
      <c r="G47" s="805"/>
      <c r="H47" s="805"/>
      <c r="I47" s="805"/>
      <c r="J47" s="805"/>
      <c r="K47" s="805"/>
      <c r="L47" s="805"/>
      <c r="M47" s="805"/>
      <c r="N47" s="805"/>
      <c r="O47" s="805"/>
      <c r="P47" s="805"/>
      <c r="Q47" s="805"/>
      <c r="R47" s="805"/>
      <c r="S47" s="805"/>
      <c r="T47" s="808"/>
      <c r="U47" s="808"/>
      <c r="V47" s="808"/>
      <c r="W47" s="808"/>
      <c r="X47" s="805"/>
      <c r="Y47" s="808"/>
      <c r="Z47" s="808"/>
      <c r="AA47" s="808"/>
      <c r="AB47" s="808"/>
      <c r="AC47" s="805"/>
      <c r="AD47" s="1433"/>
      <c r="AE47" s="1434"/>
      <c r="AF47" s="1434"/>
      <c r="AG47" s="1434"/>
      <c r="AH47" s="1434"/>
      <c r="AI47" s="1434"/>
      <c r="AJ47" s="1434"/>
      <c r="AK47" s="1434"/>
      <c r="AL47" s="1434"/>
      <c r="AM47" s="1434"/>
      <c r="AN47" s="1434"/>
      <c r="AO47" s="1434"/>
      <c r="AP47" s="1434"/>
      <c r="AQ47" s="1434"/>
      <c r="AR47" s="1434"/>
      <c r="AS47" s="1435"/>
      <c r="AT47" s="809"/>
      <c r="AU47" s="809"/>
      <c r="AV47" s="809"/>
      <c r="AW47" s="809"/>
      <c r="AX47" s="809"/>
      <c r="AY47" s="809"/>
      <c r="AZ47" s="809"/>
      <c r="BA47" s="809"/>
      <c r="BB47" s="809"/>
      <c r="BC47" s="813"/>
      <c r="BF47"/>
      <c r="BG47"/>
      <c r="BH47"/>
      <c r="BI47"/>
      <c r="BJ47"/>
      <c r="BK47"/>
      <c r="BL47"/>
      <c r="BM47"/>
      <c r="BN47"/>
      <c r="BO47"/>
      <c r="BP47"/>
      <c r="BQ47"/>
      <c r="BR47"/>
      <c r="BS47"/>
      <c r="BT47"/>
      <c r="BU47"/>
      <c r="BV47"/>
      <c r="BW47"/>
      <c r="BX47"/>
      <c r="BY47"/>
      <c r="BZ47"/>
      <c r="CA47"/>
      <c r="CB47"/>
      <c r="CC47"/>
    </row>
    <row r="48" spans="2:81" ht="30" customHeight="1">
      <c r="B48" s="771"/>
      <c r="C48" s="1431"/>
      <c r="D48" s="1432"/>
      <c r="E48" s="811" t="s">
        <v>75</v>
      </c>
      <c r="F48" s="782" t="s">
        <v>2154</v>
      </c>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77" t="s">
        <v>2155</v>
      </c>
      <c r="AE48" s="812" t="s">
        <v>77</v>
      </c>
      <c r="AF48" s="786">
        <f>VLOOKUP($F48,$BA$60:$BB$63,2,FALSE)</f>
        <v>1000</v>
      </c>
      <c r="AG48" s="786">
        <f>ROUND(H14_その他ガス*$AG46/$AF48,0)</f>
        <v>0</v>
      </c>
      <c r="AH48" s="786">
        <f>ROUND(H15_その他ガス*$AH46/$AF48,0)</f>
        <v>0</v>
      </c>
      <c r="AI48" s="786">
        <f>ROUND(H16_その他ガス*$AI46/$AF48,0)</f>
        <v>0</v>
      </c>
      <c r="AJ48" s="786">
        <f>ROUND(H17_その他ガス*$AJ46/$AF48,0)</f>
        <v>0</v>
      </c>
      <c r="AK48" s="786">
        <f>ROUND(H18_その他ガス*$AK46/$AF48,0)</f>
        <v>0</v>
      </c>
      <c r="AL48" s="786">
        <f>ROUND(H19_その他ガス*$AL46/$AF48,0)</f>
        <v>0</v>
      </c>
      <c r="AM48" s="786">
        <f>ROUND(H20_その他ガス*$AM46/$AF48,0)</f>
        <v>0</v>
      </c>
      <c r="AN48" s="786">
        <f>ROUND(H21_その他ガス*$AN46/$AF48,0)</f>
        <v>0</v>
      </c>
      <c r="AO48" s="786">
        <f>ROUND(H22_その他ガス*$AO46/$AF48,0)</f>
        <v>0</v>
      </c>
      <c r="AP48" s="786">
        <f>ROUND(H23_その他ガス*$AP46/$AF48,0)</f>
        <v>0</v>
      </c>
      <c r="AQ48" s="786">
        <f>ROUND(H24_その他ガス*$AQ46/$AF48,0)</f>
        <v>0</v>
      </c>
      <c r="AR48" s="786">
        <f>ROUND(H25_その他ガス*$AR46/$AF48,0)</f>
        <v>0</v>
      </c>
      <c r="AS48" s="786">
        <f>ROUND(H26_その他ガス*$AS46/$AF48,0)</f>
        <v>0</v>
      </c>
      <c r="AT48" s="786">
        <f>ROUND(H27_その他ガス*$AS46/$AF48,0)</f>
        <v>0</v>
      </c>
      <c r="AU48" s="786">
        <f>ROUND(H28_その他ガス*$AS46/$AF48,0)</f>
        <v>0</v>
      </c>
      <c r="AV48" s="786">
        <f>ROUND(H29_その他ガス*$AS46/$AF48,0)</f>
        <v>0</v>
      </c>
      <c r="AW48" s="786">
        <f>ROUND(H30_その他ガス*$AS46/$AF48,0)</f>
        <v>0</v>
      </c>
      <c r="AX48" s="786">
        <f>ROUND(H31_その他ガス*$AS46/$AF48,0)</f>
        <v>0</v>
      </c>
      <c r="AY48" s="786">
        <f>ROUND(Y48*$AS46/$AF48,0)</f>
        <v>0</v>
      </c>
      <c r="AZ48" s="786">
        <f t="shared" ref="AZ48:BC48" si="26">ROUND(Z48*$AS46/$AF48,0)</f>
        <v>0</v>
      </c>
      <c r="BA48" s="786">
        <f t="shared" si="26"/>
        <v>0</v>
      </c>
      <c r="BB48" s="786">
        <f t="shared" si="26"/>
        <v>0</v>
      </c>
      <c r="BC48" s="786">
        <f t="shared" si="26"/>
        <v>0</v>
      </c>
      <c r="BF48"/>
      <c r="BG48"/>
      <c r="BH48"/>
      <c r="BI48"/>
      <c r="BJ48"/>
      <c r="BK48"/>
      <c r="BL48"/>
      <c r="BM48"/>
      <c r="BN48"/>
      <c r="BO48"/>
      <c r="BP48"/>
      <c r="BQ48"/>
      <c r="BR48"/>
      <c r="BS48"/>
      <c r="BT48"/>
      <c r="BU48"/>
      <c r="BV48"/>
      <c r="BW48"/>
      <c r="BX48"/>
      <c r="BY48"/>
      <c r="BZ48"/>
      <c r="CA48"/>
      <c r="CB48"/>
      <c r="CC48"/>
    </row>
    <row r="49" spans="2:81" ht="17.25" customHeight="1">
      <c r="B49" s="771"/>
      <c r="C49" s="771"/>
      <c r="D49" s="771"/>
      <c r="E49" s="771"/>
      <c r="F49" s="771"/>
      <c r="AD49" s="771"/>
      <c r="BF49"/>
      <c r="BG49"/>
      <c r="BH49"/>
      <c r="BI49"/>
      <c r="BJ49"/>
      <c r="BK49"/>
      <c r="BL49"/>
      <c r="BM49"/>
      <c r="BN49"/>
      <c r="BO49"/>
      <c r="BP49"/>
      <c r="BQ49"/>
      <c r="BR49"/>
      <c r="BS49"/>
      <c r="BT49"/>
      <c r="BU49"/>
      <c r="BV49"/>
      <c r="BW49"/>
      <c r="BX49"/>
      <c r="BY49"/>
      <c r="BZ49"/>
      <c r="CA49"/>
      <c r="CB49"/>
      <c r="CC49"/>
    </row>
    <row r="50" spans="2:81" ht="18">
      <c r="B50" s="774" t="s">
        <v>2181</v>
      </c>
      <c r="C50" s="771"/>
      <c r="D50" s="771"/>
      <c r="E50" s="814"/>
      <c r="F50" s="771"/>
      <c r="O50" s="815"/>
      <c r="P50" s="815"/>
      <c r="Q50" s="815"/>
      <c r="S50" s="816"/>
      <c r="T50" s="816"/>
      <c r="U50" s="816"/>
      <c r="V50" s="816"/>
      <c r="W50" s="816"/>
      <c r="X50" s="816"/>
      <c r="Y50" s="816"/>
      <c r="Z50" s="816"/>
      <c r="AA50" s="816"/>
      <c r="AB50" s="816"/>
      <c r="AC50" s="816"/>
      <c r="BF50"/>
      <c r="BG50"/>
      <c r="BH50"/>
      <c r="BI50"/>
      <c r="BJ50"/>
      <c r="BK50"/>
      <c r="BL50"/>
      <c r="BM50"/>
      <c r="BN50"/>
      <c r="BO50"/>
      <c r="BP50"/>
      <c r="BQ50"/>
      <c r="BR50"/>
      <c r="BS50"/>
      <c r="BT50"/>
      <c r="BU50"/>
      <c r="BV50"/>
      <c r="BW50"/>
      <c r="BX50"/>
      <c r="BY50"/>
      <c r="BZ50"/>
      <c r="CA50"/>
      <c r="CB50"/>
      <c r="CC50"/>
    </row>
    <row r="51" spans="2:81" ht="18">
      <c r="B51" s="771"/>
      <c r="C51" s="771"/>
      <c r="D51" s="771"/>
      <c r="E51" s="814"/>
      <c r="F51" s="771"/>
      <c r="L51" s="1566"/>
      <c r="M51" s="1566"/>
      <c r="N51" s="1566"/>
      <c r="O51" s="1566"/>
      <c r="P51" s="817"/>
      <c r="Q51" s="817"/>
      <c r="R51" s="817"/>
      <c r="S51" s="817"/>
      <c r="T51" s="817"/>
      <c r="U51" s="817"/>
      <c r="V51" s="817"/>
      <c r="W51" s="817"/>
      <c r="X51" s="817"/>
      <c r="Y51" s="817"/>
      <c r="Z51" s="817"/>
      <c r="AA51" s="817"/>
      <c r="AB51" s="817"/>
      <c r="AC51" s="817"/>
      <c r="BF51"/>
      <c r="BG51"/>
      <c r="BH51"/>
      <c r="BI51"/>
      <c r="BJ51"/>
      <c r="BK51"/>
      <c r="BL51"/>
      <c r="BM51"/>
      <c r="BN51"/>
      <c r="BO51"/>
      <c r="BP51"/>
      <c r="BQ51"/>
      <c r="BR51"/>
      <c r="BS51"/>
      <c r="BT51"/>
      <c r="BU51"/>
      <c r="BV51"/>
      <c r="BW51"/>
      <c r="BX51"/>
      <c r="BY51"/>
      <c r="BZ51"/>
      <c r="CA51"/>
      <c r="CB51"/>
      <c r="CC51"/>
    </row>
    <row r="52" spans="2:81" ht="24.9" customHeight="1">
      <c r="B52" s="771"/>
      <c r="C52" s="1474"/>
      <c r="D52" s="1474"/>
      <c r="E52" s="1474"/>
      <c r="F52" s="1474"/>
      <c r="G52" s="1440" t="s">
        <v>2100</v>
      </c>
      <c r="H52" s="1441"/>
      <c r="I52" s="1441"/>
      <c r="J52" s="1441"/>
      <c r="K52" s="1441"/>
      <c r="L52" s="1441"/>
      <c r="M52" s="1441"/>
      <c r="N52" s="1441"/>
      <c r="O52" s="1441"/>
      <c r="P52" s="1441"/>
      <c r="Q52" s="1441"/>
      <c r="R52" s="1441"/>
      <c r="S52" s="1441"/>
      <c r="T52" s="1441"/>
      <c r="U52" s="1441"/>
      <c r="V52" s="1441"/>
      <c r="W52" s="1441"/>
      <c r="X52" s="1441"/>
      <c r="Y52" s="1441"/>
      <c r="Z52" s="1441"/>
      <c r="AA52" s="1441"/>
      <c r="AB52" s="1441"/>
      <c r="AC52" s="1442"/>
      <c r="AD52" s="777" t="s">
        <v>2101</v>
      </c>
      <c r="AE52" s="1443"/>
      <c r="AF52" s="1443"/>
      <c r="AG52" s="1444" t="s">
        <v>2102</v>
      </c>
      <c r="AH52" s="1445"/>
      <c r="AI52" s="1445"/>
      <c r="AJ52" s="1445"/>
      <c r="AK52" s="1445"/>
      <c r="AL52" s="1445"/>
      <c r="AM52" s="1445"/>
      <c r="AN52" s="1445"/>
      <c r="AO52" s="1445"/>
      <c r="AP52" s="1445"/>
      <c r="AQ52" s="1445"/>
      <c r="AR52" s="1445"/>
      <c r="AS52" s="1445"/>
      <c r="AT52" s="1445"/>
      <c r="AU52" s="1445"/>
      <c r="AV52" s="1445"/>
      <c r="AW52" s="1445"/>
      <c r="AX52" s="1445"/>
      <c r="AY52" s="1445"/>
      <c r="AZ52" s="1445"/>
      <c r="BA52" s="1445"/>
      <c r="BB52" s="1445"/>
      <c r="BC52" s="1446"/>
      <c r="BF52"/>
      <c r="BG52"/>
      <c r="BH52"/>
      <c r="BI52"/>
      <c r="BJ52"/>
      <c r="BK52"/>
      <c r="BL52"/>
      <c r="BM52"/>
      <c r="BN52"/>
      <c r="BO52"/>
      <c r="BP52"/>
      <c r="BQ52"/>
      <c r="BR52"/>
      <c r="BS52"/>
      <c r="BT52"/>
      <c r="BU52"/>
      <c r="BV52"/>
      <c r="BW52"/>
      <c r="BX52"/>
      <c r="BY52"/>
      <c r="BZ52"/>
      <c r="CA52"/>
      <c r="CB52"/>
      <c r="CC52"/>
    </row>
    <row r="53" spans="2:81" ht="24.9" customHeight="1">
      <c r="B53" s="771"/>
      <c r="C53" s="1564"/>
      <c r="D53" s="1564"/>
      <c r="E53" s="1564"/>
      <c r="F53" s="778" t="s">
        <v>69</v>
      </c>
      <c r="G53" s="818" t="s">
        <v>2128</v>
      </c>
      <c r="H53" s="818" t="s">
        <v>2129</v>
      </c>
      <c r="I53" s="818" t="s">
        <v>2130</v>
      </c>
      <c r="J53" s="818" t="s">
        <v>2131</v>
      </c>
      <c r="K53" s="818" t="s">
        <v>2132</v>
      </c>
      <c r="L53" s="818" t="s">
        <v>2133</v>
      </c>
      <c r="M53" s="818" t="s">
        <v>2134</v>
      </c>
      <c r="N53" s="818" t="s">
        <v>2135</v>
      </c>
      <c r="O53" s="818" t="s">
        <v>2136</v>
      </c>
      <c r="P53" s="818" t="s">
        <v>2137</v>
      </c>
      <c r="Q53" s="818" t="s">
        <v>2138</v>
      </c>
      <c r="R53" s="818" t="s">
        <v>2139</v>
      </c>
      <c r="S53" s="818" t="s">
        <v>2140</v>
      </c>
      <c r="T53" s="818" t="s">
        <v>2141</v>
      </c>
      <c r="U53" s="818" t="s">
        <v>2142</v>
      </c>
      <c r="V53" s="818" t="s">
        <v>2143</v>
      </c>
      <c r="W53" s="818" t="s">
        <v>2144</v>
      </c>
      <c r="X53" s="779" t="s">
        <v>2167</v>
      </c>
      <c r="Y53" s="779" t="s">
        <v>2146</v>
      </c>
      <c r="Z53" s="779" t="s">
        <v>2147</v>
      </c>
      <c r="AA53" s="779" t="s">
        <v>2148</v>
      </c>
      <c r="AB53" s="779" t="s">
        <v>2149</v>
      </c>
      <c r="AC53" s="779" t="s">
        <v>2150</v>
      </c>
      <c r="AD53" s="779" t="s">
        <v>69</v>
      </c>
      <c r="AE53" s="780"/>
      <c r="AF53" s="780" t="s">
        <v>77</v>
      </c>
      <c r="AG53" s="779" t="s">
        <v>2128</v>
      </c>
      <c r="AH53" s="779" t="s">
        <v>2129</v>
      </c>
      <c r="AI53" s="779" t="s">
        <v>2130</v>
      </c>
      <c r="AJ53" s="779" t="s">
        <v>2131</v>
      </c>
      <c r="AK53" s="779" t="s">
        <v>2132</v>
      </c>
      <c r="AL53" s="779" t="s">
        <v>2133</v>
      </c>
      <c r="AM53" s="779" t="s">
        <v>2134</v>
      </c>
      <c r="AN53" s="779" t="s">
        <v>2135</v>
      </c>
      <c r="AO53" s="779" t="s">
        <v>2136</v>
      </c>
      <c r="AP53" s="779" t="s">
        <v>2137</v>
      </c>
      <c r="AQ53" s="779" t="s">
        <v>2138</v>
      </c>
      <c r="AR53" s="779" t="s">
        <v>2139</v>
      </c>
      <c r="AS53" s="779" t="s">
        <v>2140</v>
      </c>
      <c r="AT53" s="779" t="s">
        <v>2141</v>
      </c>
      <c r="AU53" s="779" t="s">
        <v>2142</v>
      </c>
      <c r="AV53" s="779" t="s">
        <v>2143</v>
      </c>
      <c r="AW53" s="779" t="s">
        <v>2144</v>
      </c>
      <c r="AX53" s="779" t="s">
        <v>2167</v>
      </c>
      <c r="AY53" s="779" t="s">
        <v>2146</v>
      </c>
      <c r="AZ53" s="779" t="s">
        <v>2147</v>
      </c>
      <c r="BA53" s="779" t="s">
        <v>2148</v>
      </c>
      <c r="BB53" s="779" t="s">
        <v>2149</v>
      </c>
      <c r="BC53" s="779" t="s">
        <v>2150</v>
      </c>
      <c r="BF53"/>
      <c r="BG53"/>
      <c r="BH53"/>
      <c r="BI53"/>
      <c r="BJ53"/>
      <c r="BK53"/>
      <c r="BL53"/>
      <c r="BM53"/>
      <c r="BN53"/>
      <c r="BO53"/>
      <c r="BP53"/>
      <c r="BQ53"/>
      <c r="BR53"/>
      <c r="BS53"/>
      <c r="BT53"/>
      <c r="BU53"/>
      <c r="BV53"/>
      <c r="BW53"/>
      <c r="BX53"/>
      <c r="BY53"/>
      <c r="BZ53"/>
      <c r="CA53"/>
      <c r="CB53"/>
      <c r="CC53"/>
    </row>
    <row r="54" spans="2:81" ht="24.9" customHeight="1">
      <c r="B54" s="771"/>
      <c r="C54" s="1565" t="s">
        <v>2182</v>
      </c>
      <c r="D54" s="1565" t="s">
        <v>2183</v>
      </c>
      <c r="E54" s="781" t="s">
        <v>2184</v>
      </c>
      <c r="F54" s="819" t="s">
        <v>371</v>
      </c>
      <c r="G54" s="784"/>
      <c r="H54" s="784"/>
      <c r="I54" s="784"/>
      <c r="J54" s="784"/>
      <c r="K54" s="784"/>
      <c r="L54" s="784"/>
      <c r="M54" s="784"/>
      <c r="N54" s="784"/>
      <c r="O54" s="784"/>
      <c r="P54" s="784"/>
      <c r="Q54" s="784"/>
      <c r="R54" s="784"/>
      <c r="S54" s="784"/>
      <c r="T54" s="784"/>
      <c r="U54" s="784"/>
      <c r="V54" s="784"/>
      <c r="W54" s="784"/>
      <c r="X54" s="784"/>
      <c r="Y54" s="784"/>
      <c r="Z54" s="784"/>
      <c r="AA54" s="784"/>
      <c r="AB54" s="784"/>
      <c r="AC54" s="784"/>
      <c r="AD54" s="777" t="s">
        <v>2186</v>
      </c>
      <c r="AE54" s="785" t="s">
        <v>77</v>
      </c>
      <c r="AF54" s="786">
        <f>VLOOKUP($F54,$BA$64:$BB$65,2,FALSE)/VLOOKUP($AD54,$BA$64:$BB$65,2,FALSE)</f>
        <v>1000</v>
      </c>
      <c r="AG54" s="787">
        <f t="shared" ref="AG54:BC54" si="27">ROUND(G54/$AF54,0)</f>
        <v>0</v>
      </c>
      <c r="AH54" s="787">
        <f t="shared" si="27"/>
        <v>0</v>
      </c>
      <c r="AI54" s="787">
        <f t="shared" si="27"/>
        <v>0</v>
      </c>
      <c r="AJ54" s="787">
        <f t="shared" si="27"/>
        <v>0</v>
      </c>
      <c r="AK54" s="787">
        <f t="shared" si="27"/>
        <v>0</v>
      </c>
      <c r="AL54" s="787">
        <f t="shared" si="27"/>
        <v>0</v>
      </c>
      <c r="AM54" s="787">
        <f t="shared" si="27"/>
        <v>0</v>
      </c>
      <c r="AN54" s="787">
        <f t="shared" si="27"/>
        <v>0</v>
      </c>
      <c r="AO54" s="787">
        <f t="shared" si="27"/>
        <v>0</v>
      </c>
      <c r="AP54" s="787">
        <f t="shared" si="27"/>
        <v>0</v>
      </c>
      <c r="AQ54" s="787">
        <f t="shared" si="27"/>
        <v>0</v>
      </c>
      <c r="AR54" s="787">
        <f t="shared" si="27"/>
        <v>0</v>
      </c>
      <c r="AS54" s="787">
        <f t="shared" si="27"/>
        <v>0</v>
      </c>
      <c r="AT54" s="787">
        <f t="shared" si="27"/>
        <v>0</v>
      </c>
      <c r="AU54" s="787">
        <f t="shared" si="27"/>
        <v>0</v>
      </c>
      <c r="AV54" s="787">
        <f t="shared" si="27"/>
        <v>0</v>
      </c>
      <c r="AW54" s="787">
        <f t="shared" si="27"/>
        <v>0</v>
      </c>
      <c r="AX54" s="787">
        <f t="shared" si="27"/>
        <v>0</v>
      </c>
      <c r="AY54" s="787">
        <f t="shared" si="27"/>
        <v>0</v>
      </c>
      <c r="AZ54" s="787">
        <f t="shared" si="27"/>
        <v>0</v>
      </c>
      <c r="BA54" s="787">
        <f t="shared" si="27"/>
        <v>0</v>
      </c>
      <c r="BB54" s="787">
        <f t="shared" si="27"/>
        <v>0</v>
      </c>
      <c r="BC54" s="787">
        <f t="shared" si="27"/>
        <v>0</v>
      </c>
      <c r="BF54"/>
      <c r="BG54"/>
      <c r="BH54"/>
      <c r="BI54"/>
      <c r="BJ54"/>
      <c r="BK54"/>
      <c r="BL54"/>
      <c r="BM54"/>
      <c r="BN54"/>
      <c r="BO54"/>
      <c r="BP54"/>
      <c r="BQ54"/>
      <c r="BR54"/>
      <c r="BS54"/>
      <c r="BT54"/>
      <c r="BU54"/>
      <c r="BV54"/>
      <c r="BW54"/>
      <c r="BX54"/>
      <c r="BY54"/>
      <c r="BZ54"/>
      <c r="CA54"/>
      <c r="CB54"/>
      <c r="CC54"/>
    </row>
    <row r="55" spans="2:81" ht="24.9" customHeight="1">
      <c r="B55" s="771"/>
      <c r="C55" s="1565"/>
      <c r="D55" s="1565"/>
      <c r="E55" s="781" t="s">
        <v>235</v>
      </c>
      <c r="F55" s="820" t="s">
        <v>2334</v>
      </c>
      <c r="G55" s="821"/>
      <c r="H55" s="821"/>
      <c r="I55" s="821"/>
      <c r="J55" s="821"/>
      <c r="K55" s="821"/>
      <c r="L55" s="821"/>
      <c r="M55" s="821"/>
      <c r="N55" s="821"/>
      <c r="O55" s="821"/>
      <c r="P55" s="821"/>
      <c r="Q55" s="821"/>
      <c r="R55" s="821"/>
      <c r="S55" s="821"/>
      <c r="T55" s="821"/>
      <c r="U55" s="821"/>
      <c r="V55" s="821"/>
      <c r="W55" s="821"/>
      <c r="X55" s="821"/>
      <c r="Y55" s="821"/>
      <c r="Z55" s="821"/>
      <c r="AA55" s="821"/>
      <c r="AB55" s="821"/>
      <c r="AC55" s="821"/>
      <c r="AD55" s="777"/>
      <c r="AE55" s="785" t="s">
        <v>2188</v>
      </c>
      <c r="AF55" s="786"/>
      <c r="AG55" s="787">
        <f t="shared" ref="AG55:BC55" si="28">AG54*G55</f>
        <v>0</v>
      </c>
      <c r="AH55" s="787">
        <f t="shared" si="28"/>
        <v>0</v>
      </c>
      <c r="AI55" s="787">
        <f t="shared" si="28"/>
        <v>0</v>
      </c>
      <c r="AJ55" s="787">
        <f t="shared" si="28"/>
        <v>0</v>
      </c>
      <c r="AK55" s="787">
        <f t="shared" si="28"/>
        <v>0</v>
      </c>
      <c r="AL55" s="787">
        <f t="shared" si="28"/>
        <v>0</v>
      </c>
      <c r="AM55" s="787">
        <f t="shared" si="28"/>
        <v>0</v>
      </c>
      <c r="AN55" s="787">
        <f t="shared" si="28"/>
        <v>0</v>
      </c>
      <c r="AO55" s="787">
        <f t="shared" si="28"/>
        <v>0</v>
      </c>
      <c r="AP55" s="787">
        <f t="shared" si="28"/>
        <v>0</v>
      </c>
      <c r="AQ55" s="787">
        <f t="shared" si="28"/>
        <v>0</v>
      </c>
      <c r="AR55" s="787">
        <f t="shared" si="28"/>
        <v>0</v>
      </c>
      <c r="AS55" s="787">
        <f t="shared" si="28"/>
        <v>0</v>
      </c>
      <c r="AT55" s="787">
        <f t="shared" si="28"/>
        <v>0</v>
      </c>
      <c r="AU55" s="787">
        <f t="shared" si="28"/>
        <v>0</v>
      </c>
      <c r="AV55" s="787">
        <f t="shared" si="28"/>
        <v>0</v>
      </c>
      <c r="AW55" s="787">
        <f t="shared" si="28"/>
        <v>0</v>
      </c>
      <c r="AX55" s="787">
        <f t="shared" si="28"/>
        <v>0</v>
      </c>
      <c r="AY55" s="787">
        <f t="shared" si="28"/>
        <v>0</v>
      </c>
      <c r="AZ55" s="787">
        <f t="shared" si="28"/>
        <v>0</v>
      </c>
      <c r="BA55" s="787">
        <f t="shared" si="28"/>
        <v>0</v>
      </c>
      <c r="BB55" s="787">
        <f t="shared" si="28"/>
        <v>0</v>
      </c>
      <c r="BC55" s="787">
        <f t="shared" si="28"/>
        <v>0</v>
      </c>
      <c r="BF55"/>
      <c r="BG55"/>
      <c r="BH55"/>
      <c r="BI55"/>
      <c r="BJ55"/>
      <c r="BK55"/>
      <c r="BL55"/>
      <c r="BM55"/>
      <c r="BN55"/>
      <c r="BO55"/>
      <c r="BP55"/>
      <c r="BQ55"/>
      <c r="BR55"/>
      <c r="BS55"/>
      <c r="BT55"/>
      <c r="BU55"/>
      <c r="BV55"/>
      <c r="BW55"/>
      <c r="BX55"/>
      <c r="BY55"/>
      <c r="BZ55"/>
      <c r="CA55"/>
      <c r="CB55"/>
      <c r="CC55"/>
    </row>
    <row r="56" spans="2:81" ht="24.9" customHeight="1">
      <c r="B56" s="771"/>
      <c r="C56" s="1565"/>
      <c r="D56" s="1565" t="s">
        <v>2189</v>
      </c>
      <c r="E56" s="781" t="s">
        <v>2190</v>
      </c>
      <c r="F56" s="819" t="s">
        <v>1531</v>
      </c>
      <c r="G56" s="784"/>
      <c r="H56" s="784"/>
      <c r="I56" s="784"/>
      <c r="J56" s="784"/>
      <c r="K56" s="784"/>
      <c r="L56" s="784"/>
      <c r="M56" s="784"/>
      <c r="N56" s="784"/>
      <c r="O56" s="784"/>
      <c r="P56" s="784"/>
      <c r="Q56" s="784"/>
      <c r="R56" s="784"/>
      <c r="S56" s="784"/>
      <c r="T56" s="784"/>
      <c r="U56" s="784"/>
      <c r="V56" s="784"/>
      <c r="W56" s="784"/>
      <c r="X56" s="784"/>
      <c r="Y56" s="784"/>
      <c r="Z56" s="784"/>
      <c r="AA56" s="784"/>
      <c r="AB56" s="784"/>
      <c r="AC56" s="784"/>
      <c r="AD56" s="777" t="s">
        <v>7</v>
      </c>
      <c r="AE56" s="785" t="s">
        <v>77</v>
      </c>
      <c r="AF56" s="786">
        <f>VLOOKUP($F56,$BA$66:$BB$67,2,FALSE)/VLOOKUP($AD56,$BA$66:$BB$67,2,FALSE)</f>
        <v>1000</v>
      </c>
      <c r="AG56" s="787">
        <f t="shared" ref="AG56:BC56" si="29">ROUND(G56/$AF56,0)</f>
        <v>0</v>
      </c>
      <c r="AH56" s="787">
        <f t="shared" si="29"/>
        <v>0</v>
      </c>
      <c r="AI56" s="787">
        <f t="shared" si="29"/>
        <v>0</v>
      </c>
      <c r="AJ56" s="787">
        <f t="shared" si="29"/>
        <v>0</v>
      </c>
      <c r="AK56" s="787">
        <f t="shared" si="29"/>
        <v>0</v>
      </c>
      <c r="AL56" s="787">
        <f t="shared" si="29"/>
        <v>0</v>
      </c>
      <c r="AM56" s="787">
        <f t="shared" si="29"/>
        <v>0</v>
      </c>
      <c r="AN56" s="787">
        <f t="shared" si="29"/>
        <v>0</v>
      </c>
      <c r="AO56" s="787">
        <f t="shared" si="29"/>
        <v>0</v>
      </c>
      <c r="AP56" s="787">
        <f t="shared" si="29"/>
        <v>0</v>
      </c>
      <c r="AQ56" s="787">
        <f t="shared" si="29"/>
        <v>0</v>
      </c>
      <c r="AR56" s="787">
        <f t="shared" si="29"/>
        <v>0</v>
      </c>
      <c r="AS56" s="787">
        <f t="shared" si="29"/>
        <v>0</v>
      </c>
      <c r="AT56" s="787">
        <f t="shared" si="29"/>
        <v>0</v>
      </c>
      <c r="AU56" s="787">
        <f t="shared" si="29"/>
        <v>0</v>
      </c>
      <c r="AV56" s="787">
        <f t="shared" si="29"/>
        <v>0</v>
      </c>
      <c r="AW56" s="787">
        <f t="shared" si="29"/>
        <v>0</v>
      </c>
      <c r="AX56" s="787">
        <f t="shared" si="29"/>
        <v>0</v>
      </c>
      <c r="AY56" s="787">
        <f t="shared" si="29"/>
        <v>0</v>
      </c>
      <c r="AZ56" s="787">
        <f t="shared" si="29"/>
        <v>0</v>
      </c>
      <c r="BA56" s="787">
        <f t="shared" si="29"/>
        <v>0</v>
      </c>
      <c r="BB56" s="787">
        <f t="shared" si="29"/>
        <v>0</v>
      </c>
      <c r="BC56" s="787">
        <f t="shared" si="29"/>
        <v>0</v>
      </c>
      <c r="BF56"/>
      <c r="BG56"/>
      <c r="BH56"/>
      <c r="BI56"/>
      <c r="BJ56"/>
      <c r="BK56"/>
      <c r="BL56"/>
      <c r="BM56"/>
      <c r="BN56"/>
      <c r="BO56"/>
      <c r="BP56"/>
      <c r="BQ56"/>
      <c r="BR56"/>
      <c r="BS56"/>
      <c r="BT56"/>
      <c r="BU56"/>
      <c r="BV56"/>
      <c r="BW56"/>
      <c r="BX56"/>
      <c r="BY56"/>
      <c r="BZ56"/>
      <c r="CA56"/>
      <c r="CB56"/>
      <c r="CC56"/>
    </row>
    <row r="57" spans="2:81" ht="24.9" customHeight="1">
      <c r="B57" s="771"/>
      <c r="C57" s="1565"/>
      <c r="D57" s="1565"/>
      <c r="E57" s="781" t="s">
        <v>235</v>
      </c>
      <c r="F57" s="820" t="s">
        <v>2335</v>
      </c>
      <c r="G57" s="822"/>
      <c r="H57" s="822"/>
      <c r="I57" s="822"/>
      <c r="J57" s="822"/>
      <c r="K57" s="822"/>
      <c r="L57" s="822"/>
      <c r="M57" s="822"/>
      <c r="N57" s="822"/>
      <c r="O57" s="822"/>
      <c r="P57" s="822"/>
      <c r="Q57" s="822"/>
      <c r="R57" s="822"/>
      <c r="S57" s="822"/>
      <c r="T57" s="822"/>
      <c r="U57" s="822"/>
      <c r="V57" s="822"/>
      <c r="W57" s="822"/>
      <c r="X57" s="822"/>
      <c r="Y57" s="822"/>
      <c r="Z57" s="822"/>
      <c r="AA57" s="822"/>
      <c r="AB57" s="822"/>
      <c r="AC57" s="822"/>
      <c r="AD57" s="777"/>
      <c r="AE57" s="785" t="s">
        <v>2188</v>
      </c>
      <c r="AF57" s="786"/>
      <c r="AG57" s="787">
        <f t="shared" ref="AG57:BC57" si="30">AG56*G57</f>
        <v>0</v>
      </c>
      <c r="AH57" s="787">
        <f t="shared" si="30"/>
        <v>0</v>
      </c>
      <c r="AI57" s="787">
        <f t="shared" si="30"/>
        <v>0</v>
      </c>
      <c r="AJ57" s="787">
        <f t="shared" si="30"/>
        <v>0</v>
      </c>
      <c r="AK57" s="787">
        <f t="shared" si="30"/>
        <v>0</v>
      </c>
      <c r="AL57" s="787">
        <f t="shared" si="30"/>
        <v>0</v>
      </c>
      <c r="AM57" s="787">
        <f t="shared" si="30"/>
        <v>0</v>
      </c>
      <c r="AN57" s="787">
        <f t="shared" si="30"/>
        <v>0</v>
      </c>
      <c r="AO57" s="787">
        <f t="shared" si="30"/>
        <v>0</v>
      </c>
      <c r="AP57" s="787">
        <f t="shared" si="30"/>
        <v>0</v>
      </c>
      <c r="AQ57" s="787">
        <f t="shared" si="30"/>
        <v>0</v>
      </c>
      <c r="AR57" s="787">
        <f t="shared" si="30"/>
        <v>0</v>
      </c>
      <c r="AS57" s="787">
        <f t="shared" si="30"/>
        <v>0</v>
      </c>
      <c r="AT57" s="787">
        <f t="shared" si="30"/>
        <v>0</v>
      </c>
      <c r="AU57" s="787">
        <f t="shared" si="30"/>
        <v>0</v>
      </c>
      <c r="AV57" s="787">
        <f t="shared" si="30"/>
        <v>0</v>
      </c>
      <c r="AW57" s="787">
        <f t="shared" si="30"/>
        <v>0</v>
      </c>
      <c r="AX57" s="787">
        <f t="shared" si="30"/>
        <v>0</v>
      </c>
      <c r="AY57" s="787">
        <f t="shared" si="30"/>
        <v>0</v>
      </c>
      <c r="AZ57" s="787">
        <f t="shared" si="30"/>
        <v>0</v>
      </c>
      <c r="BA57" s="787">
        <f t="shared" si="30"/>
        <v>0</v>
      </c>
      <c r="BB57" s="787">
        <f t="shared" si="30"/>
        <v>0</v>
      </c>
      <c r="BC57" s="787">
        <f t="shared" si="30"/>
        <v>0</v>
      </c>
      <c r="BF57"/>
      <c r="BG57"/>
      <c r="BH57"/>
      <c r="BI57"/>
      <c r="BJ57"/>
      <c r="BK57"/>
      <c r="BL57"/>
      <c r="BM57"/>
      <c r="BN57"/>
      <c r="BO57"/>
      <c r="BP57"/>
      <c r="BQ57"/>
      <c r="BR57"/>
      <c r="BS57"/>
      <c r="BT57"/>
      <c r="BU57"/>
      <c r="BV57"/>
      <c r="BW57"/>
      <c r="BX57"/>
      <c r="BY57"/>
      <c r="BZ57"/>
      <c r="CA57"/>
      <c r="CB57"/>
      <c r="CC57"/>
    </row>
    <row r="58" spans="2:81">
      <c r="AL58" s="823"/>
      <c r="AM58" s="823"/>
      <c r="AQ58" s="823"/>
      <c r="BA58" s="802" t="s">
        <v>2193</v>
      </c>
      <c r="BB58" s="802">
        <v>1000</v>
      </c>
    </row>
    <row r="59" spans="2:81">
      <c r="AL59" s="823"/>
      <c r="AM59" s="823"/>
      <c r="AQ59" s="823"/>
      <c r="BA59" s="824" t="s">
        <v>194</v>
      </c>
      <c r="BB59" s="802">
        <v>1</v>
      </c>
    </row>
    <row r="60" spans="2:81" ht="15.5">
      <c r="AL60" s="823"/>
      <c r="AM60" s="823"/>
      <c r="AQ60" s="823"/>
      <c r="BA60" s="802" t="s">
        <v>2194</v>
      </c>
      <c r="BB60" s="802">
        <v>1000</v>
      </c>
    </row>
    <row r="61" spans="2:81" ht="14">
      <c r="AL61" s="823"/>
      <c r="AM61" s="823"/>
      <c r="AQ61" s="823"/>
      <c r="BA61" s="802" t="s">
        <v>2195</v>
      </c>
      <c r="BB61" s="802">
        <v>1</v>
      </c>
    </row>
    <row r="62" spans="2:81">
      <c r="BA62" s="802" t="s">
        <v>2196</v>
      </c>
      <c r="BB62" s="802">
        <v>1000</v>
      </c>
    </row>
    <row r="63" spans="2:81">
      <c r="BA63" s="802" t="s">
        <v>2197</v>
      </c>
      <c r="BB63" s="802">
        <v>1</v>
      </c>
    </row>
    <row r="64" spans="2:81">
      <c r="BA64" s="802" t="s">
        <v>2185</v>
      </c>
      <c r="BB64" s="802">
        <v>1000</v>
      </c>
    </row>
    <row r="65" spans="53:56">
      <c r="BA65" s="802" t="s">
        <v>2198</v>
      </c>
      <c r="BB65" s="802">
        <v>1</v>
      </c>
    </row>
    <row r="66" spans="53:56">
      <c r="BA66" s="802" t="s">
        <v>2191</v>
      </c>
      <c r="BB66" s="802">
        <v>1000</v>
      </c>
    </row>
    <row r="67" spans="53:56">
      <c r="BA67" s="802" t="s">
        <v>2199</v>
      </c>
      <c r="BB67" s="802">
        <v>1</v>
      </c>
      <c r="BD67" s="825"/>
    </row>
    <row r="70" spans="53:56" ht="13.5" customHeight="1">
      <c r="BA70" s="772" t="s">
        <v>2200</v>
      </c>
    </row>
    <row r="71" spans="53:56">
      <c r="BA71" s="802" t="s">
        <v>2153</v>
      </c>
      <c r="BB71" s="826">
        <f>ROUND((101.325+2)/101.325*273.15/(273.15+15),6)</f>
        <v>0.96665500000000004</v>
      </c>
    </row>
    <row r="72" spans="53:56">
      <c r="BA72" s="802" t="s">
        <v>2156</v>
      </c>
      <c r="BB72" s="802">
        <f>ROUND((101.325+0.981)/101.325*273.15/(273.15+15),6)</f>
        <v>0.95712200000000003</v>
      </c>
    </row>
    <row r="74" spans="53:56">
      <c r="BA74" s="799" t="s">
        <v>1</v>
      </c>
      <c r="BB74" s="790" t="s">
        <v>2201</v>
      </c>
    </row>
    <row r="75" spans="53:56">
      <c r="BA75" s="790" t="s">
        <v>2202</v>
      </c>
      <c r="BB75" s="799">
        <v>0.45800000000000002</v>
      </c>
    </row>
    <row r="76" spans="53:56">
      <c r="BA76" s="790" t="s">
        <v>2171</v>
      </c>
      <c r="BB76" s="799">
        <v>0.502</v>
      </c>
    </row>
    <row r="77" spans="53:56">
      <c r="BA77" s="790" t="s">
        <v>2172</v>
      </c>
      <c r="BB77" s="799">
        <v>0.35499999999999998</v>
      </c>
    </row>
    <row r="78" spans="53:56">
      <c r="BA78" s="790" t="s">
        <v>2203</v>
      </c>
      <c r="BB78" s="799">
        <v>0.48199999999999998</v>
      </c>
    </row>
    <row r="79" spans="53:56">
      <c r="BA79" s="790" t="s">
        <v>2204</v>
      </c>
      <c r="BB79" s="799">
        <v>0.45800000000000002</v>
      </c>
    </row>
    <row r="80" spans="53:56">
      <c r="BA80" s="790" t="s">
        <v>2205</v>
      </c>
      <c r="BB80" s="799"/>
    </row>
  </sheetData>
  <sheetProtection algorithmName="SHA-512" hashValue="/oEDaL0NU48Bik2bLDDiWLB7k3VjNrOHagq++Kym7/xVCbnMvVE2MXnLsD8qV1OOE+E8Io7WAD4Zp4CLm0FzkQ==" saltValue="6XzacqcLUAALYxz9wOn9Ew==" spinCount="100000" sheet="1" objects="1" scenarios="1" formatCells="0"/>
  <mergeCells count="53">
    <mergeCell ref="AG5:BC5"/>
    <mergeCell ref="C6:E6"/>
    <mergeCell ref="AE15:AF15"/>
    <mergeCell ref="N4:S4"/>
    <mergeCell ref="C5:F5"/>
    <mergeCell ref="G5:AC5"/>
    <mergeCell ref="AE5:AF5"/>
    <mergeCell ref="C28:D28"/>
    <mergeCell ref="D16:D17"/>
    <mergeCell ref="E18:AC18"/>
    <mergeCell ref="AE18:AF18"/>
    <mergeCell ref="D19:D20"/>
    <mergeCell ref="E21:AC21"/>
    <mergeCell ref="AE21:AF21"/>
    <mergeCell ref="C7:C21"/>
    <mergeCell ref="D7:D8"/>
    <mergeCell ref="E9:AC9"/>
    <mergeCell ref="AE9:AF9"/>
    <mergeCell ref="D10:D11"/>
    <mergeCell ref="E12:AC12"/>
    <mergeCell ref="AE12:AF12"/>
    <mergeCell ref="D13:D14"/>
    <mergeCell ref="E15:AC15"/>
    <mergeCell ref="C25:F25"/>
    <mergeCell ref="G25:AC25"/>
    <mergeCell ref="AG25:BC25"/>
    <mergeCell ref="C26:D26"/>
    <mergeCell ref="C27:D27"/>
    <mergeCell ref="C29:D29"/>
    <mergeCell ref="C30:D30"/>
    <mergeCell ref="C31:D31"/>
    <mergeCell ref="E31:AC31"/>
    <mergeCell ref="C35:F35"/>
    <mergeCell ref="G35:AC35"/>
    <mergeCell ref="AG35:BC35"/>
    <mergeCell ref="C36:E36"/>
    <mergeCell ref="C37:D39"/>
    <mergeCell ref="AD38:AS38"/>
    <mergeCell ref="C40:D42"/>
    <mergeCell ref="AD41:AS41"/>
    <mergeCell ref="AD44:AS44"/>
    <mergeCell ref="C46:D48"/>
    <mergeCell ref="AD47:AS47"/>
    <mergeCell ref="L51:O51"/>
    <mergeCell ref="C52:F52"/>
    <mergeCell ref="G52:AC52"/>
    <mergeCell ref="AE52:AF52"/>
    <mergeCell ref="AG52:BC52"/>
    <mergeCell ref="C53:E53"/>
    <mergeCell ref="C54:C57"/>
    <mergeCell ref="D54:D55"/>
    <mergeCell ref="D56:D57"/>
    <mergeCell ref="C43:D45"/>
  </mergeCells>
  <phoneticPr fontId="5"/>
  <conditionalFormatting sqref="M7:AC8">
    <cfRule type="containsBlanks" dxfId="78" priority="6">
      <formula>LEN(TRIM(M7))=0</formula>
    </cfRule>
  </conditionalFormatting>
  <conditionalFormatting sqref="M10:AC11 M13:AC14 M16:AC17">
    <cfRule type="containsBlanks" dxfId="77" priority="5">
      <formula>LEN(TRIM(M10))=0</formula>
    </cfRule>
  </conditionalFormatting>
  <conditionalFormatting sqref="M19:AC20">
    <cfRule type="containsBlanks" dxfId="76" priority="4">
      <formula>LEN(TRIM(M19))=0</formula>
    </cfRule>
  </conditionalFormatting>
  <conditionalFormatting sqref="M27:AC30">
    <cfRule type="containsBlanks" dxfId="75" priority="3">
      <formula>LEN(TRIM(M27))=0</formula>
    </cfRule>
  </conditionalFormatting>
  <conditionalFormatting sqref="M37:AC48">
    <cfRule type="containsBlanks" dxfId="74" priority="2">
      <formula>LEN(TRIM(M37))=0</formula>
    </cfRule>
  </conditionalFormatting>
  <conditionalFormatting sqref="M54:AC57">
    <cfRule type="containsBlanks" dxfId="73" priority="1">
      <formula>LEN(TRIM(M54))=0</formula>
    </cfRule>
  </conditionalFormatting>
  <dataValidations count="4">
    <dataValidation type="list" allowBlank="1" showInputMessage="1" showErrorMessage="1" sqref="F54" xr:uid="{5DF47F8A-D376-41ED-8A17-50DFF783C3F6}">
      <formula1>$BA$64:$BA$65</formula1>
    </dataValidation>
    <dataValidation type="list" allowBlank="1" showInputMessage="1" showErrorMessage="1" sqref="F27:F30" xr:uid="{67EA3E40-985F-4810-86B9-C2647A8AC5CB}">
      <formula1>$BA$58:$BA$61</formula1>
    </dataValidation>
    <dataValidation type="list" allowBlank="1" showInputMessage="1" showErrorMessage="1" sqref="F7:F8 F48 F45 F39 F16:F17 F13:F14 F10:F11 F42 F19:F20" xr:uid="{74B11101-13D5-4759-B804-CB2B9818C0C3}">
      <formula1>$BA$60:$BA$63</formula1>
    </dataValidation>
    <dataValidation type="list" allowBlank="1" showInputMessage="1" showErrorMessage="1" sqref="F56" xr:uid="{C8061C61-BB85-4EFE-96C7-2DC0331236DA}">
      <formula1>$BA$66:$BA$67</formula1>
    </dataValidation>
  </dataValidations>
  <pageMargins left="0.78740157480314965" right="0.59055118110236227" top="0.78740157480314965" bottom="0.59055118110236227" header="0.31496062992125984" footer="0.31496062992125984"/>
  <pageSetup paperSize="9" scale="56" fitToHeight="0" orientation="portrait" r:id="rId1"/>
  <headerFooter>
    <oddHeader>&amp;R&amp;8ver.4.01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9F68-8C6C-4D8C-BEBC-8AE3D929FDD7}">
  <sheetPr codeName="Sheet24">
    <tabColor theme="0" tint="-0.34998626667073579"/>
    <pageSetUpPr fitToPage="1"/>
  </sheetPr>
  <dimension ref="C1:GD58"/>
  <sheetViews>
    <sheetView showGridLines="0" view="pageBreakPreview" zoomScale="70" zoomScaleNormal="100" zoomScaleSheetLayoutView="70" workbookViewId="0">
      <pane xSplit="6" ySplit="5" topLeftCell="G32" activePane="bottomRight" state="frozen"/>
      <selection activeCell="L62" sqref="L62"/>
      <selection pane="topRight" activeCell="L62" sqref="L62"/>
      <selection pane="bottomLeft" activeCell="L62" sqref="L62"/>
      <selection pane="bottomRight" activeCell="AH44" sqref="U44:AH44"/>
    </sheetView>
  </sheetViews>
  <sheetFormatPr defaultColWidth="8.08203125" defaultRowHeight="13"/>
  <cols>
    <col min="1" max="1" width="1.83203125" style="772" customWidth="1"/>
    <col min="2" max="2" width="1.1640625" style="772" customWidth="1"/>
    <col min="3" max="3" width="6.33203125" style="772" customWidth="1"/>
    <col min="4" max="4" width="8.9140625" style="772" customWidth="1"/>
    <col min="5" max="5" width="11.4140625" style="772" customWidth="1"/>
    <col min="6" max="6" width="12.5" style="772" customWidth="1"/>
    <col min="7" max="7" width="6.33203125" style="772" customWidth="1"/>
    <col min="8" max="8" width="7.9140625" style="772" hidden="1" customWidth="1"/>
    <col min="9" max="9" width="6.1640625" style="772" hidden="1" customWidth="1"/>
    <col min="10" max="10" width="6.4140625" style="772" hidden="1" customWidth="1"/>
    <col min="11" max="11" width="6.33203125" style="772" hidden="1" customWidth="1"/>
    <col min="12" max="20" width="7" style="772" hidden="1" customWidth="1"/>
    <col min="21" max="34" width="7" style="772" customWidth="1"/>
    <col min="35" max="35" width="7.9140625" style="772" hidden="1" customWidth="1"/>
    <col min="36" max="36" width="6.1640625" style="772" hidden="1" customWidth="1"/>
    <col min="37" max="37" width="6.4140625" style="772" hidden="1" customWidth="1"/>
    <col min="38" max="38" width="6.33203125" style="772" hidden="1" customWidth="1"/>
    <col min="39" max="163" width="7" style="772" hidden="1" customWidth="1"/>
    <col min="164" max="178" width="7" style="772" customWidth="1"/>
    <col min="179" max="179" width="9.08203125" style="772" customWidth="1"/>
    <col min="180" max="180" width="6.1640625" style="772" customWidth="1"/>
    <col min="181" max="181" width="7.08203125" style="772" customWidth="1"/>
    <col min="182" max="182" width="5.6640625" style="772" customWidth="1"/>
    <col min="183" max="183" width="8.08203125" style="772" customWidth="1"/>
    <col min="184" max="186" width="8.08203125" style="772" hidden="1" customWidth="1"/>
    <col min="187" max="16384" width="8.08203125" style="772"/>
  </cols>
  <sheetData>
    <row r="1" spans="3:185" ht="16.5">
      <c r="C1" s="1014" t="s">
        <v>2336</v>
      </c>
      <c r="FW1" s="828"/>
      <c r="FX1" s="1492"/>
      <c r="FY1" s="1492"/>
      <c r="FZ1" s="1492"/>
    </row>
    <row r="2" spans="3:185" ht="13.5" thickBot="1">
      <c r="D2" s="829"/>
      <c r="E2" s="829"/>
      <c r="F2" s="829"/>
      <c r="H2" s="829"/>
      <c r="P2" s="830"/>
      <c r="R2" s="831"/>
      <c r="AI2" s="829"/>
      <c r="FW2" s="832"/>
      <c r="FX2" s="832"/>
      <c r="FY2" s="833"/>
      <c r="FZ2" s="776"/>
    </row>
    <row r="3" spans="3:185" ht="27" customHeight="1" thickTop="1">
      <c r="C3" s="1493" t="s">
        <v>2207</v>
      </c>
      <c r="D3" s="1495" t="s">
        <v>2208</v>
      </c>
      <c r="E3" s="1495"/>
      <c r="F3" s="1495"/>
      <c r="G3" s="1497" t="s">
        <v>2209</v>
      </c>
      <c r="H3" s="1499" t="s">
        <v>2210</v>
      </c>
      <c r="I3" s="1500"/>
      <c r="J3" s="1500"/>
      <c r="K3" s="1500"/>
      <c r="L3" s="1500"/>
      <c r="M3" s="1500"/>
      <c r="N3" s="1500"/>
      <c r="O3" s="1500"/>
      <c r="P3" s="1500"/>
      <c r="Q3" s="1500"/>
      <c r="R3" s="1500"/>
      <c r="S3" s="1500"/>
      <c r="T3" s="1500"/>
      <c r="U3" s="1500"/>
      <c r="V3" s="1500"/>
      <c r="W3" s="1500"/>
      <c r="X3" s="1500"/>
      <c r="Y3" s="1500"/>
      <c r="Z3" s="1500"/>
      <c r="AA3" s="1500"/>
      <c r="AB3" s="1500"/>
      <c r="AC3" s="1500"/>
      <c r="AD3" s="1500"/>
      <c r="AE3" s="1500"/>
      <c r="AF3" s="1500"/>
      <c r="AG3" s="1500"/>
      <c r="AH3" s="1500"/>
      <c r="AI3" s="1500"/>
      <c r="AJ3" s="1500"/>
      <c r="AK3" s="1500"/>
      <c r="AL3" s="1500"/>
      <c r="AM3" s="1500"/>
      <c r="AN3" s="1500"/>
      <c r="AO3" s="1500"/>
      <c r="AP3" s="1500"/>
      <c r="AQ3" s="1500"/>
      <c r="AR3" s="1500"/>
      <c r="AS3" s="1500"/>
      <c r="AT3" s="1500"/>
      <c r="AU3" s="1500"/>
      <c r="AV3" s="1500"/>
      <c r="AW3" s="1500"/>
      <c r="AX3" s="1500"/>
      <c r="AY3" s="1500"/>
      <c r="AZ3" s="1500"/>
      <c r="BA3" s="1500"/>
      <c r="BB3" s="1500"/>
      <c r="BC3" s="1500"/>
      <c r="BD3" s="1500"/>
      <c r="BE3" s="1500"/>
      <c r="BF3" s="1500"/>
      <c r="BG3" s="1500"/>
      <c r="BH3" s="1500"/>
      <c r="BI3" s="1500"/>
      <c r="BJ3" s="1500"/>
      <c r="BK3" s="1500"/>
      <c r="BL3" s="1500"/>
      <c r="BM3" s="1500"/>
      <c r="BN3" s="1500"/>
      <c r="BO3" s="1500"/>
      <c r="BP3" s="1500"/>
      <c r="BQ3" s="1500"/>
      <c r="BR3" s="1500"/>
      <c r="BS3" s="1500"/>
      <c r="BT3" s="1500"/>
      <c r="BU3" s="1500"/>
      <c r="BV3" s="1500"/>
      <c r="BW3" s="1500"/>
      <c r="BX3" s="1500"/>
      <c r="BY3" s="1500"/>
      <c r="BZ3" s="1500"/>
      <c r="CA3" s="1500"/>
      <c r="CB3" s="1500"/>
      <c r="CC3" s="1500"/>
      <c r="CD3" s="1500"/>
      <c r="CE3" s="1500"/>
      <c r="CF3" s="1500"/>
      <c r="CG3" s="1500"/>
      <c r="CH3" s="1500"/>
      <c r="CI3" s="1500"/>
      <c r="CJ3" s="1500"/>
      <c r="CK3" s="1500"/>
      <c r="CL3" s="1500"/>
      <c r="CM3" s="1500"/>
      <c r="CN3" s="1500"/>
      <c r="CO3" s="1500"/>
      <c r="CP3" s="1500"/>
      <c r="CQ3" s="1500"/>
      <c r="CR3" s="1500"/>
      <c r="CS3" s="1500"/>
      <c r="CT3" s="1500"/>
      <c r="CU3" s="1500"/>
      <c r="CV3" s="834"/>
      <c r="CW3" s="834"/>
      <c r="CX3" s="834"/>
      <c r="CY3" s="834"/>
      <c r="CZ3" s="834"/>
      <c r="DA3" s="834"/>
      <c r="DB3" s="834"/>
      <c r="DC3" s="834"/>
      <c r="DD3" s="834"/>
      <c r="DE3" s="834"/>
      <c r="DF3" s="834"/>
      <c r="DG3" s="834"/>
      <c r="DH3" s="834"/>
      <c r="DI3" s="834"/>
      <c r="DJ3" s="834"/>
      <c r="DK3" s="834"/>
      <c r="DL3" s="834"/>
      <c r="DM3" s="834"/>
      <c r="DN3" s="834"/>
      <c r="DO3" s="834"/>
      <c r="DP3" s="834"/>
      <c r="DQ3" s="834"/>
      <c r="DR3" s="834"/>
      <c r="DS3" s="834"/>
      <c r="DT3" s="834"/>
      <c r="DU3" s="834"/>
      <c r="DV3" s="834"/>
      <c r="DW3" s="834"/>
      <c r="DX3" s="834"/>
      <c r="DY3" s="834"/>
      <c r="DZ3" s="834"/>
      <c r="EA3" s="834"/>
      <c r="EB3" s="834"/>
      <c r="EC3" s="834"/>
      <c r="ED3" s="834"/>
      <c r="EE3" s="834"/>
      <c r="EF3" s="834"/>
      <c r="EG3" s="834"/>
      <c r="EH3" s="834"/>
      <c r="EI3" s="834"/>
      <c r="EJ3" s="834"/>
      <c r="EK3" s="834"/>
      <c r="EL3" s="834"/>
      <c r="EM3" s="834"/>
      <c r="EN3" s="834"/>
      <c r="EO3" s="834"/>
      <c r="EP3" s="834"/>
      <c r="EQ3" s="834"/>
      <c r="ER3" s="834"/>
      <c r="ES3" s="834"/>
      <c r="ET3" s="834"/>
      <c r="EU3" s="834"/>
      <c r="EV3" s="834"/>
      <c r="EW3" s="834"/>
      <c r="EX3" s="834"/>
      <c r="EY3" s="834"/>
      <c r="EZ3" s="834"/>
      <c r="FA3" s="834"/>
      <c r="FB3" s="834"/>
      <c r="FC3" s="834"/>
      <c r="FD3" s="834"/>
      <c r="FE3" s="834"/>
      <c r="FF3" s="834"/>
      <c r="FG3" s="834"/>
      <c r="FH3" s="834"/>
      <c r="FI3" s="834"/>
      <c r="FJ3" s="834"/>
      <c r="FK3" s="834"/>
      <c r="FL3" s="834"/>
      <c r="FM3" s="834"/>
      <c r="FN3" s="834"/>
      <c r="FO3" s="834"/>
      <c r="FP3" s="834"/>
      <c r="FQ3" s="834"/>
      <c r="FR3" s="834"/>
      <c r="FS3" s="834"/>
      <c r="FT3" s="834"/>
      <c r="FU3" s="834"/>
      <c r="FV3" s="834"/>
      <c r="FW3" s="1501" t="s">
        <v>2211</v>
      </c>
      <c r="FX3" s="1501"/>
      <c r="FY3" s="1501" t="s">
        <v>2212</v>
      </c>
      <c r="FZ3" s="1503"/>
    </row>
    <row r="4" spans="3:185" ht="17.25" customHeight="1">
      <c r="C4" s="1494"/>
      <c r="D4" s="1496"/>
      <c r="E4" s="1496"/>
      <c r="F4" s="1496"/>
      <c r="G4" s="1498"/>
      <c r="H4" s="1440" t="s">
        <v>2213</v>
      </c>
      <c r="I4" s="1441"/>
      <c r="J4" s="1441"/>
      <c r="K4" s="1441"/>
      <c r="L4" s="1441"/>
      <c r="M4" s="1441"/>
      <c r="N4" s="1441"/>
      <c r="O4" s="1441"/>
      <c r="P4" s="1441"/>
      <c r="Q4" s="1441"/>
      <c r="R4" s="1441"/>
      <c r="S4" s="1441"/>
      <c r="T4" s="1441"/>
      <c r="U4" s="1441"/>
      <c r="V4" s="1441"/>
      <c r="W4" s="1441"/>
      <c r="X4" s="1441"/>
      <c r="Y4" s="1441"/>
      <c r="Z4" s="1441"/>
      <c r="AA4" s="1441"/>
      <c r="AB4" s="1441"/>
      <c r="AC4" s="1441"/>
      <c r="AD4" s="1441"/>
      <c r="AE4" s="1441"/>
      <c r="AF4" s="1441"/>
      <c r="AG4" s="1441"/>
      <c r="AH4" s="1442"/>
      <c r="AI4" s="1440" t="s">
        <v>2214</v>
      </c>
      <c r="AJ4" s="1441"/>
      <c r="AK4" s="1441"/>
      <c r="AL4" s="1441"/>
      <c r="AM4" s="1441"/>
      <c r="AN4" s="1441"/>
      <c r="AO4" s="1441"/>
      <c r="AP4" s="1441"/>
      <c r="AQ4" s="1441"/>
      <c r="AR4" s="1441"/>
      <c r="AS4" s="1441"/>
      <c r="AT4" s="1441"/>
      <c r="AU4" s="1441"/>
      <c r="AV4" s="1441"/>
      <c r="AW4" s="1441"/>
      <c r="AX4" s="1441"/>
      <c r="AY4" s="1441"/>
      <c r="AZ4" s="1441"/>
      <c r="BA4" s="1441"/>
      <c r="BB4" s="1441"/>
      <c r="BC4" s="1441"/>
      <c r="BD4" s="1441"/>
      <c r="BE4" s="1441"/>
      <c r="BF4" s="1441"/>
      <c r="BG4" s="1441"/>
      <c r="BH4" s="1441"/>
      <c r="BI4" s="1442"/>
      <c r="BJ4" s="1505" t="s">
        <v>2215</v>
      </c>
      <c r="BK4" s="1506"/>
      <c r="BL4" s="1506"/>
      <c r="BM4" s="1506"/>
      <c r="BN4" s="1506"/>
      <c r="BO4" s="1506"/>
      <c r="BP4" s="1506"/>
      <c r="BQ4" s="1506"/>
      <c r="BR4" s="1506"/>
      <c r="BS4" s="1506"/>
      <c r="BT4" s="1506"/>
      <c r="BU4" s="1506"/>
      <c r="BV4" s="1506"/>
      <c r="BW4" s="1506"/>
      <c r="BX4" s="1506"/>
      <c r="BY4" s="1506"/>
      <c r="BZ4" s="1506"/>
      <c r="CA4" s="1507"/>
      <c r="CB4" s="835"/>
      <c r="CC4" s="835"/>
      <c r="CD4" s="835"/>
      <c r="CE4" s="835"/>
      <c r="CF4" s="835"/>
      <c r="CG4" s="1498" t="s">
        <v>77</v>
      </c>
      <c r="CH4" s="1508" t="s">
        <v>2216</v>
      </c>
      <c r="CI4" s="1509"/>
      <c r="CJ4" s="1509"/>
      <c r="CK4" s="1509"/>
      <c r="CL4" s="1509"/>
      <c r="CM4" s="1509"/>
      <c r="CN4" s="1509"/>
      <c r="CO4" s="1509"/>
      <c r="CP4" s="1509"/>
      <c r="CQ4" s="1509"/>
      <c r="CR4" s="1509"/>
      <c r="CS4" s="1509"/>
      <c r="CT4" s="1509"/>
      <c r="CU4" s="1509"/>
      <c r="CV4" s="1509"/>
      <c r="CW4" s="1509"/>
      <c r="CX4" s="1509"/>
      <c r="CY4" s="1509"/>
      <c r="CZ4" s="1509"/>
      <c r="DA4" s="1509"/>
      <c r="DB4" s="1509"/>
      <c r="DC4" s="1509"/>
      <c r="DD4" s="1509"/>
      <c r="DE4" s="1510"/>
      <c r="DF4" s="1505" t="s">
        <v>2217</v>
      </c>
      <c r="DG4" s="1506"/>
      <c r="DH4" s="1506"/>
      <c r="DI4" s="1506"/>
      <c r="DJ4" s="1506"/>
      <c r="DK4" s="1506"/>
      <c r="DL4" s="1506"/>
      <c r="DM4" s="1506"/>
      <c r="DN4" s="1506"/>
      <c r="DO4" s="1506"/>
      <c r="DP4" s="1506"/>
      <c r="DQ4" s="1506"/>
      <c r="DR4" s="1506"/>
      <c r="DS4" s="1506"/>
      <c r="DT4" s="1506"/>
      <c r="DU4" s="1506"/>
      <c r="DV4" s="1506"/>
      <c r="DW4" s="1506"/>
      <c r="DX4" s="1506"/>
      <c r="DY4" s="1506"/>
      <c r="DZ4" s="1506"/>
      <c r="EA4" s="1506"/>
      <c r="EB4" s="1507"/>
      <c r="EC4" s="1505" t="s">
        <v>2218</v>
      </c>
      <c r="ED4" s="1506"/>
      <c r="EE4" s="1506"/>
      <c r="EF4" s="1506"/>
      <c r="EG4" s="1506"/>
      <c r="EH4" s="1506"/>
      <c r="EI4" s="1506"/>
      <c r="EJ4" s="1506"/>
      <c r="EK4" s="1506"/>
      <c r="EL4" s="1506"/>
      <c r="EM4" s="1506"/>
      <c r="EN4" s="1506"/>
      <c r="EO4" s="1506"/>
      <c r="EP4" s="1506"/>
      <c r="EQ4" s="1506"/>
      <c r="ER4" s="1506"/>
      <c r="ES4" s="1506"/>
      <c r="ET4" s="1506"/>
      <c r="EU4" s="1506"/>
      <c r="EV4" s="1506"/>
      <c r="EW4" s="1506"/>
      <c r="EX4" s="1506"/>
      <c r="EY4" s="1507"/>
      <c r="EZ4" s="1505" t="s">
        <v>2219</v>
      </c>
      <c r="FA4" s="1506"/>
      <c r="FB4" s="1506"/>
      <c r="FC4" s="1506"/>
      <c r="FD4" s="1506"/>
      <c r="FE4" s="1506"/>
      <c r="FF4" s="1506"/>
      <c r="FG4" s="1506"/>
      <c r="FH4" s="1506"/>
      <c r="FI4" s="1506"/>
      <c r="FJ4" s="1506"/>
      <c r="FK4" s="1506"/>
      <c r="FL4" s="1506"/>
      <c r="FM4" s="1506"/>
      <c r="FN4" s="1506"/>
      <c r="FO4" s="1506"/>
      <c r="FP4" s="1506"/>
      <c r="FQ4" s="1506"/>
      <c r="FR4" s="1506"/>
      <c r="FS4" s="1506"/>
      <c r="FT4" s="1506"/>
      <c r="FU4" s="1506"/>
      <c r="FV4" s="1507"/>
      <c r="FW4" s="1502"/>
      <c r="FX4" s="1502"/>
      <c r="FY4" s="1502"/>
      <c r="FZ4" s="1504"/>
    </row>
    <row r="5" spans="3:185" ht="24.75" customHeight="1">
      <c r="C5" s="1494"/>
      <c r="D5" s="1496"/>
      <c r="E5" s="1496"/>
      <c r="F5" s="1496"/>
      <c r="G5" s="1498"/>
      <c r="H5" s="818" t="s">
        <v>2220</v>
      </c>
      <c r="I5" s="818" t="s">
        <v>2221</v>
      </c>
      <c r="J5" s="818" t="s">
        <v>2222</v>
      </c>
      <c r="K5" s="836" t="s">
        <v>2223</v>
      </c>
      <c r="L5" s="818" t="s">
        <v>2128</v>
      </c>
      <c r="M5" s="818" t="s">
        <v>2129</v>
      </c>
      <c r="N5" s="818" t="s">
        <v>2130</v>
      </c>
      <c r="O5" s="818" t="s">
        <v>2131</v>
      </c>
      <c r="P5" s="818" t="s">
        <v>2132</v>
      </c>
      <c r="Q5" s="818" t="s">
        <v>2133</v>
      </c>
      <c r="R5" s="818" t="s">
        <v>2134</v>
      </c>
      <c r="S5" s="818" t="s">
        <v>2135</v>
      </c>
      <c r="T5" s="818" t="s">
        <v>2136</v>
      </c>
      <c r="U5" s="818" t="s">
        <v>2137</v>
      </c>
      <c r="V5" s="818" t="s">
        <v>2138</v>
      </c>
      <c r="W5" s="818" t="s">
        <v>2139</v>
      </c>
      <c r="X5" s="818" t="s">
        <v>2140</v>
      </c>
      <c r="Y5" s="818" t="s">
        <v>2141</v>
      </c>
      <c r="Z5" s="818" t="s">
        <v>2142</v>
      </c>
      <c r="AA5" s="818" t="s">
        <v>2143</v>
      </c>
      <c r="AB5" s="818" t="s">
        <v>2144</v>
      </c>
      <c r="AC5" s="818" t="s">
        <v>2224</v>
      </c>
      <c r="AD5" s="818" t="s">
        <v>2225</v>
      </c>
      <c r="AE5" s="818" t="s">
        <v>2226</v>
      </c>
      <c r="AF5" s="818" t="s">
        <v>2227</v>
      </c>
      <c r="AG5" s="818" t="s">
        <v>2228</v>
      </c>
      <c r="AH5" s="818" t="s">
        <v>2229</v>
      </c>
      <c r="AI5" s="818" t="s">
        <v>2220</v>
      </c>
      <c r="AJ5" s="818" t="s">
        <v>2221</v>
      </c>
      <c r="AK5" s="818" t="s">
        <v>2222</v>
      </c>
      <c r="AL5" s="836" t="s">
        <v>2223</v>
      </c>
      <c r="AM5" s="818" t="s">
        <v>2128</v>
      </c>
      <c r="AN5" s="818" t="s">
        <v>2129</v>
      </c>
      <c r="AO5" s="818" t="s">
        <v>2130</v>
      </c>
      <c r="AP5" s="818" t="s">
        <v>2131</v>
      </c>
      <c r="AQ5" s="818" t="s">
        <v>2132</v>
      </c>
      <c r="AR5" s="818" t="s">
        <v>2133</v>
      </c>
      <c r="AS5" s="818" t="s">
        <v>2134</v>
      </c>
      <c r="AT5" s="818" t="s">
        <v>2135</v>
      </c>
      <c r="AU5" s="818" t="s">
        <v>2136</v>
      </c>
      <c r="AV5" s="818" t="s">
        <v>2137</v>
      </c>
      <c r="AW5" s="818" t="s">
        <v>2138</v>
      </c>
      <c r="AX5" s="818" t="s">
        <v>2139</v>
      </c>
      <c r="AY5" s="818" t="s">
        <v>2140</v>
      </c>
      <c r="AZ5" s="818" t="s">
        <v>2141</v>
      </c>
      <c r="BA5" s="818" t="s">
        <v>2142</v>
      </c>
      <c r="BB5" s="818" t="s">
        <v>2143</v>
      </c>
      <c r="BC5" s="818" t="s">
        <v>2144</v>
      </c>
      <c r="BD5" s="818" t="s">
        <v>2224</v>
      </c>
      <c r="BE5" s="818" t="s">
        <v>2225</v>
      </c>
      <c r="BF5" s="818" t="s">
        <v>2226</v>
      </c>
      <c r="BG5" s="818" t="s">
        <v>2227</v>
      </c>
      <c r="BH5" s="818" t="s">
        <v>2228</v>
      </c>
      <c r="BI5" s="818" t="s">
        <v>2229</v>
      </c>
      <c r="BJ5" s="818" t="s">
        <v>2128</v>
      </c>
      <c r="BK5" s="818" t="s">
        <v>2129</v>
      </c>
      <c r="BL5" s="818" t="s">
        <v>2130</v>
      </c>
      <c r="BM5" s="818" t="s">
        <v>2131</v>
      </c>
      <c r="BN5" s="818" t="s">
        <v>2132</v>
      </c>
      <c r="BO5" s="818" t="s">
        <v>2133</v>
      </c>
      <c r="BP5" s="818" t="s">
        <v>2134</v>
      </c>
      <c r="BQ5" s="818" t="s">
        <v>2135</v>
      </c>
      <c r="BR5" s="818" t="s">
        <v>2136</v>
      </c>
      <c r="BS5" s="818" t="s">
        <v>2137</v>
      </c>
      <c r="BT5" s="818" t="s">
        <v>2138</v>
      </c>
      <c r="BU5" s="818" t="s">
        <v>2139</v>
      </c>
      <c r="BV5" s="818" t="s">
        <v>2140</v>
      </c>
      <c r="BW5" s="818" t="s">
        <v>2141</v>
      </c>
      <c r="BX5" s="818" t="s">
        <v>2142</v>
      </c>
      <c r="BY5" s="818" t="s">
        <v>2143</v>
      </c>
      <c r="BZ5" s="818" t="s">
        <v>2144</v>
      </c>
      <c r="CA5" s="818" t="s">
        <v>2224</v>
      </c>
      <c r="CB5" s="818" t="s">
        <v>2225</v>
      </c>
      <c r="CC5" s="818" t="s">
        <v>2226</v>
      </c>
      <c r="CD5" s="818" t="s">
        <v>2227</v>
      </c>
      <c r="CE5" s="818" t="s">
        <v>2228</v>
      </c>
      <c r="CF5" s="818" t="s">
        <v>2229</v>
      </c>
      <c r="CG5" s="1498"/>
      <c r="CH5" s="837" t="s">
        <v>69</v>
      </c>
      <c r="CI5" s="818" t="s">
        <v>2128</v>
      </c>
      <c r="CJ5" s="818" t="s">
        <v>2129</v>
      </c>
      <c r="CK5" s="818" t="s">
        <v>2130</v>
      </c>
      <c r="CL5" s="818" t="s">
        <v>2131</v>
      </c>
      <c r="CM5" s="818" t="s">
        <v>2132</v>
      </c>
      <c r="CN5" s="818" t="s">
        <v>2133</v>
      </c>
      <c r="CO5" s="818" t="s">
        <v>2134</v>
      </c>
      <c r="CP5" s="818" t="s">
        <v>2135</v>
      </c>
      <c r="CQ5" s="818" t="s">
        <v>2136</v>
      </c>
      <c r="CR5" s="818" t="s">
        <v>2137</v>
      </c>
      <c r="CS5" s="818" t="s">
        <v>2138</v>
      </c>
      <c r="CT5" s="818" t="s">
        <v>2139</v>
      </c>
      <c r="CU5" s="818" t="s">
        <v>2140</v>
      </c>
      <c r="CV5" s="818" t="s">
        <v>2141</v>
      </c>
      <c r="CW5" s="818" t="s">
        <v>2142</v>
      </c>
      <c r="CX5" s="818" t="s">
        <v>2143</v>
      </c>
      <c r="CY5" s="818" t="s">
        <v>2144</v>
      </c>
      <c r="CZ5" s="818" t="s">
        <v>2224</v>
      </c>
      <c r="DA5" s="818" t="s">
        <v>2225</v>
      </c>
      <c r="DB5" s="818" t="s">
        <v>2226</v>
      </c>
      <c r="DC5" s="818" t="s">
        <v>2227</v>
      </c>
      <c r="DD5" s="818" t="s">
        <v>2228</v>
      </c>
      <c r="DE5" s="818" t="s">
        <v>2229</v>
      </c>
      <c r="DF5" s="835" t="s">
        <v>2128</v>
      </c>
      <c r="DG5" s="818" t="s">
        <v>2129</v>
      </c>
      <c r="DH5" s="818" t="s">
        <v>2130</v>
      </c>
      <c r="DI5" s="818" t="s">
        <v>2131</v>
      </c>
      <c r="DJ5" s="818" t="s">
        <v>2132</v>
      </c>
      <c r="DK5" s="818" t="s">
        <v>2133</v>
      </c>
      <c r="DL5" s="818" t="s">
        <v>2134</v>
      </c>
      <c r="DM5" s="818" t="s">
        <v>2135</v>
      </c>
      <c r="DN5" s="818" t="s">
        <v>2136</v>
      </c>
      <c r="DO5" s="818" t="s">
        <v>2137</v>
      </c>
      <c r="DP5" s="818" t="s">
        <v>2138</v>
      </c>
      <c r="DQ5" s="818" t="s">
        <v>2139</v>
      </c>
      <c r="DR5" s="818" t="s">
        <v>2140</v>
      </c>
      <c r="DS5" s="818" t="s">
        <v>2141</v>
      </c>
      <c r="DT5" s="818" t="s">
        <v>2142</v>
      </c>
      <c r="DU5" s="818" t="s">
        <v>2143</v>
      </c>
      <c r="DV5" s="818" t="s">
        <v>2144</v>
      </c>
      <c r="DW5" s="818" t="s">
        <v>2224</v>
      </c>
      <c r="DX5" s="818" t="s">
        <v>2225</v>
      </c>
      <c r="DY5" s="818" t="s">
        <v>2226</v>
      </c>
      <c r="DZ5" s="818" t="s">
        <v>2227</v>
      </c>
      <c r="EA5" s="818" t="s">
        <v>2228</v>
      </c>
      <c r="EB5" s="818" t="s">
        <v>2229</v>
      </c>
      <c r="EC5" s="818" t="s">
        <v>2128</v>
      </c>
      <c r="ED5" s="818" t="s">
        <v>2129</v>
      </c>
      <c r="EE5" s="818" t="s">
        <v>2130</v>
      </c>
      <c r="EF5" s="818" t="s">
        <v>2131</v>
      </c>
      <c r="EG5" s="818" t="s">
        <v>2132</v>
      </c>
      <c r="EH5" s="818" t="s">
        <v>2133</v>
      </c>
      <c r="EI5" s="818" t="s">
        <v>2134</v>
      </c>
      <c r="EJ5" s="818" t="s">
        <v>2135</v>
      </c>
      <c r="EK5" s="818" t="s">
        <v>2136</v>
      </c>
      <c r="EL5" s="818" t="s">
        <v>2137</v>
      </c>
      <c r="EM5" s="818" t="s">
        <v>2138</v>
      </c>
      <c r="EN5" s="818" t="s">
        <v>2139</v>
      </c>
      <c r="EO5" s="818" t="s">
        <v>2140</v>
      </c>
      <c r="EP5" s="818" t="s">
        <v>2141</v>
      </c>
      <c r="EQ5" s="818" t="s">
        <v>2142</v>
      </c>
      <c r="ER5" s="818" t="s">
        <v>2143</v>
      </c>
      <c r="ES5" s="818" t="s">
        <v>2144</v>
      </c>
      <c r="ET5" s="818" t="s">
        <v>2224</v>
      </c>
      <c r="EU5" s="818" t="s">
        <v>2225</v>
      </c>
      <c r="EV5" s="818" t="s">
        <v>2226</v>
      </c>
      <c r="EW5" s="818" t="s">
        <v>2227</v>
      </c>
      <c r="EX5" s="818" t="s">
        <v>2228</v>
      </c>
      <c r="EY5" s="818" t="s">
        <v>2229</v>
      </c>
      <c r="EZ5" s="818" t="s">
        <v>2128</v>
      </c>
      <c r="FA5" s="818" t="s">
        <v>2129</v>
      </c>
      <c r="FB5" s="818" t="s">
        <v>2130</v>
      </c>
      <c r="FC5" s="818" t="s">
        <v>2131</v>
      </c>
      <c r="FD5" s="818" t="s">
        <v>2132</v>
      </c>
      <c r="FE5" s="818" t="s">
        <v>2133</v>
      </c>
      <c r="FF5" s="818" t="s">
        <v>2134</v>
      </c>
      <c r="FG5" s="818" t="s">
        <v>2135</v>
      </c>
      <c r="FH5" s="818" t="s">
        <v>2136</v>
      </c>
      <c r="FI5" s="818" t="s">
        <v>2137</v>
      </c>
      <c r="FJ5" s="818" t="s">
        <v>2138</v>
      </c>
      <c r="FK5" s="818" t="s">
        <v>2139</v>
      </c>
      <c r="FL5" s="818" t="s">
        <v>2140</v>
      </c>
      <c r="FM5" s="818" t="s">
        <v>2141</v>
      </c>
      <c r="FN5" s="818" t="s">
        <v>2142</v>
      </c>
      <c r="FO5" s="818" t="s">
        <v>2143</v>
      </c>
      <c r="FP5" s="818" t="s">
        <v>2144</v>
      </c>
      <c r="FQ5" s="818" t="s">
        <v>2224</v>
      </c>
      <c r="FR5" s="818" t="s">
        <v>2225</v>
      </c>
      <c r="FS5" s="818" t="s">
        <v>2226</v>
      </c>
      <c r="FT5" s="818" t="s">
        <v>2227</v>
      </c>
      <c r="FU5" s="818" t="s">
        <v>2228</v>
      </c>
      <c r="FV5" s="818" t="s">
        <v>2229</v>
      </c>
      <c r="FW5" s="1502"/>
      <c r="FX5" s="1502"/>
      <c r="FY5" s="1502"/>
      <c r="FZ5" s="1504"/>
    </row>
    <row r="6" spans="3:185" ht="23.25" customHeight="1">
      <c r="C6" s="1486" t="s">
        <v>185</v>
      </c>
      <c r="D6" s="1485" t="s">
        <v>9</v>
      </c>
      <c r="E6" s="1485"/>
      <c r="F6" s="1485"/>
      <c r="G6" s="838" t="s">
        <v>297</v>
      </c>
      <c r="H6" s="839"/>
      <c r="I6" s="839"/>
      <c r="J6" s="839"/>
      <c r="K6" s="839"/>
      <c r="L6" s="839"/>
      <c r="M6" s="839"/>
      <c r="N6" s="839"/>
      <c r="O6" s="839"/>
      <c r="P6" s="839"/>
      <c r="Q6" s="839"/>
      <c r="R6" s="839"/>
      <c r="S6" s="839"/>
      <c r="T6" s="839"/>
      <c r="U6" s="839"/>
      <c r="V6" s="839"/>
      <c r="W6" s="839"/>
      <c r="X6" s="839"/>
      <c r="Y6" s="839"/>
      <c r="Z6" s="839"/>
      <c r="AA6" s="839"/>
      <c r="AB6" s="839"/>
      <c r="AC6" s="839"/>
      <c r="AD6" s="839"/>
      <c r="AE6" s="839"/>
      <c r="AF6" s="839"/>
      <c r="AG6" s="839"/>
      <c r="AH6" s="839"/>
      <c r="AI6" s="839"/>
      <c r="AJ6" s="839"/>
      <c r="AK6" s="839"/>
      <c r="AL6" s="839"/>
      <c r="AM6" s="839"/>
      <c r="AN6" s="839"/>
      <c r="AO6" s="839"/>
      <c r="AP6" s="839"/>
      <c r="AQ6" s="839"/>
      <c r="AR6" s="839"/>
      <c r="AS6" s="839"/>
      <c r="AT6" s="839"/>
      <c r="AU6" s="839"/>
      <c r="AV6" s="839"/>
      <c r="AW6" s="839"/>
      <c r="AX6" s="839"/>
      <c r="AY6" s="839"/>
      <c r="AZ6" s="839"/>
      <c r="BA6" s="839"/>
      <c r="BB6" s="839"/>
      <c r="BC6" s="839"/>
      <c r="BD6" s="839"/>
      <c r="BE6" s="839"/>
      <c r="BF6" s="839"/>
      <c r="BG6" s="839"/>
      <c r="BH6" s="839"/>
      <c r="BI6" s="839"/>
      <c r="BJ6" s="840">
        <f t="shared" ref="BJ6:BY21" si="0">L6-AM6</f>
        <v>0</v>
      </c>
      <c r="BK6" s="840">
        <f t="shared" si="0"/>
        <v>0</v>
      </c>
      <c r="BL6" s="840">
        <f t="shared" si="0"/>
        <v>0</v>
      </c>
      <c r="BM6" s="840">
        <f t="shared" si="0"/>
        <v>0</v>
      </c>
      <c r="BN6" s="840">
        <f t="shared" si="0"/>
        <v>0</v>
      </c>
      <c r="BO6" s="840">
        <f t="shared" si="0"/>
        <v>0</v>
      </c>
      <c r="BP6" s="840">
        <f t="shared" si="0"/>
        <v>0</v>
      </c>
      <c r="BQ6" s="840">
        <f t="shared" si="0"/>
        <v>0</v>
      </c>
      <c r="BR6" s="840">
        <f t="shared" si="0"/>
        <v>0</v>
      </c>
      <c r="BS6" s="840">
        <f t="shared" si="0"/>
        <v>0</v>
      </c>
      <c r="BT6" s="840">
        <f t="shared" si="0"/>
        <v>0</v>
      </c>
      <c r="BU6" s="840">
        <f t="shared" si="0"/>
        <v>0</v>
      </c>
      <c r="BV6" s="840">
        <f t="shared" si="0"/>
        <v>0</v>
      </c>
      <c r="BW6" s="840">
        <f t="shared" si="0"/>
        <v>0</v>
      </c>
      <c r="BX6" s="840">
        <f t="shared" si="0"/>
        <v>0</v>
      </c>
      <c r="BY6" s="840">
        <f t="shared" si="0"/>
        <v>0</v>
      </c>
      <c r="BZ6" s="840">
        <f t="shared" ref="BZ6:CF44" si="1">AB6-BC6</f>
        <v>0</v>
      </c>
      <c r="CA6" s="840">
        <f t="shared" si="1"/>
        <v>0</v>
      </c>
      <c r="CB6" s="840">
        <f t="shared" si="1"/>
        <v>0</v>
      </c>
      <c r="CC6" s="840">
        <f t="shared" si="1"/>
        <v>0</v>
      </c>
      <c r="CD6" s="840">
        <f t="shared" si="1"/>
        <v>0</v>
      </c>
      <c r="CE6" s="840">
        <f t="shared" si="1"/>
        <v>0</v>
      </c>
      <c r="CF6" s="840">
        <f t="shared" si="1"/>
        <v>0</v>
      </c>
      <c r="CG6" s="840">
        <f t="shared" ref="CG6:CG32" si="2">VLOOKUP($G6,$GB$6:$GC$15,2,FALSE)</f>
        <v>1000</v>
      </c>
      <c r="CH6" s="841" t="s">
        <v>2231</v>
      </c>
      <c r="CI6" s="840">
        <f>ROUND(BJ6/$CG6,0)</f>
        <v>0</v>
      </c>
      <c r="CJ6" s="840">
        <f t="shared" ref="CJ6:CY21" si="3">ROUND(BK6/$CG6,0)</f>
        <v>0</v>
      </c>
      <c r="CK6" s="840">
        <f t="shared" si="3"/>
        <v>0</v>
      </c>
      <c r="CL6" s="840">
        <f t="shared" si="3"/>
        <v>0</v>
      </c>
      <c r="CM6" s="840">
        <f t="shared" si="3"/>
        <v>0</v>
      </c>
      <c r="CN6" s="840">
        <f t="shared" si="3"/>
        <v>0</v>
      </c>
      <c r="CO6" s="840">
        <f t="shared" si="3"/>
        <v>0</v>
      </c>
      <c r="CP6" s="840">
        <f t="shared" si="3"/>
        <v>0</v>
      </c>
      <c r="CQ6" s="840">
        <f t="shared" si="3"/>
        <v>0</v>
      </c>
      <c r="CR6" s="840">
        <f t="shared" si="3"/>
        <v>0</v>
      </c>
      <c r="CS6" s="840">
        <f t="shared" si="3"/>
        <v>0</v>
      </c>
      <c r="CT6" s="840">
        <f t="shared" si="3"/>
        <v>0</v>
      </c>
      <c r="CU6" s="840">
        <f t="shared" si="3"/>
        <v>0</v>
      </c>
      <c r="CV6" s="840">
        <f t="shared" si="3"/>
        <v>0</v>
      </c>
      <c r="CW6" s="840">
        <f t="shared" si="3"/>
        <v>0</v>
      </c>
      <c r="CX6" s="840">
        <f t="shared" si="3"/>
        <v>0</v>
      </c>
      <c r="CY6" s="840">
        <f t="shared" si="3"/>
        <v>0</v>
      </c>
      <c r="CZ6" s="840">
        <f t="shared" ref="CZ6:DE21" si="4">ROUND(CA6/$CG6,0)</f>
        <v>0</v>
      </c>
      <c r="DA6" s="840">
        <f t="shared" si="4"/>
        <v>0</v>
      </c>
      <c r="DB6" s="840">
        <f t="shared" si="4"/>
        <v>0</v>
      </c>
      <c r="DC6" s="840">
        <f t="shared" si="4"/>
        <v>0</v>
      </c>
      <c r="DD6" s="840">
        <f t="shared" si="4"/>
        <v>0</v>
      </c>
      <c r="DE6" s="840">
        <f t="shared" si="4"/>
        <v>0</v>
      </c>
      <c r="DF6" s="840">
        <f t="shared" ref="DF6:DU21" si="5">CI6*$FW6</f>
        <v>0</v>
      </c>
      <c r="DG6" s="840">
        <f t="shared" si="5"/>
        <v>0</v>
      </c>
      <c r="DH6" s="840">
        <f t="shared" si="5"/>
        <v>0</v>
      </c>
      <c r="DI6" s="840">
        <f t="shared" si="5"/>
        <v>0</v>
      </c>
      <c r="DJ6" s="840">
        <f t="shared" si="5"/>
        <v>0</v>
      </c>
      <c r="DK6" s="840">
        <f t="shared" si="5"/>
        <v>0</v>
      </c>
      <c r="DL6" s="840">
        <f t="shared" si="5"/>
        <v>0</v>
      </c>
      <c r="DM6" s="840">
        <f t="shared" si="5"/>
        <v>0</v>
      </c>
      <c r="DN6" s="840">
        <f t="shared" si="5"/>
        <v>0</v>
      </c>
      <c r="DO6" s="840">
        <f t="shared" si="5"/>
        <v>0</v>
      </c>
      <c r="DP6" s="840">
        <f t="shared" si="5"/>
        <v>0</v>
      </c>
      <c r="DQ6" s="840">
        <f t="shared" si="5"/>
        <v>0</v>
      </c>
      <c r="DR6" s="840">
        <f t="shared" si="5"/>
        <v>0</v>
      </c>
      <c r="DS6" s="840">
        <f t="shared" si="5"/>
        <v>0</v>
      </c>
      <c r="DT6" s="840">
        <f t="shared" si="5"/>
        <v>0</v>
      </c>
      <c r="DU6" s="840">
        <f t="shared" si="5"/>
        <v>0</v>
      </c>
      <c r="DV6" s="840">
        <f t="shared" ref="DV6:EB34" si="6">CY6*$FW6</f>
        <v>0</v>
      </c>
      <c r="DW6" s="840">
        <f t="shared" si="6"/>
        <v>0</v>
      </c>
      <c r="DX6" s="840">
        <f t="shared" si="6"/>
        <v>0</v>
      </c>
      <c r="DY6" s="840">
        <f t="shared" si="6"/>
        <v>0</v>
      </c>
      <c r="DZ6" s="840">
        <f t="shared" si="6"/>
        <v>0</v>
      </c>
      <c r="EA6" s="840">
        <f t="shared" si="6"/>
        <v>0</v>
      </c>
      <c r="EB6" s="840">
        <f t="shared" si="6"/>
        <v>0</v>
      </c>
      <c r="EC6" s="840">
        <f t="shared" ref="EC6:ER21" si="7">DF6*$GC$19</f>
        <v>0</v>
      </c>
      <c r="ED6" s="840">
        <f t="shared" si="7"/>
        <v>0</v>
      </c>
      <c r="EE6" s="840">
        <f t="shared" si="7"/>
        <v>0</v>
      </c>
      <c r="EF6" s="840">
        <f t="shared" si="7"/>
        <v>0</v>
      </c>
      <c r="EG6" s="840">
        <f t="shared" si="7"/>
        <v>0</v>
      </c>
      <c r="EH6" s="840">
        <f t="shared" si="7"/>
        <v>0</v>
      </c>
      <c r="EI6" s="840">
        <f t="shared" si="7"/>
        <v>0</v>
      </c>
      <c r="EJ6" s="840">
        <f t="shared" si="7"/>
        <v>0</v>
      </c>
      <c r="EK6" s="840">
        <f t="shared" si="7"/>
        <v>0</v>
      </c>
      <c r="EL6" s="840">
        <f t="shared" si="7"/>
        <v>0</v>
      </c>
      <c r="EM6" s="840">
        <f t="shared" si="7"/>
        <v>0</v>
      </c>
      <c r="EN6" s="840">
        <f t="shared" si="7"/>
        <v>0</v>
      </c>
      <c r="EO6" s="840">
        <f t="shared" si="7"/>
        <v>0</v>
      </c>
      <c r="EP6" s="840">
        <f t="shared" si="7"/>
        <v>0</v>
      </c>
      <c r="EQ6" s="840">
        <f t="shared" si="7"/>
        <v>0</v>
      </c>
      <c r="ER6" s="840">
        <f t="shared" si="7"/>
        <v>0</v>
      </c>
      <c r="ES6" s="840">
        <f t="shared" ref="ES6:EY34" si="8">DV6*$GC$19</f>
        <v>0</v>
      </c>
      <c r="ET6" s="840">
        <f t="shared" si="8"/>
        <v>0</v>
      </c>
      <c r="EU6" s="840">
        <f t="shared" si="8"/>
        <v>0</v>
      </c>
      <c r="EV6" s="840">
        <f t="shared" si="8"/>
        <v>0</v>
      </c>
      <c r="EW6" s="840">
        <f t="shared" si="8"/>
        <v>0</v>
      </c>
      <c r="EX6" s="840">
        <f t="shared" si="8"/>
        <v>0</v>
      </c>
      <c r="EY6" s="840">
        <f t="shared" si="8"/>
        <v>0</v>
      </c>
      <c r="EZ6" s="842">
        <f t="shared" ref="EZ6:FO21" si="9">DF6*$FY6*44/12</f>
        <v>0</v>
      </c>
      <c r="FA6" s="842">
        <f t="shared" si="9"/>
        <v>0</v>
      </c>
      <c r="FB6" s="842">
        <f t="shared" si="9"/>
        <v>0</v>
      </c>
      <c r="FC6" s="842">
        <f t="shared" si="9"/>
        <v>0</v>
      </c>
      <c r="FD6" s="842">
        <f t="shared" si="9"/>
        <v>0</v>
      </c>
      <c r="FE6" s="842">
        <f t="shared" si="9"/>
        <v>0</v>
      </c>
      <c r="FF6" s="842">
        <f t="shared" si="9"/>
        <v>0</v>
      </c>
      <c r="FG6" s="842">
        <f t="shared" si="9"/>
        <v>0</v>
      </c>
      <c r="FH6" s="842">
        <f t="shared" si="9"/>
        <v>0</v>
      </c>
      <c r="FI6" s="842">
        <f t="shared" si="9"/>
        <v>0</v>
      </c>
      <c r="FJ6" s="842">
        <f t="shared" si="9"/>
        <v>0</v>
      </c>
      <c r="FK6" s="842">
        <f t="shared" si="9"/>
        <v>0</v>
      </c>
      <c r="FL6" s="842">
        <f t="shared" si="9"/>
        <v>0</v>
      </c>
      <c r="FM6" s="842">
        <f t="shared" si="9"/>
        <v>0</v>
      </c>
      <c r="FN6" s="842">
        <f t="shared" si="9"/>
        <v>0</v>
      </c>
      <c r="FO6" s="842">
        <f t="shared" si="9"/>
        <v>0</v>
      </c>
      <c r="FP6" s="842">
        <f t="shared" ref="FP6:FV34" si="10">DV6*$FY6*44/12</f>
        <v>0</v>
      </c>
      <c r="FQ6" s="842">
        <f t="shared" si="10"/>
        <v>0</v>
      </c>
      <c r="FR6" s="842">
        <f t="shared" si="10"/>
        <v>0</v>
      </c>
      <c r="FS6" s="842">
        <f t="shared" si="10"/>
        <v>0</v>
      </c>
      <c r="FT6" s="842">
        <f t="shared" si="10"/>
        <v>0</v>
      </c>
      <c r="FU6" s="842">
        <f t="shared" si="10"/>
        <v>0</v>
      </c>
      <c r="FV6" s="842">
        <f t="shared" si="10"/>
        <v>0</v>
      </c>
      <c r="FW6" s="843">
        <v>38.200000000000003</v>
      </c>
      <c r="FX6" s="788" t="s">
        <v>180</v>
      </c>
      <c r="FY6" s="843">
        <v>1.8700000000000001E-2</v>
      </c>
      <c r="FZ6" s="844" t="s">
        <v>2232</v>
      </c>
      <c r="GB6" s="802" t="s">
        <v>372</v>
      </c>
      <c r="GC6" s="802">
        <v>1000</v>
      </c>
    </row>
    <row r="7" spans="3:185" ht="23.25" customHeight="1">
      <c r="C7" s="1487"/>
      <c r="D7" s="1485" t="s">
        <v>10</v>
      </c>
      <c r="E7" s="1485"/>
      <c r="F7" s="1485"/>
      <c r="G7" s="838" t="s">
        <v>297</v>
      </c>
      <c r="H7" s="839"/>
      <c r="I7" s="839"/>
      <c r="J7" s="839"/>
      <c r="K7" s="839"/>
      <c r="L7" s="839"/>
      <c r="M7" s="839"/>
      <c r="N7" s="839"/>
      <c r="O7" s="839"/>
      <c r="P7" s="839"/>
      <c r="Q7" s="839"/>
      <c r="R7" s="839"/>
      <c r="S7" s="839"/>
      <c r="T7" s="839"/>
      <c r="U7" s="839"/>
      <c r="V7" s="839"/>
      <c r="W7" s="839"/>
      <c r="X7" s="839"/>
      <c r="Y7" s="839"/>
      <c r="Z7" s="839"/>
      <c r="AA7" s="839"/>
      <c r="AB7" s="839"/>
      <c r="AC7" s="839"/>
      <c r="AD7" s="839"/>
      <c r="AE7" s="839"/>
      <c r="AF7" s="839"/>
      <c r="AG7" s="839"/>
      <c r="AH7" s="839"/>
      <c r="AI7" s="839"/>
      <c r="AJ7" s="839"/>
      <c r="AK7" s="839"/>
      <c r="AL7" s="839"/>
      <c r="AM7" s="839"/>
      <c r="AN7" s="839"/>
      <c r="AO7" s="839"/>
      <c r="AP7" s="839"/>
      <c r="AQ7" s="839"/>
      <c r="AR7" s="839"/>
      <c r="AS7" s="839"/>
      <c r="AT7" s="839"/>
      <c r="AU7" s="839"/>
      <c r="AV7" s="839"/>
      <c r="AW7" s="839"/>
      <c r="AX7" s="839"/>
      <c r="AY7" s="839"/>
      <c r="AZ7" s="839"/>
      <c r="BA7" s="839"/>
      <c r="BB7" s="839"/>
      <c r="BC7" s="839"/>
      <c r="BD7" s="839"/>
      <c r="BE7" s="839"/>
      <c r="BF7" s="839"/>
      <c r="BG7" s="839"/>
      <c r="BH7" s="839"/>
      <c r="BI7" s="839"/>
      <c r="BJ7" s="840">
        <f t="shared" si="0"/>
        <v>0</v>
      </c>
      <c r="BK7" s="840">
        <f t="shared" si="0"/>
        <v>0</v>
      </c>
      <c r="BL7" s="840">
        <f t="shared" si="0"/>
        <v>0</v>
      </c>
      <c r="BM7" s="840">
        <f t="shared" si="0"/>
        <v>0</v>
      </c>
      <c r="BN7" s="840">
        <f t="shared" si="0"/>
        <v>0</v>
      </c>
      <c r="BO7" s="840">
        <f t="shared" si="0"/>
        <v>0</v>
      </c>
      <c r="BP7" s="840">
        <f t="shared" si="0"/>
        <v>0</v>
      </c>
      <c r="BQ7" s="840">
        <f t="shared" si="0"/>
        <v>0</v>
      </c>
      <c r="BR7" s="840">
        <f t="shared" si="0"/>
        <v>0</v>
      </c>
      <c r="BS7" s="840">
        <f t="shared" si="0"/>
        <v>0</v>
      </c>
      <c r="BT7" s="840">
        <f t="shared" si="0"/>
        <v>0</v>
      </c>
      <c r="BU7" s="840">
        <f t="shared" si="0"/>
        <v>0</v>
      </c>
      <c r="BV7" s="840">
        <f t="shared" si="0"/>
        <v>0</v>
      </c>
      <c r="BW7" s="840">
        <f t="shared" si="0"/>
        <v>0</v>
      </c>
      <c r="BX7" s="840">
        <f t="shared" si="0"/>
        <v>0</v>
      </c>
      <c r="BY7" s="840">
        <f t="shared" si="0"/>
        <v>0</v>
      </c>
      <c r="BZ7" s="840">
        <f t="shared" si="1"/>
        <v>0</v>
      </c>
      <c r="CA7" s="840">
        <f t="shared" si="1"/>
        <v>0</v>
      </c>
      <c r="CB7" s="840">
        <f t="shared" si="1"/>
        <v>0</v>
      </c>
      <c r="CC7" s="840">
        <f t="shared" si="1"/>
        <v>0</v>
      </c>
      <c r="CD7" s="840">
        <f t="shared" si="1"/>
        <v>0</v>
      </c>
      <c r="CE7" s="840">
        <f t="shared" si="1"/>
        <v>0</v>
      </c>
      <c r="CF7" s="840">
        <f t="shared" si="1"/>
        <v>0</v>
      </c>
      <c r="CG7" s="840">
        <f t="shared" si="2"/>
        <v>1000</v>
      </c>
      <c r="CH7" s="841" t="s">
        <v>2231</v>
      </c>
      <c r="CI7" s="840">
        <f t="shared" ref="CI7:CX32" si="11">ROUND(BJ7/$CG7,0)</f>
        <v>0</v>
      </c>
      <c r="CJ7" s="840">
        <f t="shared" si="3"/>
        <v>0</v>
      </c>
      <c r="CK7" s="840">
        <f t="shared" si="3"/>
        <v>0</v>
      </c>
      <c r="CL7" s="840">
        <f t="shared" si="3"/>
        <v>0</v>
      </c>
      <c r="CM7" s="840">
        <f t="shared" si="3"/>
        <v>0</v>
      </c>
      <c r="CN7" s="840">
        <f t="shared" si="3"/>
        <v>0</v>
      </c>
      <c r="CO7" s="840">
        <f t="shared" si="3"/>
        <v>0</v>
      </c>
      <c r="CP7" s="840">
        <f t="shared" si="3"/>
        <v>0</v>
      </c>
      <c r="CQ7" s="840">
        <f t="shared" si="3"/>
        <v>0</v>
      </c>
      <c r="CR7" s="840">
        <f t="shared" si="3"/>
        <v>0</v>
      </c>
      <c r="CS7" s="840">
        <f t="shared" si="3"/>
        <v>0</v>
      </c>
      <c r="CT7" s="840">
        <f t="shared" si="3"/>
        <v>0</v>
      </c>
      <c r="CU7" s="840">
        <f t="shared" si="3"/>
        <v>0</v>
      </c>
      <c r="CV7" s="840">
        <f t="shared" si="3"/>
        <v>0</v>
      </c>
      <c r="CW7" s="840">
        <f t="shared" si="3"/>
        <v>0</v>
      </c>
      <c r="CX7" s="840">
        <f t="shared" si="3"/>
        <v>0</v>
      </c>
      <c r="CY7" s="840">
        <f t="shared" si="3"/>
        <v>0</v>
      </c>
      <c r="CZ7" s="840">
        <f t="shared" si="4"/>
        <v>0</v>
      </c>
      <c r="DA7" s="840">
        <f t="shared" si="4"/>
        <v>0</v>
      </c>
      <c r="DB7" s="840">
        <f t="shared" si="4"/>
        <v>0</v>
      </c>
      <c r="DC7" s="840">
        <f t="shared" si="4"/>
        <v>0</v>
      </c>
      <c r="DD7" s="840">
        <f t="shared" si="4"/>
        <v>0</v>
      </c>
      <c r="DE7" s="840">
        <f t="shared" si="4"/>
        <v>0</v>
      </c>
      <c r="DF7" s="840">
        <f t="shared" si="5"/>
        <v>0</v>
      </c>
      <c r="DG7" s="840">
        <f t="shared" si="5"/>
        <v>0</v>
      </c>
      <c r="DH7" s="840">
        <f t="shared" si="5"/>
        <v>0</v>
      </c>
      <c r="DI7" s="840">
        <f t="shared" si="5"/>
        <v>0</v>
      </c>
      <c r="DJ7" s="840">
        <f t="shared" si="5"/>
        <v>0</v>
      </c>
      <c r="DK7" s="840">
        <f t="shared" si="5"/>
        <v>0</v>
      </c>
      <c r="DL7" s="840">
        <f t="shared" si="5"/>
        <v>0</v>
      </c>
      <c r="DM7" s="840">
        <f t="shared" si="5"/>
        <v>0</v>
      </c>
      <c r="DN7" s="840">
        <f t="shared" si="5"/>
        <v>0</v>
      </c>
      <c r="DO7" s="840">
        <f t="shared" si="5"/>
        <v>0</v>
      </c>
      <c r="DP7" s="840">
        <f t="shared" si="5"/>
        <v>0</v>
      </c>
      <c r="DQ7" s="840">
        <f t="shared" si="5"/>
        <v>0</v>
      </c>
      <c r="DR7" s="840">
        <f t="shared" si="5"/>
        <v>0</v>
      </c>
      <c r="DS7" s="840">
        <f t="shared" si="5"/>
        <v>0</v>
      </c>
      <c r="DT7" s="840">
        <f t="shared" si="5"/>
        <v>0</v>
      </c>
      <c r="DU7" s="840">
        <f t="shared" si="5"/>
        <v>0</v>
      </c>
      <c r="DV7" s="840">
        <f t="shared" si="6"/>
        <v>0</v>
      </c>
      <c r="DW7" s="840">
        <f t="shared" si="6"/>
        <v>0</v>
      </c>
      <c r="DX7" s="840">
        <f t="shared" si="6"/>
        <v>0</v>
      </c>
      <c r="DY7" s="840">
        <f t="shared" si="6"/>
        <v>0</v>
      </c>
      <c r="DZ7" s="840">
        <f t="shared" si="6"/>
        <v>0</v>
      </c>
      <c r="EA7" s="840">
        <f t="shared" si="6"/>
        <v>0</v>
      </c>
      <c r="EB7" s="840">
        <f t="shared" si="6"/>
        <v>0</v>
      </c>
      <c r="EC7" s="840">
        <f t="shared" si="7"/>
        <v>0</v>
      </c>
      <c r="ED7" s="840">
        <f t="shared" si="7"/>
        <v>0</v>
      </c>
      <c r="EE7" s="840">
        <f t="shared" si="7"/>
        <v>0</v>
      </c>
      <c r="EF7" s="840">
        <f t="shared" si="7"/>
        <v>0</v>
      </c>
      <c r="EG7" s="840">
        <f t="shared" si="7"/>
        <v>0</v>
      </c>
      <c r="EH7" s="840">
        <f t="shared" si="7"/>
        <v>0</v>
      </c>
      <c r="EI7" s="840">
        <f t="shared" si="7"/>
        <v>0</v>
      </c>
      <c r="EJ7" s="840">
        <f t="shared" si="7"/>
        <v>0</v>
      </c>
      <c r="EK7" s="840">
        <f t="shared" si="7"/>
        <v>0</v>
      </c>
      <c r="EL7" s="840">
        <f t="shared" si="7"/>
        <v>0</v>
      </c>
      <c r="EM7" s="840">
        <f t="shared" si="7"/>
        <v>0</v>
      </c>
      <c r="EN7" s="840">
        <f t="shared" si="7"/>
        <v>0</v>
      </c>
      <c r="EO7" s="840">
        <f t="shared" si="7"/>
        <v>0</v>
      </c>
      <c r="EP7" s="840">
        <f t="shared" si="7"/>
        <v>0</v>
      </c>
      <c r="EQ7" s="840">
        <f t="shared" si="7"/>
        <v>0</v>
      </c>
      <c r="ER7" s="840">
        <f t="shared" si="7"/>
        <v>0</v>
      </c>
      <c r="ES7" s="840">
        <f t="shared" si="8"/>
        <v>0</v>
      </c>
      <c r="ET7" s="840">
        <f t="shared" si="8"/>
        <v>0</v>
      </c>
      <c r="EU7" s="840">
        <f t="shared" si="8"/>
        <v>0</v>
      </c>
      <c r="EV7" s="840">
        <f t="shared" si="8"/>
        <v>0</v>
      </c>
      <c r="EW7" s="840">
        <f t="shared" si="8"/>
        <v>0</v>
      </c>
      <c r="EX7" s="840">
        <f t="shared" si="8"/>
        <v>0</v>
      </c>
      <c r="EY7" s="840">
        <f t="shared" si="8"/>
        <v>0</v>
      </c>
      <c r="EZ7" s="842">
        <f t="shared" si="9"/>
        <v>0</v>
      </c>
      <c r="FA7" s="842">
        <f t="shared" si="9"/>
        <v>0</v>
      </c>
      <c r="FB7" s="842">
        <f t="shared" si="9"/>
        <v>0</v>
      </c>
      <c r="FC7" s="842">
        <f t="shared" si="9"/>
        <v>0</v>
      </c>
      <c r="FD7" s="842">
        <f t="shared" si="9"/>
        <v>0</v>
      </c>
      <c r="FE7" s="842">
        <f t="shared" si="9"/>
        <v>0</v>
      </c>
      <c r="FF7" s="842">
        <f t="shared" si="9"/>
        <v>0</v>
      </c>
      <c r="FG7" s="842">
        <f t="shared" si="9"/>
        <v>0</v>
      </c>
      <c r="FH7" s="842">
        <f t="shared" si="9"/>
        <v>0</v>
      </c>
      <c r="FI7" s="842">
        <f t="shared" si="9"/>
        <v>0</v>
      </c>
      <c r="FJ7" s="842">
        <f t="shared" si="9"/>
        <v>0</v>
      </c>
      <c r="FK7" s="842">
        <f t="shared" si="9"/>
        <v>0</v>
      </c>
      <c r="FL7" s="842">
        <f t="shared" si="9"/>
        <v>0</v>
      </c>
      <c r="FM7" s="842">
        <f t="shared" si="9"/>
        <v>0</v>
      </c>
      <c r="FN7" s="842">
        <f t="shared" si="9"/>
        <v>0</v>
      </c>
      <c r="FO7" s="842">
        <f t="shared" si="9"/>
        <v>0</v>
      </c>
      <c r="FP7" s="842">
        <f t="shared" si="10"/>
        <v>0</v>
      </c>
      <c r="FQ7" s="842">
        <f t="shared" si="10"/>
        <v>0</v>
      </c>
      <c r="FR7" s="842">
        <f t="shared" si="10"/>
        <v>0</v>
      </c>
      <c r="FS7" s="842">
        <f t="shared" si="10"/>
        <v>0</v>
      </c>
      <c r="FT7" s="842">
        <f t="shared" si="10"/>
        <v>0</v>
      </c>
      <c r="FU7" s="842">
        <f t="shared" si="10"/>
        <v>0</v>
      </c>
      <c r="FV7" s="842">
        <f t="shared" si="10"/>
        <v>0</v>
      </c>
      <c r="FW7" s="843">
        <v>35.299999999999997</v>
      </c>
      <c r="FX7" s="788" t="s">
        <v>180</v>
      </c>
      <c r="FY7" s="843">
        <v>1.84E-2</v>
      </c>
      <c r="FZ7" s="844" t="s">
        <v>2232</v>
      </c>
      <c r="GB7" s="802" t="s">
        <v>8</v>
      </c>
      <c r="GC7" s="802">
        <v>1</v>
      </c>
    </row>
    <row r="8" spans="3:185" ht="23.25" customHeight="1">
      <c r="C8" s="1487"/>
      <c r="D8" s="1485" t="s">
        <v>11</v>
      </c>
      <c r="E8" s="1485"/>
      <c r="F8" s="1485"/>
      <c r="G8" s="838" t="s">
        <v>182</v>
      </c>
      <c r="H8" s="839"/>
      <c r="I8" s="839"/>
      <c r="J8" s="839"/>
      <c r="K8" s="839"/>
      <c r="L8" s="839"/>
      <c r="M8" s="839"/>
      <c r="N8" s="839"/>
      <c r="O8" s="839"/>
      <c r="P8" s="839"/>
      <c r="Q8" s="839"/>
      <c r="R8" s="839"/>
      <c r="S8" s="839"/>
      <c r="T8" s="839"/>
      <c r="U8" s="839"/>
      <c r="V8" s="839"/>
      <c r="W8" s="839"/>
      <c r="X8" s="839"/>
      <c r="Y8" s="839"/>
      <c r="Z8" s="839"/>
      <c r="AA8" s="839"/>
      <c r="AB8" s="839"/>
      <c r="AC8" s="839"/>
      <c r="AD8" s="839"/>
      <c r="AE8" s="839"/>
      <c r="AF8" s="839"/>
      <c r="AG8" s="839"/>
      <c r="AH8" s="839"/>
      <c r="AI8" s="839"/>
      <c r="AJ8" s="839"/>
      <c r="AK8" s="839"/>
      <c r="AL8" s="839"/>
      <c r="AM8" s="839"/>
      <c r="AN8" s="839"/>
      <c r="AO8" s="839"/>
      <c r="AP8" s="839"/>
      <c r="AQ8" s="839"/>
      <c r="AR8" s="839"/>
      <c r="AS8" s="839"/>
      <c r="AT8" s="839"/>
      <c r="AU8" s="839"/>
      <c r="AV8" s="839"/>
      <c r="AW8" s="839"/>
      <c r="AX8" s="839"/>
      <c r="AY8" s="839"/>
      <c r="AZ8" s="839"/>
      <c r="BA8" s="839"/>
      <c r="BB8" s="839"/>
      <c r="BC8" s="839"/>
      <c r="BD8" s="839"/>
      <c r="BE8" s="839"/>
      <c r="BF8" s="839"/>
      <c r="BG8" s="839"/>
      <c r="BH8" s="839"/>
      <c r="BI8" s="839"/>
      <c r="BJ8" s="840">
        <f t="shared" si="0"/>
        <v>0</v>
      </c>
      <c r="BK8" s="840">
        <f t="shared" si="0"/>
        <v>0</v>
      </c>
      <c r="BL8" s="840">
        <f t="shared" si="0"/>
        <v>0</v>
      </c>
      <c r="BM8" s="840">
        <f t="shared" si="0"/>
        <v>0</v>
      </c>
      <c r="BN8" s="840">
        <f t="shared" si="0"/>
        <v>0</v>
      </c>
      <c r="BO8" s="840">
        <f t="shared" si="0"/>
        <v>0</v>
      </c>
      <c r="BP8" s="840">
        <f t="shared" si="0"/>
        <v>0</v>
      </c>
      <c r="BQ8" s="840">
        <f t="shared" si="0"/>
        <v>0</v>
      </c>
      <c r="BR8" s="840">
        <f t="shared" si="0"/>
        <v>0</v>
      </c>
      <c r="BS8" s="840">
        <f t="shared" si="0"/>
        <v>0</v>
      </c>
      <c r="BT8" s="840">
        <f t="shared" si="0"/>
        <v>0</v>
      </c>
      <c r="BU8" s="840">
        <f t="shared" si="0"/>
        <v>0</v>
      </c>
      <c r="BV8" s="840">
        <f t="shared" si="0"/>
        <v>0</v>
      </c>
      <c r="BW8" s="840">
        <f t="shared" si="0"/>
        <v>0</v>
      </c>
      <c r="BX8" s="840">
        <f t="shared" si="0"/>
        <v>0</v>
      </c>
      <c r="BY8" s="840">
        <f t="shared" si="0"/>
        <v>0</v>
      </c>
      <c r="BZ8" s="840">
        <f t="shared" si="1"/>
        <v>0</v>
      </c>
      <c r="CA8" s="840">
        <f t="shared" si="1"/>
        <v>0</v>
      </c>
      <c r="CB8" s="840">
        <f t="shared" si="1"/>
        <v>0</v>
      </c>
      <c r="CC8" s="840">
        <f t="shared" si="1"/>
        <v>0</v>
      </c>
      <c r="CD8" s="840">
        <f t="shared" si="1"/>
        <v>0</v>
      </c>
      <c r="CE8" s="840">
        <f t="shared" si="1"/>
        <v>0</v>
      </c>
      <c r="CF8" s="840">
        <f t="shared" si="1"/>
        <v>0</v>
      </c>
      <c r="CG8" s="840">
        <f t="shared" si="2"/>
        <v>1</v>
      </c>
      <c r="CH8" s="841" t="s">
        <v>2231</v>
      </c>
      <c r="CI8" s="840">
        <f t="shared" si="11"/>
        <v>0</v>
      </c>
      <c r="CJ8" s="840">
        <f t="shared" si="3"/>
        <v>0</v>
      </c>
      <c r="CK8" s="840">
        <f t="shared" si="3"/>
        <v>0</v>
      </c>
      <c r="CL8" s="840">
        <f t="shared" si="3"/>
        <v>0</v>
      </c>
      <c r="CM8" s="840">
        <f t="shared" si="3"/>
        <v>0</v>
      </c>
      <c r="CN8" s="840">
        <f t="shared" si="3"/>
        <v>0</v>
      </c>
      <c r="CO8" s="840">
        <f t="shared" si="3"/>
        <v>0</v>
      </c>
      <c r="CP8" s="840">
        <f t="shared" si="3"/>
        <v>0</v>
      </c>
      <c r="CQ8" s="840">
        <f t="shared" si="3"/>
        <v>0</v>
      </c>
      <c r="CR8" s="840">
        <f t="shared" si="3"/>
        <v>0</v>
      </c>
      <c r="CS8" s="840">
        <f t="shared" si="3"/>
        <v>0</v>
      </c>
      <c r="CT8" s="840">
        <f t="shared" si="3"/>
        <v>0</v>
      </c>
      <c r="CU8" s="840">
        <f t="shared" si="3"/>
        <v>0</v>
      </c>
      <c r="CV8" s="840">
        <f t="shared" si="3"/>
        <v>0</v>
      </c>
      <c r="CW8" s="840">
        <f t="shared" si="3"/>
        <v>0</v>
      </c>
      <c r="CX8" s="840">
        <f t="shared" si="3"/>
        <v>0</v>
      </c>
      <c r="CY8" s="840">
        <f t="shared" si="3"/>
        <v>0</v>
      </c>
      <c r="CZ8" s="840">
        <f t="shared" si="4"/>
        <v>0</v>
      </c>
      <c r="DA8" s="840">
        <f t="shared" si="4"/>
        <v>0</v>
      </c>
      <c r="DB8" s="840">
        <f t="shared" si="4"/>
        <v>0</v>
      </c>
      <c r="DC8" s="840">
        <f t="shared" si="4"/>
        <v>0</v>
      </c>
      <c r="DD8" s="840">
        <f t="shared" si="4"/>
        <v>0</v>
      </c>
      <c r="DE8" s="840">
        <f t="shared" si="4"/>
        <v>0</v>
      </c>
      <c r="DF8" s="840">
        <f t="shared" si="5"/>
        <v>0</v>
      </c>
      <c r="DG8" s="840">
        <f t="shared" si="5"/>
        <v>0</v>
      </c>
      <c r="DH8" s="840">
        <f t="shared" si="5"/>
        <v>0</v>
      </c>
      <c r="DI8" s="840">
        <f t="shared" si="5"/>
        <v>0</v>
      </c>
      <c r="DJ8" s="840">
        <f t="shared" si="5"/>
        <v>0</v>
      </c>
      <c r="DK8" s="840">
        <f t="shared" si="5"/>
        <v>0</v>
      </c>
      <c r="DL8" s="840">
        <f t="shared" si="5"/>
        <v>0</v>
      </c>
      <c r="DM8" s="840">
        <f t="shared" si="5"/>
        <v>0</v>
      </c>
      <c r="DN8" s="840">
        <f t="shared" si="5"/>
        <v>0</v>
      </c>
      <c r="DO8" s="840">
        <f t="shared" si="5"/>
        <v>0</v>
      </c>
      <c r="DP8" s="840">
        <f t="shared" si="5"/>
        <v>0</v>
      </c>
      <c r="DQ8" s="840">
        <f t="shared" si="5"/>
        <v>0</v>
      </c>
      <c r="DR8" s="840">
        <f t="shared" si="5"/>
        <v>0</v>
      </c>
      <c r="DS8" s="840">
        <f t="shared" si="5"/>
        <v>0</v>
      </c>
      <c r="DT8" s="840">
        <f t="shared" si="5"/>
        <v>0</v>
      </c>
      <c r="DU8" s="840">
        <f t="shared" si="5"/>
        <v>0</v>
      </c>
      <c r="DV8" s="840">
        <f t="shared" si="6"/>
        <v>0</v>
      </c>
      <c r="DW8" s="840">
        <f t="shared" si="6"/>
        <v>0</v>
      </c>
      <c r="DX8" s="840">
        <f t="shared" si="6"/>
        <v>0</v>
      </c>
      <c r="DY8" s="840">
        <f t="shared" si="6"/>
        <v>0</v>
      </c>
      <c r="DZ8" s="840">
        <f t="shared" si="6"/>
        <v>0</v>
      </c>
      <c r="EA8" s="840">
        <f t="shared" si="6"/>
        <v>0</v>
      </c>
      <c r="EB8" s="840">
        <f t="shared" si="6"/>
        <v>0</v>
      </c>
      <c r="EC8" s="840">
        <f t="shared" si="7"/>
        <v>0</v>
      </c>
      <c r="ED8" s="840">
        <f t="shared" si="7"/>
        <v>0</v>
      </c>
      <c r="EE8" s="840">
        <f t="shared" si="7"/>
        <v>0</v>
      </c>
      <c r="EF8" s="840">
        <f t="shared" si="7"/>
        <v>0</v>
      </c>
      <c r="EG8" s="840">
        <f t="shared" si="7"/>
        <v>0</v>
      </c>
      <c r="EH8" s="840">
        <f t="shared" si="7"/>
        <v>0</v>
      </c>
      <c r="EI8" s="840">
        <f t="shared" si="7"/>
        <v>0</v>
      </c>
      <c r="EJ8" s="840">
        <f t="shared" si="7"/>
        <v>0</v>
      </c>
      <c r="EK8" s="840">
        <f t="shared" si="7"/>
        <v>0</v>
      </c>
      <c r="EL8" s="840">
        <f t="shared" si="7"/>
        <v>0</v>
      </c>
      <c r="EM8" s="840">
        <f t="shared" si="7"/>
        <v>0</v>
      </c>
      <c r="EN8" s="840">
        <f t="shared" si="7"/>
        <v>0</v>
      </c>
      <c r="EO8" s="840">
        <f t="shared" si="7"/>
        <v>0</v>
      </c>
      <c r="EP8" s="840">
        <f t="shared" si="7"/>
        <v>0</v>
      </c>
      <c r="EQ8" s="840">
        <f t="shared" si="7"/>
        <v>0</v>
      </c>
      <c r="ER8" s="840">
        <f t="shared" si="7"/>
        <v>0</v>
      </c>
      <c r="ES8" s="840">
        <f t="shared" si="8"/>
        <v>0</v>
      </c>
      <c r="ET8" s="840">
        <f t="shared" si="8"/>
        <v>0</v>
      </c>
      <c r="EU8" s="840">
        <f t="shared" si="8"/>
        <v>0</v>
      </c>
      <c r="EV8" s="840">
        <f t="shared" si="8"/>
        <v>0</v>
      </c>
      <c r="EW8" s="840">
        <f t="shared" si="8"/>
        <v>0</v>
      </c>
      <c r="EX8" s="840">
        <f t="shared" si="8"/>
        <v>0</v>
      </c>
      <c r="EY8" s="840">
        <f t="shared" si="8"/>
        <v>0</v>
      </c>
      <c r="EZ8" s="842">
        <f t="shared" si="9"/>
        <v>0</v>
      </c>
      <c r="FA8" s="842">
        <f t="shared" si="9"/>
        <v>0</v>
      </c>
      <c r="FB8" s="842">
        <f t="shared" si="9"/>
        <v>0</v>
      </c>
      <c r="FC8" s="842">
        <f t="shared" si="9"/>
        <v>0</v>
      </c>
      <c r="FD8" s="842">
        <f t="shared" si="9"/>
        <v>0</v>
      </c>
      <c r="FE8" s="842">
        <f t="shared" si="9"/>
        <v>0</v>
      </c>
      <c r="FF8" s="842">
        <f t="shared" si="9"/>
        <v>0</v>
      </c>
      <c r="FG8" s="842">
        <f t="shared" si="9"/>
        <v>0</v>
      </c>
      <c r="FH8" s="842">
        <f t="shared" si="9"/>
        <v>0</v>
      </c>
      <c r="FI8" s="842">
        <f t="shared" si="9"/>
        <v>0</v>
      </c>
      <c r="FJ8" s="842">
        <f t="shared" si="9"/>
        <v>0</v>
      </c>
      <c r="FK8" s="842">
        <f t="shared" si="9"/>
        <v>0</v>
      </c>
      <c r="FL8" s="842">
        <f t="shared" si="9"/>
        <v>0</v>
      </c>
      <c r="FM8" s="842">
        <f t="shared" si="9"/>
        <v>0</v>
      </c>
      <c r="FN8" s="842">
        <f t="shared" si="9"/>
        <v>0</v>
      </c>
      <c r="FO8" s="842">
        <f t="shared" si="9"/>
        <v>0</v>
      </c>
      <c r="FP8" s="842">
        <f t="shared" si="10"/>
        <v>0</v>
      </c>
      <c r="FQ8" s="842">
        <f t="shared" si="10"/>
        <v>0</v>
      </c>
      <c r="FR8" s="842">
        <f t="shared" si="10"/>
        <v>0</v>
      </c>
      <c r="FS8" s="842">
        <f t="shared" si="10"/>
        <v>0</v>
      </c>
      <c r="FT8" s="842">
        <f t="shared" si="10"/>
        <v>0</v>
      </c>
      <c r="FU8" s="842">
        <f t="shared" si="10"/>
        <v>0</v>
      </c>
      <c r="FV8" s="842">
        <f t="shared" si="10"/>
        <v>0</v>
      </c>
      <c r="FW8" s="843">
        <v>34.6</v>
      </c>
      <c r="FX8" s="788" t="s">
        <v>180</v>
      </c>
      <c r="FY8" s="843">
        <v>1.83E-2</v>
      </c>
      <c r="FZ8" s="844" t="s">
        <v>2232</v>
      </c>
      <c r="GB8" s="802" t="s">
        <v>373</v>
      </c>
      <c r="GC8" s="802">
        <v>1000</v>
      </c>
    </row>
    <row r="9" spans="3:185" ht="23.25" customHeight="1">
      <c r="C9" s="1487"/>
      <c r="D9" s="1485" t="s">
        <v>13</v>
      </c>
      <c r="E9" s="1485"/>
      <c r="F9" s="1485"/>
      <c r="G9" s="838" t="s">
        <v>297</v>
      </c>
      <c r="H9" s="839"/>
      <c r="I9" s="839"/>
      <c r="J9" s="839"/>
      <c r="K9" s="839"/>
      <c r="L9" s="839"/>
      <c r="M9" s="839"/>
      <c r="N9" s="839"/>
      <c r="O9" s="839"/>
      <c r="P9" s="839"/>
      <c r="Q9" s="839"/>
      <c r="R9" s="839"/>
      <c r="S9" s="839"/>
      <c r="T9" s="839"/>
      <c r="U9" s="839"/>
      <c r="V9" s="839"/>
      <c r="W9" s="839"/>
      <c r="X9" s="839"/>
      <c r="Y9" s="839"/>
      <c r="Z9" s="839"/>
      <c r="AA9" s="839"/>
      <c r="AB9" s="839"/>
      <c r="AC9" s="839"/>
      <c r="AD9" s="839"/>
      <c r="AE9" s="839"/>
      <c r="AF9" s="839"/>
      <c r="AG9" s="839"/>
      <c r="AH9" s="839"/>
      <c r="AI9" s="839"/>
      <c r="AJ9" s="839"/>
      <c r="AK9" s="839"/>
      <c r="AL9" s="839"/>
      <c r="AM9" s="839"/>
      <c r="AN9" s="839"/>
      <c r="AO9" s="839"/>
      <c r="AP9" s="839"/>
      <c r="AQ9" s="839"/>
      <c r="AR9" s="839"/>
      <c r="AS9" s="839"/>
      <c r="AT9" s="839"/>
      <c r="AU9" s="839"/>
      <c r="AV9" s="839"/>
      <c r="AW9" s="839"/>
      <c r="AX9" s="839"/>
      <c r="AY9" s="839"/>
      <c r="AZ9" s="839"/>
      <c r="BA9" s="839"/>
      <c r="BB9" s="839"/>
      <c r="BC9" s="839"/>
      <c r="BD9" s="839"/>
      <c r="BE9" s="839"/>
      <c r="BF9" s="839"/>
      <c r="BG9" s="839"/>
      <c r="BH9" s="839"/>
      <c r="BI9" s="839"/>
      <c r="BJ9" s="840">
        <f t="shared" si="0"/>
        <v>0</v>
      </c>
      <c r="BK9" s="840">
        <f t="shared" si="0"/>
        <v>0</v>
      </c>
      <c r="BL9" s="840">
        <f t="shared" si="0"/>
        <v>0</v>
      </c>
      <c r="BM9" s="840">
        <f t="shared" si="0"/>
        <v>0</v>
      </c>
      <c r="BN9" s="840">
        <f t="shared" si="0"/>
        <v>0</v>
      </c>
      <c r="BO9" s="840">
        <f t="shared" si="0"/>
        <v>0</v>
      </c>
      <c r="BP9" s="840">
        <f t="shared" si="0"/>
        <v>0</v>
      </c>
      <c r="BQ9" s="840">
        <f t="shared" si="0"/>
        <v>0</v>
      </c>
      <c r="BR9" s="840">
        <f t="shared" si="0"/>
        <v>0</v>
      </c>
      <c r="BS9" s="840">
        <f t="shared" si="0"/>
        <v>0</v>
      </c>
      <c r="BT9" s="840">
        <f t="shared" si="0"/>
        <v>0</v>
      </c>
      <c r="BU9" s="840">
        <f t="shared" si="0"/>
        <v>0</v>
      </c>
      <c r="BV9" s="840">
        <f t="shared" si="0"/>
        <v>0</v>
      </c>
      <c r="BW9" s="840">
        <f t="shared" si="0"/>
        <v>0</v>
      </c>
      <c r="BX9" s="840">
        <f t="shared" si="0"/>
        <v>0</v>
      </c>
      <c r="BY9" s="840">
        <f t="shared" si="0"/>
        <v>0</v>
      </c>
      <c r="BZ9" s="840">
        <f t="shared" si="1"/>
        <v>0</v>
      </c>
      <c r="CA9" s="840">
        <f t="shared" si="1"/>
        <v>0</v>
      </c>
      <c r="CB9" s="840">
        <f t="shared" si="1"/>
        <v>0</v>
      </c>
      <c r="CC9" s="840">
        <f t="shared" si="1"/>
        <v>0</v>
      </c>
      <c r="CD9" s="840">
        <f t="shared" si="1"/>
        <v>0</v>
      </c>
      <c r="CE9" s="840">
        <f t="shared" si="1"/>
        <v>0</v>
      </c>
      <c r="CF9" s="840">
        <f t="shared" si="1"/>
        <v>0</v>
      </c>
      <c r="CG9" s="840">
        <f t="shared" si="2"/>
        <v>1000</v>
      </c>
      <c r="CH9" s="841" t="s">
        <v>2231</v>
      </c>
      <c r="CI9" s="840">
        <f t="shared" si="11"/>
        <v>0</v>
      </c>
      <c r="CJ9" s="840">
        <f t="shared" si="3"/>
        <v>0</v>
      </c>
      <c r="CK9" s="840">
        <f t="shared" si="3"/>
        <v>0</v>
      </c>
      <c r="CL9" s="840">
        <f t="shared" si="3"/>
        <v>0</v>
      </c>
      <c r="CM9" s="840">
        <f t="shared" si="3"/>
        <v>0</v>
      </c>
      <c r="CN9" s="840">
        <f t="shared" si="3"/>
        <v>0</v>
      </c>
      <c r="CO9" s="840">
        <f t="shared" si="3"/>
        <v>0</v>
      </c>
      <c r="CP9" s="840">
        <f t="shared" si="3"/>
        <v>0</v>
      </c>
      <c r="CQ9" s="840">
        <f t="shared" si="3"/>
        <v>0</v>
      </c>
      <c r="CR9" s="840">
        <f t="shared" si="3"/>
        <v>0</v>
      </c>
      <c r="CS9" s="840">
        <f t="shared" si="3"/>
        <v>0</v>
      </c>
      <c r="CT9" s="840">
        <f t="shared" si="3"/>
        <v>0</v>
      </c>
      <c r="CU9" s="840">
        <f t="shared" si="3"/>
        <v>0</v>
      </c>
      <c r="CV9" s="840">
        <f t="shared" si="3"/>
        <v>0</v>
      </c>
      <c r="CW9" s="840">
        <f t="shared" si="3"/>
        <v>0</v>
      </c>
      <c r="CX9" s="840">
        <f t="shared" si="3"/>
        <v>0</v>
      </c>
      <c r="CY9" s="840">
        <f t="shared" si="3"/>
        <v>0</v>
      </c>
      <c r="CZ9" s="840">
        <f t="shared" si="4"/>
        <v>0</v>
      </c>
      <c r="DA9" s="840">
        <f t="shared" si="4"/>
        <v>0</v>
      </c>
      <c r="DB9" s="840">
        <f t="shared" si="4"/>
        <v>0</v>
      </c>
      <c r="DC9" s="840">
        <f t="shared" si="4"/>
        <v>0</v>
      </c>
      <c r="DD9" s="840">
        <f t="shared" si="4"/>
        <v>0</v>
      </c>
      <c r="DE9" s="840">
        <f t="shared" si="4"/>
        <v>0</v>
      </c>
      <c r="DF9" s="840">
        <f t="shared" si="5"/>
        <v>0</v>
      </c>
      <c r="DG9" s="840">
        <f t="shared" si="5"/>
        <v>0</v>
      </c>
      <c r="DH9" s="840">
        <f t="shared" si="5"/>
        <v>0</v>
      </c>
      <c r="DI9" s="840">
        <f t="shared" si="5"/>
        <v>0</v>
      </c>
      <c r="DJ9" s="840">
        <f t="shared" si="5"/>
        <v>0</v>
      </c>
      <c r="DK9" s="840">
        <f t="shared" si="5"/>
        <v>0</v>
      </c>
      <c r="DL9" s="840">
        <f t="shared" si="5"/>
        <v>0</v>
      </c>
      <c r="DM9" s="840">
        <f t="shared" si="5"/>
        <v>0</v>
      </c>
      <c r="DN9" s="840">
        <f t="shared" si="5"/>
        <v>0</v>
      </c>
      <c r="DO9" s="840">
        <f t="shared" si="5"/>
        <v>0</v>
      </c>
      <c r="DP9" s="840">
        <f t="shared" si="5"/>
        <v>0</v>
      </c>
      <c r="DQ9" s="840">
        <f t="shared" si="5"/>
        <v>0</v>
      </c>
      <c r="DR9" s="840">
        <f t="shared" si="5"/>
        <v>0</v>
      </c>
      <c r="DS9" s="840">
        <f t="shared" si="5"/>
        <v>0</v>
      </c>
      <c r="DT9" s="840">
        <f t="shared" si="5"/>
        <v>0</v>
      </c>
      <c r="DU9" s="840">
        <f t="shared" si="5"/>
        <v>0</v>
      </c>
      <c r="DV9" s="840">
        <f t="shared" si="6"/>
        <v>0</v>
      </c>
      <c r="DW9" s="840">
        <f t="shared" si="6"/>
        <v>0</v>
      </c>
      <c r="DX9" s="840">
        <f t="shared" si="6"/>
        <v>0</v>
      </c>
      <c r="DY9" s="840">
        <f t="shared" si="6"/>
        <v>0</v>
      </c>
      <c r="DZ9" s="840">
        <f t="shared" si="6"/>
        <v>0</v>
      </c>
      <c r="EA9" s="840">
        <f t="shared" si="6"/>
        <v>0</v>
      </c>
      <c r="EB9" s="840">
        <f t="shared" si="6"/>
        <v>0</v>
      </c>
      <c r="EC9" s="840">
        <f t="shared" si="7"/>
        <v>0</v>
      </c>
      <c r="ED9" s="840">
        <f t="shared" si="7"/>
        <v>0</v>
      </c>
      <c r="EE9" s="840">
        <f t="shared" si="7"/>
        <v>0</v>
      </c>
      <c r="EF9" s="840">
        <f t="shared" si="7"/>
        <v>0</v>
      </c>
      <c r="EG9" s="840">
        <f t="shared" si="7"/>
        <v>0</v>
      </c>
      <c r="EH9" s="840">
        <f t="shared" si="7"/>
        <v>0</v>
      </c>
      <c r="EI9" s="840">
        <f t="shared" si="7"/>
        <v>0</v>
      </c>
      <c r="EJ9" s="840">
        <f t="shared" si="7"/>
        <v>0</v>
      </c>
      <c r="EK9" s="840">
        <f t="shared" si="7"/>
        <v>0</v>
      </c>
      <c r="EL9" s="840">
        <f t="shared" si="7"/>
        <v>0</v>
      </c>
      <c r="EM9" s="840">
        <f t="shared" si="7"/>
        <v>0</v>
      </c>
      <c r="EN9" s="840">
        <f t="shared" si="7"/>
        <v>0</v>
      </c>
      <c r="EO9" s="840">
        <f t="shared" si="7"/>
        <v>0</v>
      </c>
      <c r="EP9" s="840">
        <f t="shared" si="7"/>
        <v>0</v>
      </c>
      <c r="EQ9" s="840">
        <f t="shared" si="7"/>
        <v>0</v>
      </c>
      <c r="ER9" s="840">
        <f t="shared" si="7"/>
        <v>0</v>
      </c>
      <c r="ES9" s="840">
        <f t="shared" si="8"/>
        <v>0</v>
      </c>
      <c r="ET9" s="840">
        <f t="shared" si="8"/>
        <v>0</v>
      </c>
      <c r="EU9" s="840">
        <f t="shared" si="8"/>
        <v>0</v>
      </c>
      <c r="EV9" s="840">
        <f t="shared" si="8"/>
        <v>0</v>
      </c>
      <c r="EW9" s="840">
        <f t="shared" si="8"/>
        <v>0</v>
      </c>
      <c r="EX9" s="840">
        <f t="shared" si="8"/>
        <v>0</v>
      </c>
      <c r="EY9" s="840">
        <f t="shared" si="8"/>
        <v>0</v>
      </c>
      <c r="EZ9" s="842">
        <f t="shared" si="9"/>
        <v>0</v>
      </c>
      <c r="FA9" s="842">
        <f t="shared" si="9"/>
        <v>0</v>
      </c>
      <c r="FB9" s="842">
        <f t="shared" si="9"/>
        <v>0</v>
      </c>
      <c r="FC9" s="842">
        <f t="shared" si="9"/>
        <v>0</v>
      </c>
      <c r="FD9" s="842">
        <f t="shared" si="9"/>
        <v>0</v>
      </c>
      <c r="FE9" s="842">
        <f t="shared" si="9"/>
        <v>0</v>
      </c>
      <c r="FF9" s="842">
        <f t="shared" si="9"/>
        <v>0</v>
      </c>
      <c r="FG9" s="842">
        <f t="shared" si="9"/>
        <v>0</v>
      </c>
      <c r="FH9" s="842">
        <f t="shared" si="9"/>
        <v>0</v>
      </c>
      <c r="FI9" s="842">
        <f t="shared" si="9"/>
        <v>0</v>
      </c>
      <c r="FJ9" s="842">
        <f t="shared" si="9"/>
        <v>0</v>
      </c>
      <c r="FK9" s="842">
        <f t="shared" si="9"/>
        <v>0</v>
      </c>
      <c r="FL9" s="842">
        <f t="shared" si="9"/>
        <v>0</v>
      </c>
      <c r="FM9" s="842">
        <f t="shared" si="9"/>
        <v>0</v>
      </c>
      <c r="FN9" s="842">
        <f t="shared" si="9"/>
        <v>0</v>
      </c>
      <c r="FO9" s="842">
        <f t="shared" si="9"/>
        <v>0</v>
      </c>
      <c r="FP9" s="842">
        <f t="shared" si="10"/>
        <v>0</v>
      </c>
      <c r="FQ9" s="842">
        <f t="shared" si="10"/>
        <v>0</v>
      </c>
      <c r="FR9" s="842">
        <f t="shared" si="10"/>
        <v>0</v>
      </c>
      <c r="FS9" s="842">
        <f t="shared" si="10"/>
        <v>0</v>
      </c>
      <c r="FT9" s="842">
        <f t="shared" si="10"/>
        <v>0</v>
      </c>
      <c r="FU9" s="842">
        <f t="shared" si="10"/>
        <v>0</v>
      </c>
      <c r="FV9" s="842">
        <f t="shared" si="10"/>
        <v>0</v>
      </c>
      <c r="FW9" s="843">
        <v>33.6</v>
      </c>
      <c r="FX9" s="788" t="s">
        <v>180</v>
      </c>
      <c r="FY9" s="843">
        <v>1.8200000000000001E-2</v>
      </c>
      <c r="FZ9" s="844" t="s">
        <v>2232</v>
      </c>
      <c r="GB9" s="802" t="s">
        <v>374</v>
      </c>
      <c r="GC9" s="802">
        <v>1</v>
      </c>
    </row>
    <row r="10" spans="3:185" ht="23.25" customHeight="1">
      <c r="C10" s="1487"/>
      <c r="D10" s="1485" t="s">
        <v>14</v>
      </c>
      <c r="E10" s="1485"/>
      <c r="F10" s="1485"/>
      <c r="G10" s="838" t="s">
        <v>297</v>
      </c>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839"/>
      <c r="AI10" s="839"/>
      <c r="AJ10" s="839"/>
      <c r="AK10" s="839"/>
      <c r="AL10" s="839"/>
      <c r="AM10" s="839"/>
      <c r="AN10" s="839"/>
      <c r="AO10" s="839"/>
      <c r="AP10" s="839"/>
      <c r="AQ10" s="839"/>
      <c r="AR10" s="839"/>
      <c r="AS10" s="839"/>
      <c r="AT10" s="839"/>
      <c r="AU10" s="839"/>
      <c r="AV10" s="839"/>
      <c r="AW10" s="839"/>
      <c r="AX10" s="839"/>
      <c r="AY10" s="839"/>
      <c r="AZ10" s="839"/>
      <c r="BA10" s="839"/>
      <c r="BB10" s="839"/>
      <c r="BC10" s="839"/>
      <c r="BD10" s="839"/>
      <c r="BE10" s="839"/>
      <c r="BF10" s="839"/>
      <c r="BG10" s="839"/>
      <c r="BH10" s="839"/>
      <c r="BI10" s="839"/>
      <c r="BJ10" s="840">
        <f t="shared" si="0"/>
        <v>0</v>
      </c>
      <c r="BK10" s="840">
        <f t="shared" si="0"/>
        <v>0</v>
      </c>
      <c r="BL10" s="840">
        <f t="shared" si="0"/>
        <v>0</v>
      </c>
      <c r="BM10" s="840">
        <f t="shared" si="0"/>
        <v>0</v>
      </c>
      <c r="BN10" s="840">
        <f t="shared" si="0"/>
        <v>0</v>
      </c>
      <c r="BO10" s="840">
        <f t="shared" si="0"/>
        <v>0</v>
      </c>
      <c r="BP10" s="840">
        <f t="shared" si="0"/>
        <v>0</v>
      </c>
      <c r="BQ10" s="840">
        <f t="shared" si="0"/>
        <v>0</v>
      </c>
      <c r="BR10" s="840">
        <f t="shared" si="0"/>
        <v>0</v>
      </c>
      <c r="BS10" s="840">
        <f t="shared" si="0"/>
        <v>0</v>
      </c>
      <c r="BT10" s="840">
        <f t="shared" si="0"/>
        <v>0</v>
      </c>
      <c r="BU10" s="840">
        <f t="shared" si="0"/>
        <v>0</v>
      </c>
      <c r="BV10" s="840">
        <f t="shared" si="0"/>
        <v>0</v>
      </c>
      <c r="BW10" s="840">
        <f t="shared" si="0"/>
        <v>0</v>
      </c>
      <c r="BX10" s="840">
        <f t="shared" si="0"/>
        <v>0</v>
      </c>
      <c r="BY10" s="840">
        <f t="shared" si="0"/>
        <v>0</v>
      </c>
      <c r="BZ10" s="840">
        <f t="shared" si="1"/>
        <v>0</v>
      </c>
      <c r="CA10" s="840">
        <f t="shared" si="1"/>
        <v>0</v>
      </c>
      <c r="CB10" s="840">
        <f t="shared" si="1"/>
        <v>0</v>
      </c>
      <c r="CC10" s="840">
        <f t="shared" si="1"/>
        <v>0</v>
      </c>
      <c r="CD10" s="840">
        <f t="shared" si="1"/>
        <v>0</v>
      </c>
      <c r="CE10" s="840">
        <f t="shared" si="1"/>
        <v>0</v>
      </c>
      <c r="CF10" s="840">
        <f t="shared" si="1"/>
        <v>0</v>
      </c>
      <c r="CG10" s="840">
        <f t="shared" si="2"/>
        <v>1000</v>
      </c>
      <c r="CH10" s="841" t="s">
        <v>2231</v>
      </c>
      <c r="CI10" s="840">
        <f t="shared" si="11"/>
        <v>0</v>
      </c>
      <c r="CJ10" s="840">
        <f t="shared" si="3"/>
        <v>0</v>
      </c>
      <c r="CK10" s="840">
        <f t="shared" si="3"/>
        <v>0</v>
      </c>
      <c r="CL10" s="840">
        <f t="shared" si="3"/>
        <v>0</v>
      </c>
      <c r="CM10" s="840">
        <f t="shared" si="3"/>
        <v>0</v>
      </c>
      <c r="CN10" s="840">
        <f t="shared" si="3"/>
        <v>0</v>
      </c>
      <c r="CO10" s="840">
        <f t="shared" si="3"/>
        <v>0</v>
      </c>
      <c r="CP10" s="840">
        <f t="shared" si="3"/>
        <v>0</v>
      </c>
      <c r="CQ10" s="840">
        <f t="shared" si="3"/>
        <v>0</v>
      </c>
      <c r="CR10" s="840">
        <f t="shared" si="3"/>
        <v>0</v>
      </c>
      <c r="CS10" s="840">
        <f t="shared" si="3"/>
        <v>0</v>
      </c>
      <c r="CT10" s="840">
        <f t="shared" si="3"/>
        <v>0</v>
      </c>
      <c r="CU10" s="840">
        <f t="shared" si="3"/>
        <v>0</v>
      </c>
      <c r="CV10" s="840">
        <f t="shared" si="3"/>
        <v>0</v>
      </c>
      <c r="CW10" s="840">
        <f t="shared" si="3"/>
        <v>0</v>
      </c>
      <c r="CX10" s="840">
        <f t="shared" si="3"/>
        <v>0</v>
      </c>
      <c r="CY10" s="840">
        <f t="shared" si="3"/>
        <v>0</v>
      </c>
      <c r="CZ10" s="840">
        <f t="shared" si="4"/>
        <v>0</v>
      </c>
      <c r="DA10" s="840">
        <f t="shared" si="4"/>
        <v>0</v>
      </c>
      <c r="DB10" s="840">
        <f t="shared" si="4"/>
        <v>0</v>
      </c>
      <c r="DC10" s="840">
        <f t="shared" si="4"/>
        <v>0</v>
      </c>
      <c r="DD10" s="840">
        <f t="shared" si="4"/>
        <v>0</v>
      </c>
      <c r="DE10" s="840">
        <f t="shared" si="4"/>
        <v>0</v>
      </c>
      <c r="DF10" s="840">
        <f t="shared" si="5"/>
        <v>0</v>
      </c>
      <c r="DG10" s="840">
        <f t="shared" si="5"/>
        <v>0</v>
      </c>
      <c r="DH10" s="840">
        <f t="shared" si="5"/>
        <v>0</v>
      </c>
      <c r="DI10" s="840">
        <f t="shared" si="5"/>
        <v>0</v>
      </c>
      <c r="DJ10" s="840">
        <f t="shared" si="5"/>
        <v>0</v>
      </c>
      <c r="DK10" s="840">
        <f t="shared" si="5"/>
        <v>0</v>
      </c>
      <c r="DL10" s="840">
        <f t="shared" si="5"/>
        <v>0</v>
      </c>
      <c r="DM10" s="840">
        <f t="shared" si="5"/>
        <v>0</v>
      </c>
      <c r="DN10" s="840">
        <f t="shared" si="5"/>
        <v>0</v>
      </c>
      <c r="DO10" s="840">
        <f t="shared" si="5"/>
        <v>0</v>
      </c>
      <c r="DP10" s="840">
        <f t="shared" si="5"/>
        <v>0</v>
      </c>
      <c r="DQ10" s="840">
        <f t="shared" si="5"/>
        <v>0</v>
      </c>
      <c r="DR10" s="840">
        <f t="shared" si="5"/>
        <v>0</v>
      </c>
      <c r="DS10" s="840">
        <f t="shared" si="5"/>
        <v>0</v>
      </c>
      <c r="DT10" s="840">
        <f t="shared" si="5"/>
        <v>0</v>
      </c>
      <c r="DU10" s="840">
        <f t="shared" si="5"/>
        <v>0</v>
      </c>
      <c r="DV10" s="840">
        <f t="shared" si="6"/>
        <v>0</v>
      </c>
      <c r="DW10" s="840">
        <f t="shared" si="6"/>
        <v>0</v>
      </c>
      <c r="DX10" s="840">
        <f t="shared" si="6"/>
        <v>0</v>
      </c>
      <c r="DY10" s="840">
        <f t="shared" si="6"/>
        <v>0</v>
      </c>
      <c r="DZ10" s="840">
        <f t="shared" si="6"/>
        <v>0</v>
      </c>
      <c r="EA10" s="840">
        <f t="shared" si="6"/>
        <v>0</v>
      </c>
      <c r="EB10" s="840">
        <f t="shared" si="6"/>
        <v>0</v>
      </c>
      <c r="EC10" s="840">
        <f t="shared" si="7"/>
        <v>0</v>
      </c>
      <c r="ED10" s="840">
        <f t="shared" si="7"/>
        <v>0</v>
      </c>
      <c r="EE10" s="840">
        <f t="shared" si="7"/>
        <v>0</v>
      </c>
      <c r="EF10" s="840">
        <f t="shared" si="7"/>
        <v>0</v>
      </c>
      <c r="EG10" s="840">
        <f t="shared" si="7"/>
        <v>0</v>
      </c>
      <c r="EH10" s="840">
        <f t="shared" si="7"/>
        <v>0</v>
      </c>
      <c r="EI10" s="840">
        <f t="shared" si="7"/>
        <v>0</v>
      </c>
      <c r="EJ10" s="840">
        <f t="shared" si="7"/>
        <v>0</v>
      </c>
      <c r="EK10" s="840">
        <f t="shared" si="7"/>
        <v>0</v>
      </c>
      <c r="EL10" s="840">
        <f t="shared" si="7"/>
        <v>0</v>
      </c>
      <c r="EM10" s="840">
        <f t="shared" si="7"/>
        <v>0</v>
      </c>
      <c r="EN10" s="840">
        <f t="shared" si="7"/>
        <v>0</v>
      </c>
      <c r="EO10" s="840">
        <f t="shared" si="7"/>
        <v>0</v>
      </c>
      <c r="EP10" s="840">
        <f t="shared" si="7"/>
        <v>0</v>
      </c>
      <c r="EQ10" s="840">
        <f t="shared" si="7"/>
        <v>0</v>
      </c>
      <c r="ER10" s="840">
        <f t="shared" si="7"/>
        <v>0</v>
      </c>
      <c r="ES10" s="840">
        <f t="shared" si="8"/>
        <v>0</v>
      </c>
      <c r="ET10" s="840">
        <f t="shared" si="8"/>
        <v>0</v>
      </c>
      <c r="EU10" s="840">
        <f t="shared" si="8"/>
        <v>0</v>
      </c>
      <c r="EV10" s="840">
        <f t="shared" si="8"/>
        <v>0</v>
      </c>
      <c r="EW10" s="840">
        <f t="shared" si="8"/>
        <v>0</v>
      </c>
      <c r="EX10" s="840">
        <f t="shared" si="8"/>
        <v>0</v>
      </c>
      <c r="EY10" s="840">
        <f t="shared" si="8"/>
        <v>0</v>
      </c>
      <c r="EZ10" s="842">
        <f t="shared" si="9"/>
        <v>0</v>
      </c>
      <c r="FA10" s="842">
        <f t="shared" si="9"/>
        <v>0</v>
      </c>
      <c r="FB10" s="842">
        <f t="shared" si="9"/>
        <v>0</v>
      </c>
      <c r="FC10" s="842">
        <f t="shared" si="9"/>
        <v>0</v>
      </c>
      <c r="FD10" s="842">
        <f t="shared" si="9"/>
        <v>0</v>
      </c>
      <c r="FE10" s="842">
        <f t="shared" si="9"/>
        <v>0</v>
      </c>
      <c r="FF10" s="842">
        <f t="shared" si="9"/>
        <v>0</v>
      </c>
      <c r="FG10" s="842">
        <f t="shared" si="9"/>
        <v>0</v>
      </c>
      <c r="FH10" s="842">
        <f t="shared" si="9"/>
        <v>0</v>
      </c>
      <c r="FI10" s="842">
        <f t="shared" si="9"/>
        <v>0</v>
      </c>
      <c r="FJ10" s="842">
        <f t="shared" si="9"/>
        <v>0</v>
      </c>
      <c r="FK10" s="842">
        <f t="shared" si="9"/>
        <v>0</v>
      </c>
      <c r="FL10" s="842">
        <f t="shared" si="9"/>
        <v>0</v>
      </c>
      <c r="FM10" s="842">
        <f t="shared" si="9"/>
        <v>0</v>
      </c>
      <c r="FN10" s="842">
        <f t="shared" si="9"/>
        <v>0</v>
      </c>
      <c r="FO10" s="842">
        <f t="shared" si="9"/>
        <v>0</v>
      </c>
      <c r="FP10" s="842">
        <f t="shared" si="10"/>
        <v>0</v>
      </c>
      <c r="FQ10" s="842">
        <f t="shared" si="10"/>
        <v>0</v>
      </c>
      <c r="FR10" s="842">
        <f t="shared" si="10"/>
        <v>0</v>
      </c>
      <c r="FS10" s="842">
        <f t="shared" si="10"/>
        <v>0</v>
      </c>
      <c r="FT10" s="842">
        <f t="shared" si="10"/>
        <v>0</v>
      </c>
      <c r="FU10" s="842">
        <f t="shared" si="10"/>
        <v>0</v>
      </c>
      <c r="FV10" s="842">
        <f t="shared" si="10"/>
        <v>0</v>
      </c>
      <c r="FW10" s="843">
        <v>36.700000000000003</v>
      </c>
      <c r="FX10" s="788" t="s">
        <v>180</v>
      </c>
      <c r="FY10" s="843">
        <v>1.8499999999999999E-2</v>
      </c>
      <c r="FZ10" s="844" t="s">
        <v>2232</v>
      </c>
      <c r="GB10" s="802" t="s">
        <v>2233</v>
      </c>
      <c r="GC10" s="802">
        <v>1000</v>
      </c>
    </row>
    <row r="11" spans="3:185" ht="23.25" customHeight="1">
      <c r="C11" s="1487"/>
      <c r="D11" s="1485" t="s">
        <v>15</v>
      </c>
      <c r="E11" s="1485"/>
      <c r="F11" s="1485"/>
      <c r="G11" s="838" t="s">
        <v>297</v>
      </c>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839"/>
      <c r="AF11" s="839"/>
      <c r="AG11" s="839"/>
      <c r="AH11" s="839"/>
      <c r="AI11" s="839"/>
      <c r="AJ11" s="839"/>
      <c r="AK11" s="839"/>
      <c r="AL11" s="839"/>
      <c r="AM11" s="839"/>
      <c r="AN11" s="839"/>
      <c r="AO11" s="839"/>
      <c r="AP11" s="839"/>
      <c r="AQ11" s="839"/>
      <c r="AR11" s="839"/>
      <c r="AS11" s="839"/>
      <c r="AT11" s="839"/>
      <c r="AU11" s="839"/>
      <c r="AV11" s="839"/>
      <c r="AW11" s="839"/>
      <c r="AX11" s="839"/>
      <c r="AY11" s="839"/>
      <c r="AZ11" s="839"/>
      <c r="BA11" s="839"/>
      <c r="BB11" s="839"/>
      <c r="BC11" s="839"/>
      <c r="BD11" s="839"/>
      <c r="BE11" s="839"/>
      <c r="BF11" s="839"/>
      <c r="BG11" s="839"/>
      <c r="BH11" s="839"/>
      <c r="BI11" s="839"/>
      <c r="BJ11" s="840">
        <f t="shared" si="0"/>
        <v>0</v>
      </c>
      <c r="BK11" s="840">
        <f t="shared" si="0"/>
        <v>0</v>
      </c>
      <c r="BL11" s="840">
        <f t="shared" si="0"/>
        <v>0</v>
      </c>
      <c r="BM11" s="840">
        <f t="shared" si="0"/>
        <v>0</v>
      </c>
      <c r="BN11" s="840">
        <f t="shared" si="0"/>
        <v>0</v>
      </c>
      <c r="BO11" s="840">
        <f t="shared" si="0"/>
        <v>0</v>
      </c>
      <c r="BP11" s="840">
        <f t="shared" si="0"/>
        <v>0</v>
      </c>
      <c r="BQ11" s="840">
        <f t="shared" si="0"/>
        <v>0</v>
      </c>
      <c r="BR11" s="840">
        <f t="shared" si="0"/>
        <v>0</v>
      </c>
      <c r="BS11" s="840">
        <f t="shared" si="0"/>
        <v>0</v>
      </c>
      <c r="BT11" s="840">
        <f t="shared" si="0"/>
        <v>0</v>
      </c>
      <c r="BU11" s="840">
        <f t="shared" si="0"/>
        <v>0</v>
      </c>
      <c r="BV11" s="840">
        <f t="shared" si="0"/>
        <v>0</v>
      </c>
      <c r="BW11" s="840">
        <f t="shared" si="0"/>
        <v>0</v>
      </c>
      <c r="BX11" s="840">
        <f t="shared" si="0"/>
        <v>0</v>
      </c>
      <c r="BY11" s="840">
        <f t="shared" si="0"/>
        <v>0</v>
      </c>
      <c r="BZ11" s="840">
        <f t="shared" si="1"/>
        <v>0</v>
      </c>
      <c r="CA11" s="840">
        <f t="shared" si="1"/>
        <v>0</v>
      </c>
      <c r="CB11" s="840">
        <f t="shared" si="1"/>
        <v>0</v>
      </c>
      <c r="CC11" s="840">
        <f t="shared" si="1"/>
        <v>0</v>
      </c>
      <c r="CD11" s="840">
        <f t="shared" si="1"/>
        <v>0</v>
      </c>
      <c r="CE11" s="840">
        <f t="shared" si="1"/>
        <v>0</v>
      </c>
      <c r="CF11" s="840">
        <f t="shared" si="1"/>
        <v>0</v>
      </c>
      <c r="CG11" s="840">
        <f t="shared" si="2"/>
        <v>1000</v>
      </c>
      <c r="CH11" s="841" t="s">
        <v>2231</v>
      </c>
      <c r="CI11" s="840">
        <f t="shared" si="11"/>
        <v>0</v>
      </c>
      <c r="CJ11" s="840">
        <f t="shared" si="3"/>
        <v>0</v>
      </c>
      <c r="CK11" s="840">
        <f t="shared" si="3"/>
        <v>0</v>
      </c>
      <c r="CL11" s="840">
        <f t="shared" si="3"/>
        <v>0</v>
      </c>
      <c r="CM11" s="840">
        <f t="shared" si="3"/>
        <v>0</v>
      </c>
      <c r="CN11" s="840">
        <f t="shared" si="3"/>
        <v>0</v>
      </c>
      <c r="CO11" s="840">
        <f t="shared" si="3"/>
        <v>0</v>
      </c>
      <c r="CP11" s="840">
        <f t="shared" si="3"/>
        <v>0</v>
      </c>
      <c r="CQ11" s="840">
        <f t="shared" si="3"/>
        <v>0</v>
      </c>
      <c r="CR11" s="840">
        <f t="shared" si="3"/>
        <v>0</v>
      </c>
      <c r="CS11" s="840">
        <f t="shared" si="3"/>
        <v>0</v>
      </c>
      <c r="CT11" s="840">
        <f t="shared" si="3"/>
        <v>0</v>
      </c>
      <c r="CU11" s="840">
        <f t="shared" si="3"/>
        <v>0</v>
      </c>
      <c r="CV11" s="840">
        <f t="shared" si="3"/>
        <v>0</v>
      </c>
      <c r="CW11" s="840">
        <f t="shared" si="3"/>
        <v>0</v>
      </c>
      <c r="CX11" s="840">
        <f t="shared" si="3"/>
        <v>0</v>
      </c>
      <c r="CY11" s="840">
        <f t="shared" si="3"/>
        <v>0</v>
      </c>
      <c r="CZ11" s="840">
        <f t="shared" si="4"/>
        <v>0</v>
      </c>
      <c r="DA11" s="840">
        <f t="shared" si="4"/>
        <v>0</v>
      </c>
      <c r="DB11" s="840">
        <f t="shared" si="4"/>
        <v>0</v>
      </c>
      <c r="DC11" s="840">
        <f t="shared" si="4"/>
        <v>0</v>
      </c>
      <c r="DD11" s="840">
        <f t="shared" si="4"/>
        <v>0</v>
      </c>
      <c r="DE11" s="840">
        <f t="shared" si="4"/>
        <v>0</v>
      </c>
      <c r="DF11" s="840">
        <f t="shared" si="5"/>
        <v>0</v>
      </c>
      <c r="DG11" s="840">
        <f t="shared" si="5"/>
        <v>0</v>
      </c>
      <c r="DH11" s="840">
        <f t="shared" si="5"/>
        <v>0</v>
      </c>
      <c r="DI11" s="840">
        <f t="shared" si="5"/>
        <v>0</v>
      </c>
      <c r="DJ11" s="840">
        <f t="shared" si="5"/>
        <v>0</v>
      </c>
      <c r="DK11" s="840">
        <f t="shared" si="5"/>
        <v>0</v>
      </c>
      <c r="DL11" s="840">
        <f t="shared" si="5"/>
        <v>0</v>
      </c>
      <c r="DM11" s="840">
        <f t="shared" si="5"/>
        <v>0</v>
      </c>
      <c r="DN11" s="840">
        <f t="shared" si="5"/>
        <v>0</v>
      </c>
      <c r="DO11" s="840">
        <f t="shared" si="5"/>
        <v>0</v>
      </c>
      <c r="DP11" s="840">
        <f t="shared" si="5"/>
        <v>0</v>
      </c>
      <c r="DQ11" s="840">
        <f t="shared" si="5"/>
        <v>0</v>
      </c>
      <c r="DR11" s="840">
        <f t="shared" si="5"/>
        <v>0</v>
      </c>
      <c r="DS11" s="840">
        <f t="shared" si="5"/>
        <v>0</v>
      </c>
      <c r="DT11" s="840">
        <f t="shared" si="5"/>
        <v>0</v>
      </c>
      <c r="DU11" s="840">
        <f t="shared" si="5"/>
        <v>0</v>
      </c>
      <c r="DV11" s="840">
        <f t="shared" si="6"/>
        <v>0</v>
      </c>
      <c r="DW11" s="840">
        <f t="shared" si="6"/>
        <v>0</v>
      </c>
      <c r="DX11" s="840">
        <f t="shared" si="6"/>
        <v>0</v>
      </c>
      <c r="DY11" s="840">
        <f t="shared" si="6"/>
        <v>0</v>
      </c>
      <c r="DZ11" s="840">
        <f t="shared" si="6"/>
        <v>0</v>
      </c>
      <c r="EA11" s="840">
        <f t="shared" si="6"/>
        <v>0</v>
      </c>
      <c r="EB11" s="840">
        <f t="shared" si="6"/>
        <v>0</v>
      </c>
      <c r="EC11" s="840">
        <f t="shared" si="7"/>
        <v>0</v>
      </c>
      <c r="ED11" s="840">
        <f t="shared" si="7"/>
        <v>0</v>
      </c>
      <c r="EE11" s="840">
        <f t="shared" si="7"/>
        <v>0</v>
      </c>
      <c r="EF11" s="840">
        <f t="shared" si="7"/>
        <v>0</v>
      </c>
      <c r="EG11" s="840">
        <f t="shared" si="7"/>
        <v>0</v>
      </c>
      <c r="EH11" s="840">
        <f t="shared" si="7"/>
        <v>0</v>
      </c>
      <c r="EI11" s="840">
        <f t="shared" si="7"/>
        <v>0</v>
      </c>
      <c r="EJ11" s="840">
        <f t="shared" si="7"/>
        <v>0</v>
      </c>
      <c r="EK11" s="840">
        <f t="shared" si="7"/>
        <v>0</v>
      </c>
      <c r="EL11" s="840">
        <f t="shared" si="7"/>
        <v>0</v>
      </c>
      <c r="EM11" s="840">
        <f t="shared" si="7"/>
        <v>0</v>
      </c>
      <c r="EN11" s="840">
        <f t="shared" si="7"/>
        <v>0</v>
      </c>
      <c r="EO11" s="840">
        <f t="shared" si="7"/>
        <v>0</v>
      </c>
      <c r="EP11" s="840">
        <f t="shared" si="7"/>
        <v>0</v>
      </c>
      <c r="EQ11" s="840">
        <f t="shared" si="7"/>
        <v>0</v>
      </c>
      <c r="ER11" s="840">
        <f t="shared" si="7"/>
        <v>0</v>
      </c>
      <c r="ES11" s="840">
        <f t="shared" si="8"/>
        <v>0</v>
      </c>
      <c r="ET11" s="840">
        <f t="shared" si="8"/>
        <v>0</v>
      </c>
      <c r="EU11" s="840">
        <f t="shared" si="8"/>
        <v>0</v>
      </c>
      <c r="EV11" s="840">
        <f t="shared" si="8"/>
        <v>0</v>
      </c>
      <c r="EW11" s="840">
        <f t="shared" si="8"/>
        <v>0</v>
      </c>
      <c r="EX11" s="840">
        <f t="shared" si="8"/>
        <v>0</v>
      </c>
      <c r="EY11" s="840">
        <f t="shared" si="8"/>
        <v>0</v>
      </c>
      <c r="EZ11" s="842">
        <f t="shared" si="9"/>
        <v>0</v>
      </c>
      <c r="FA11" s="842">
        <f t="shared" si="9"/>
        <v>0</v>
      </c>
      <c r="FB11" s="842">
        <f t="shared" si="9"/>
        <v>0</v>
      </c>
      <c r="FC11" s="842">
        <f t="shared" si="9"/>
        <v>0</v>
      </c>
      <c r="FD11" s="842">
        <f t="shared" si="9"/>
        <v>0</v>
      </c>
      <c r="FE11" s="842">
        <f t="shared" si="9"/>
        <v>0</v>
      </c>
      <c r="FF11" s="842">
        <f t="shared" si="9"/>
        <v>0</v>
      </c>
      <c r="FG11" s="842">
        <f t="shared" si="9"/>
        <v>0</v>
      </c>
      <c r="FH11" s="842">
        <f t="shared" si="9"/>
        <v>0</v>
      </c>
      <c r="FI11" s="842">
        <f t="shared" si="9"/>
        <v>0</v>
      </c>
      <c r="FJ11" s="842">
        <f t="shared" si="9"/>
        <v>0</v>
      </c>
      <c r="FK11" s="842">
        <f t="shared" si="9"/>
        <v>0</v>
      </c>
      <c r="FL11" s="842">
        <f t="shared" si="9"/>
        <v>0</v>
      </c>
      <c r="FM11" s="842">
        <f t="shared" si="9"/>
        <v>0</v>
      </c>
      <c r="FN11" s="842">
        <f t="shared" si="9"/>
        <v>0</v>
      </c>
      <c r="FO11" s="842">
        <f t="shared" si="9"/>
        <v>0</v>
      </c>
      <c r="FP11" s="842">
        <f t="shared" si="10"/>
        <v>0</v>
      </c>
      <c r="FQ11" s="842">
        <f t="shared" si="10"/>
        <v>0</v>
      </c>
      <c r="FR11" s="842">
        <f t="shared" si="10"/>
        <v>0</v>
      </c>
      <c r="FS11" s="842">
        <f t="shared" si="10"/>
        <v>0</v>
      </c>
      <c r="FT11" s="842">
        <f t="shared" si="10"/>
        <v>0</v>
      </c>
      <c r="FU11" s="842">
        <f t="shared" si="10"/>
        <v>0</v>
      </c>
      <c r="FV11" s="842">
        <f t="shared" si="10"/>
        <v>0</v>
      </c>
      <c r="FW11" s="843">
        <v>37.700000000000003</v>
      </c>
      <c r="FX11" s="788" t="s">
        <v>180</v>
      </c>
      <c r="FY11" s="843">
        <v>1.8700000000000001E-2</v>
      </c>
      <c r="FZ11" s="844" t="s">
        <v>2232</v>
      </c>
      <c r="GB11" s="802" t="s">
        <v>2234</v>
      </c>
      <c r="GC11" s="802">
        <v>1</v>
      </c>
    </row>
    <row r="12" spans="3:185" ht="23.25" customHeight="1">
      <c r="C12" s="1487"/>
      <c r="D12" s="1485" t="s">
        <v>16</v>
      </c>
      <c r="E12" s="1485"/>
      <c r="F12" s="1485"/>
      <c r="G12" s="838" t="s">
        <v>297</v>
      </c>
      <c r="H12" s="839"/>
      <c r="I12" s="839"/>
      <c r="J12" s="839"/>
      <c r="K12" s="839"/>
      <c r="L12" s="839"/>
      <c r="M12" s="839"/>
      <c r="N12" s="839"/>
      <c r="O12" s="839"/>
      <c r="P12" s="839"/>
      <c r="Q12" s="839"/>
      <c r="R12" s="839"/>
      <c r="S12" s="839"/>
      <c r="T12" s="839"/>
      <c r="U12" s="839"/>
      <c r="V12" s="839"/>
      <c r="W12" s="839"/>
      <c r="X12" s="839"/>
      <c r="Y12" s="839"/>
      <c r="Z12" s="839"/>
      <c r="AA12" s="839"/>
      <c r="AB12" s="839"/>
      <c r="AC12" s="839"/>
      <c r="AD12" s="839"/>
      <c r="AE12" s="839"/>
      <c r="AF12" s="839"/>
      <c r="AG12" s="839"/>
      <c r="AH12" s="839"/>
      <c r="AI12" s="839"/>
      <c r="AJ12" s="839"/>
      <c r="AK12" s="839"/>
      <c r="AL12" s="839"/>
      <c r="AM12" s="839"/>
      <c r="AN12" s="839"/>
      <c r="AO12" s="839"/>
      <c r="AP12" s="839"/>
      <c r="AQ12" s="839"/>
      <c r="AR12" s="839"/>
      <c r="AS12" s="839"/>
      <c r="AT12" s="839"/>
      <c r="AU12" s="839"/>
      <c r="AV12" s="839"/>
      <c r="AW12" s="839"/>
      <c r="AX12" s="839"/>
      <c r="AY12" s="839"/>
      <c r="AZ12" s="839"/>
      <c r="BA12" s="839"/>
      <c r="BB12" s="839"/>
      <c r="BC12" s="839"/>
      <c r="BD12" s="839"/>
      <c r="BE12" s="839"/>
      <c r="BF12" s="839"/>
      <c r="BG12" s="839"/>
      <c r="BH12" s="839"/>
      <c r="BI12" s="839"/>
      <c r="BJ12" s="840">
        <f t="shared" si="0"/>
        <v>0</v>
      </c>
      <c r="BK12" s="840">
        <f t="shared" si="0"/>
        <v>0</v>
      </c>
      <c r="BL12" s="840">
        <f t="shared" si="0"/>
        <v>0</v>
      </c>
      <c r="BM12" s="840">
        <f t="shared" si="0"/>
        <v>0</v>
      </c>
      <c r="BN12" s="840">
        <f t="shared" si="0"/>
        <v>0</v>
      </c>
      <c r="BO12" s="840">
        <f t="shared" si="0"/>
        <v>0</v>
      </c>
      <c r="BP12" s="840">
        <f t="shared" si="0"/>
        <v>0</v>
      </c>
      <c r="BQ12" s="840">
        <f t="shared" si="0"/>
        <v>0</v>
      </c>
      <c r="BR12" s="840">
        <f t="shared" si="0"/>
        <v>0</v>
      </c>
      <c r="BS12" s="840">
        <f t="shared" si="0"/>
        <v>0</v>
      </c>
      <c r="BT12" s="840">
        <f t="shared" si="0"/>
        <v>0</v>
      </c>
      <c r="BU12" s="840">
        <f t="shared" si="0"/>
        <v>0</v>
      </c>
      <c r="BV12" s="840">
        <f t="shared" si="0"/>
        <v>0</v>
      </c>
      <c r="BW12" s="840">
        <f t="shared" si="0"/>
        <v>0</v>
      </c>
      <c r="BX12" s="840">
        <f t="shared" si="0"/>
        <v>0</v>
      </c>
      <c r="BY12" s="840">
        <f t="shared" si="0"/>
        <v>0</v>
      </c>
      <c r="BZ12" s="840">
        <f t="shared" si="1"/>
        <v>0</v>
      </c>
      <c r="CA12" s="840">
        <f t="shared" si="1"/>
        <v>0</v>
      </c>
      <c r="CB12" s="840">
        <f t="shared" si="1"/>
        <v>0</v>
      </c>
      <c r="CC12" s="840">
        <f t="shared" si="1"/>
        <v>0</v>
      </c>
      <c r="CD12" s="840">
        <f t="shared" si="1"/>
        <v>0</v>
      </c>
      <c r="CE12" s="840">
        <f t="shared" si="1"/>
        <v>0</v>
      </c>
      <c r="CF12" s="840">
        <f t="shared" si="1"/>
        <v>0</v>
      </c>
      <c r="CG12" s="840">
        <f t="shared" si="2"/>
        <v>1000</v>
      </c>
      <c r="CH12" s="841" t="s">
        <v>2231</v>
      </c>
      <c r="CI12" s="840">
        <f t="shared" si="11"/>
        <v>0</v>
      </c>
      <c r="CJ12" s="840">
        <f t="shared" si="3"/>
        <v>0</v>
      </c>
      <c r="CK12" s="840">
        <f t="shared" si="3"/>
        <v>0</v>
      </c>
      <c r="CL12" s="840">
        <f t="shared" si="3"/>
        <v>0</v>
      </c>
      <c r="CM12" s="840">
        <f t="shared" si="3"/>
        <v>0</v>
      </c>
      <c r="CN12" s="840">
        <f t="shared" si="3"/>
        <v>0</v>
      </c>
      <c r="CO12" s="840">
        <f t="shared" si="3"/>
        <v>0</v>
      </c>
      <c r="CP12" s="840">
        <f t="shared" si="3"/>
        <v>0</v>
      </c>
      <c r="CQ12" s="840">
        <f t="shared" si="3"/>
        <v>0</v>
      </c>
      <c r="CR12" s="840">
        <f t="shared" si="3"/>
        <v>0</v>
      </c>
      <c r="CS12" s="840">
        <f t="shared" si="3"/>
        <v>0</v>
      </c>
      <c r="CT12" s="840">
        <f t="shared" si="3"/>
        <v>0</v>
      </c>
      <c r="CU12" s="840">
        <f t="shared" si="3"/>
        <v>0</v>
      </c>
      <c r="CV12" s="840">
        <f t="shared" si="3"/>
        <v>0</v>
      </c>
      <c r="CW12" s="840">
        <f t="shared" si="3"/>
        <v>0</v>
      </c>
      <c r="CX12" s="840">
        <f t="shared" si="3"/>
        <v>0</v>
      </c>
      <c r="CY12" s="840">
        <f t="shared" si="3"/>
        <v>0</v>
      </c>
      <c r="CZ12" s="840">
        <f t="shared" si="4"/>
        <v>0</v>
      </c>
      <c r="DA12" s="840">
        <f t="shared" si="4"/>
        <v>0</v>
      </c>
      <c r="DB12" s="840">
        <f t="shared" si="4"/>
        <v>0</v>
      </c>
      <c r="DC12" s="840">
        <f t="shared" si="4"/>
        <v>0</v>
      </c>
      <c r="DD12" s="840">
        <f t="shared" si="4"/>
        <v>0</v>
      </c>
      <c r="DE12" s="840">
        <f t="shared" si="4"/>
        <v>0</v>
      </c>
      <c r="DF12" s="840">
        <f t="shared" si="5"/>
        <v>0</v>
      </c>
      <c r="DG12" s="840">
        <f t="shared" si="5"/>
        <v>0</v>
      </c>
      <c r="DH12" s="840">
        <f t="shared" si="5"/>
        <v>0</v>
      </c>
      <c r="DI12" s="840">
        <f t="shared" si="5"/>
        <v>0</v>
      </c>
      <c r="DJ12" s="840">
        <f t="shared" si="5"/>
        <v>0</v>
      </c>
      <c r="DK12" s="840">
        <f t="shared" si="5"/>
        <v>0</v>
      </c>
      <c r="DL12" s="840">
        <f t="shared" si="5"/>
        <v>0</v>
      </c>
      <c r="DM12" s="840">
        <f t="shared" si="5"/>
        <v>0</v>
      </c>
      <c r="DN12" s="840">
        <f t="shared" si="5"/>
        <v>0</v>
      </c>
      <c r="DO12" s="840">
        <f t="shared" si="5"/>
        <v>0</v>
      </c>
      <c r="DP12" s="840">
        <f t="shared" si="5"/>
        <v>0</v>
      </c>
      <c r="DQ12" s="840">
        <f t="shared" si="5"/>
        <v>0</v>
      </c>
      <c r="DR12" s="840">
        <f t="shared" si="5"/>
        <v>0</v>
      </c>
      <c r="DS12" s="840">
        <f t="shared" si="5"/>
        <v>0</v>
      </c>
      <c r="DT12" s="840">
        <f t="shared" si="5"/>
        <v>0</v>
      </c>
      <c r="DU12" s="840">
        <f t="shared" si="5"/>
        <v>0</v>
      </c>
      <c r="DV12" s="840">
        <f t="shared" si="6"/>
        <v>0</v>
      </c>
      <c r="DW12" s="840">
        <f t="shared" si="6"/>
        <v>0</v>
      </c>
      <c r="DX12" s="840">
        <f t="shared" si="6"/>
        <v>0</v>
      </c>
      <c r="DY12" s="840">
        <f t="shared" si="6"/>
        <v>0</v>
      </c>
      <c r="DZ12" s="840">
        <f t="shared" si="6"/>
        <v>0</v>
      </c>
      <c r="EA12" s="840">
        <f t="shared" si="6"/>
        <v>0</v>
      </c>
      <c r="EB12" s="840">
        <f t="shared" si="6"/>
        <v>0</v>
      </c>
      <c r="EC12" s="840">
        <f t="shared" si="7"/>
        <v>0</v>
      </c>
      <c r="ED12" s="840">
        <f t="shared" si="7"/>
        <v>0</v>
      </c>
      <c r="EE12" s="840">
        <f t="shared" si="7"/>
        <v>0</v>
      </c>
      <c r="EF12" s="840">
        <f t="shared" si="7"/>
        <v>0</v>
      </c>
      <c r="EG12" s="840">
        <f t="shared" si="7"/>
        <v>0</v>
      </c>
      <c r="EH12" s="840">
        <f t="shared" si="7"/>
        <v>0</v>
      </c>
      <c r="EI12" s="840">
        <f t="shared" si="7"/>
        <v>0</v>
      </c>
      <c r="EJ12" s="840">
        <f t="shared" si="7"/>
        <v>0</v>
      </c>
      <c r="EK12" s="840">
        <f t="shared" si="7"/>
        <v>0</v>
      </c>
      <c r="EL12" s="840">
        <f t="shared" si="7"/>
        <v>0</v>
      </c>
      <c r="EM12" s="840">
        <f t="shared" si="7"/>
        <v>0</v>
      </c>
      <c r="EN12" s="840">
        <f t="shared" si="7"/>
        <v>0</v>
      </c>
      <c r="EO12" s="840">
        <f t="shared" si="7"/>
        <v>0</v>
      </c>
      <c r="EP12" s="840">
        <f t="shared" si="7"/>
        <v>0</v>
      </c>
      <c r="EQ12" s="840">
        <f t="shared" si="7"/>
        <v>0</v>
      </c>
      <c r="ER12" s="840">
        <f t="shared" si="7"/>
        <v>0</v>
      </c>
      <c r="ES12" s="840">
        <f t="shared" si="8"/>
        <v>0</v>
      </c>
      <c r="ET12" s="840">
        <f t="shared" si="8"/>
        <v>0</v>
      </c>
      <c r="EU12" s="840">
        <f t="shared" si="8"/>
        <v>0</v>
      </c>
      <c r="EV12" s="840">
        <f t="shared" si="8"/>
        <v>0</v>
      </c>
      <c r="EW12" s="840">
        <f t="shared" si="8"/>
        <v>0</v>
      </c>
      <c r="EX12" s="840">
        <f t="shared" si="8"/>
        <v>0</v>
      </c>
      <c r="EY12" s="840">
        <f t="shared" si="8"/>
        <v>0</v>
      </c>
      <c r="EZ12" s="842">
        <f t="shared" si="9"/>
        <v>0</v>
      </c>
      <c r="FA12" s="842">
        <f t="shared" si="9"/>
        <v>0</v>
      </c>
      <c r="FB12" s="842">
        <f t="shared" si="9"/>
        <v>0</v>
      </c>
      <c r="FC12" s="842">
        <f t="shared" si="9"/>
        <v>0</v>
      </c>
      <c r="FD12" s="842">
        <f t="shared" si="9"/>
        <v>0</v>
      </c>
      <c r="FE12" s="842">
        <f t="shared" si="9"/>
        <v>0</v>
      </c>
      <c r="FF12" s="842">
        <f t="shared" si="9"/>
        <v>0</v>
      </c>
      <c r="FG12" s="842">
        <f t="shared" si="9"/>
        <v>0</v>
      </c>
      <c r="FH12" s="842">
        <f t="shared" si="9"/>
        <v>0</v>
      </c>
      <c r="FI12" s="842">
        <f t="shared" si="9"/>
        <v>0</v>
      </c>
      <c r="FJ12" s="842">
        <f t="shared" si="9"/>
        <v>0</v>
      </c>
      <c r="FK12" s="842">
        <f t="shared" si="9"/>
        <v>0</v>
      </c>
      <c r="FL12" s="842">
        <f t="shared" si="9"/>
        <v>0</v>
      </c>
      <c r="FM12" s="842">
        <f t="shared" si="9"/>
        <v>0</v>
      </c>
      <c r="FN12" s="842">
        <f t="shared" si="9"/>
        <v>0</v>
      </c>
      <c r="FO12" s="842">
        <f t="shared" si="9"/>
        <v>0</v>
      </c>
      <c r="FP12" s="842">
        <f t="shared" si="10"/>
        <v>0</v>
      </c>
      <c r="FQ12" s="842">
        <f t="shared" si="10"/>
        <v>0</v>
      </c>
      <c r="FR12" s="842">
        <f t="shared" si="10"/>
        <v>0</v>
      </c>
      <c r="FS12" s="842">
        <f t="shared" si="10"/>
        <v>0</v>
      </c>
      <c r="FT12" s="842">
        <f t="shared" si="10"/>
        <v>0</v>
      </c>
      <c r="FU12" s="842">
        <f t="shared" si="10"/>
        <v>0</v>
      </c>
      <c r="FV12" s="842">
        <f t="shared" si="10"/>
        <v>0</v>
      </c>
      <c r="FW12" s="843">
        <v>39.1</v>
      </c>
      <c r="FX12" s="788" t="s">
        <v>180</v>
      </c>
      <c r="FY12" s="843">
        <v>1.89E-2</v>
      </c>
      <c r="FZ12" s="844" t="s">
        <v>2232</v>
      </c>
      <c r="GB12" s="802" t="s">
        <v>1870</v>
      </c>
      <c r="GC12" s="802">
        <v>1000</v>
      </c>
    </row>
    <row r="13" spans="3:185" ht="23.25" customHeight="1">
      <c r="C13" s="1487"/>
      <c r="D13" s="1485" t="s">
        <v>17</v>
      </c>
      <c r="E13" s="1485"/>
      <c r="F13" s="1485"/>
      <c r="G13" s="838" t="s">
        <v>297</v>
      </c>
      <c r="H13" s="839"/>
      <c r="I13" s="839"/>
      <c r="J13" s="839"/>
      <c r="K13" s="839"/>
      <c r="L13" s="839"/>
      <c r="M13" s="839"/>
      <c r="N13" s="839"/>
      <c r="O13" s="839"/>
      <c r="P13" s="839"/>
      <c r="Q13" s="839"/>
      <c r="R13" s="839"/>
      <c r="S13" s="839"/>
      <c r="T13" s="839"/>
      <c r="U13" s="839"/>
      <c r="V13" s="839"/>
      <c r="W13" s="839"/>
      <c r="X13" s="839"/>
      <c r="Y13" s="839"/>
      <c r="Z13" s="839"/>
      <c r="AA13" s="839"/>
      <c r="AB13" s="839"/>
      <c r="AC13" s="839"/>
      <c r="AD13" s="839"/>
      <c r="AE13" s="839"/>
      <c r="AF13" s="839"/>
      <c r="AG13" s="839"/>
      <c r="AH13" s="839"/>
      <c r="AI13" s="839"/>
      <c r="AJ13" s="839"/>
      <c r="AK13" s="839"/>
      <c r="AL13" s="839"/>
      <c r="AM13" s="839"/>
      <c r="AN13" s="839"/>
      <c r="AO13" s="839"/>
      <c r="AP13" s="839"/>
      <c r="AQ13" s="839"/>
      <c r="AR13" s="839"/>
      <c r="AS13" s="839"/>
      <c r="AT13" s="839"/>
      <c r="AU13" s="839"/>
      <c r="AV13" s="839"/>
      <c r="AW13" s="839"/>
      <c r="AX13" s="839"/>
      <c r="AY13" s="839"/>
      <c r="AZ13" s="839"/>
      <c r="BA13" s="839"/>
      <c r="BB13" s="839"/>
      <c r="BC13" s="839"/>
      <c r="BD13" s="839"/>
      <c r="BE13" s="839"/>
      <c r="BF13" s="839"/>
      <c r="BG13" s="839"/>
      <c r="BH13" s="839"/>
      <c r="BI13" s="839"/>
      <c r="BJ13" s="840">
        <f t="shared" si="0"/>
        <v>0</v>
      </c>
      <c r="BK13" s="840">
        <f t="shared" si="0"/>
        <v>0</v>
      </c>
      <c r="BL13" s="840">
        <f t="shared" si="0"/>
        <v>0</v>
      </c>
      <c r="BM13" s="840">
        <f t="shared" si="0"/>
        <v>0</v>
      </c>
      <c r="BN13" s="840">
        <f t="shared" si="0"/>
        <v>0</v>
      </c>
      <c r="BO13" s="840">
        <f t="shared" si="0"/>
        <v>0</v>
      </c>
      <c r="BP13" s="840">
        <f t="shared" si="0"/>
        <v>0</v>
      </c>
      <c r="BQ13" s="840">
        <f t="shared" si="0"/>
        <v>0</v>
      </c>
      <c r="BR13" s="840">
        <f t="shared" si="0"/>
        <v>0</v>
      </c>
      <c r="BS13" s="840">
        <f t="shared" si="0"/>
        <v>0</v>
      </c>
      <c r="BT13" s="840">
        <f t="shared" si="0"/>
        <v>0</v>
      </c>
      <c r="BU13" s="840">
        <f t="shared" si="0"/>
        <v>0</v>
      </c>
      <c r="BV13" s="840">
        <f t="shared" si="0"/>
        <v>0</v>
      </c>
      <c r="BW13" s="840">
        <f t="shared" si="0"/>
        <v>0</v>
      </c>
      <c r="BX13" s="840">
        <f t="shared" si="0"/>
        <v>0</v>
      </c>
      <c r="BY13" s="840">
        <f t="shared" si="0"/>
        <v>0</v>
      </c>
      <c r="BZ13" s="840">
        <f t="shared" si="1"/>
        <v>0</v>
      </c>
      <c r="CA13" s="840">
        <f t="shared" si="1"/>
        <v>0</v>
      </c>
      <c r="CB13" s="840">
        <f t="shared" si="1"/>
        <v>0</v>
      </c>
      <c r="CC13" s="840">
        <f t="shared" si="1"/>
        <v>0</v>
      </c>
      <c r="CD13" s="840">
        <f t="shared" si="1"/>
        <v>0</v>
      </c>
      <c r="CE13" s="840">
        <f t="shared" si="1"/>
        <v>0</v>
      </c>
      <c r="CF13" s="840">
        <f t="shared" si="1"/>
        <v>0</v>
      </c>
      <c r="CG13" s="840">
        <f t="shared" si="2"/>
        <v>1000</v>
      </c>
      <c r="CH13" s="841" t="s">
        <v>2231</v>
      </c>
      <c r="CI13" s="840">
        <f t="shared" si="11"/>
        <v>0</v>
      </c>
      <c r="CJ13" s="840">
        <f t="shared" si="3"/>
        <v>0</v>
      </c>
      <c r="CK13" s="840">
        <f t="shared" si="3"/>
        <v>0</v>
      </c>
      <c r="CL13" s="840">
        <f t="shared" si="3"/>
        <v>0</v>
      </c>
      <c r="CM13" s="840">
        <f t="shared" si="3"/>
        <v>0</v>
      </c>
      <c r="CN13" s="840">
        <f t="shared" si="3"/>
        <v>0</v>
      </c>
      <c r="CO13" s="840">
        <f t="shared" si="3"/>
        <v>0</v>
      </c>
      <c r="CP13" s="840">
        <f t="shared" si="3"/>
        <v>0</v>
      </c>
      <c r="CQ13" s="840">
        <f t="shared" si="3"/>
        <v>0</v>
      </c>
      <c r="CR13" s="840">
        <f t="shared" si="3"/>
        <v>0</v>
      </c>
      <c r="CS13" s="840">
        <f t="shared" si="3"/>
        <v>0</v>
      </c>
      <c r="CT13" s="840">
        <f t="shared" si="3"/>
        <v>0</v>
      </c>
      <c r="CU13" s="840">
        <f t="shared" si="3"/>
        <v>0</v>
      </c>
      <c r="CV13" s="840">
        <f t="shared" si="3"/>
        <v>0</v>
      </c>
      <c r="CW13" s="840">
        <f t="shared" si="3"/>
        <v>0</v>
      </c>
      <c r="CX13" s="840">
        <f t="shared" si="3"/>
        <v>0</v>
      </c>
      <c r="CY13" s="840">
        <f t="shared" si="3"/>
        <v>0</v>
      </c>
      <c r="CZ13" s="840">
        <f t="shared" si="4"/>
        <v>0</v>
      </c>
      <c r="DA13" s="840">
        <f t="shared" si="4"/>
        <v>0</v>
      </c>
      <c r="DB13" s="840">
        <f t="shared" si="4"/>
        <v>0</v>
      </c>
      <c r="DC13" s="840">
        <f t="shared" si="4"/>
        <v>0</v>
      </c>
      <c r="DD13" s="840">
        <f t="shared" si="4"/>
        <v>0</v>
      </c>
      <c r="DE13" s="840">
        <f t="shared" si="4"/>
        <v>0</v>
      </c>
      <c r="DF13" s="840">
        <f t="shared" si="5"/>
        <v>0</v>
      </c>
      <c r="DG13" s="840">
        <f t="shared" si="5"/>
        <v>0</v>
      </c>
      <c r="DH13" s="840">
        <f t="shared" si="5"/>
        <v>0</v>
      </c>
      <c r="DI13" s="840">
        <f t="shared" si="5"/>
        <v>0</v>
      </c>
      <c r="DJ13" s="840">
        <f t="shared" si="5"/>
        <v>0</v>
      </c>
      <c r="DK13" s="840">
        <f t="shared" si="5"/>
        <v>0</v>
      </c>
      <c r="DL13" s="840">
        <f t="shared" si="5"/>
        <v>0</v>
      </c>
      <c r="DM13" s="840">
        <f t="shared" si="5"/>
        <v>0</v>
      </c>
      <c r="DN13" s="840">
        <f t="shared" si="5"/>
        <v>0</v>
      </c>
      <c r="DO13" s="840">
        <f t="shared" si="5"/>
        <v>0</v>
      </c>
      <c r="DP13" s="840">
        <f t="shared" si="5"/>
        <v>0</v>
      </c>
      <c r="DQ13" s="840">
        <f t="shared" si="5"/>
        <v>0</v>
      </c>
      <c r="DR13" s="840">
        <f t="shared" si="5"/>
        <v>0</v>
      </c>
      <c r="DS13" s="840">
        <f t="shared" si="5"/>
        <v>0</v>
      </c>
      <c r="DT13" s="840">
        <f t="shared" si="5"/>
        <v>0</v>
      </c>
      <c r="DU13" s="840">
        <f t="shared" si="5"/>
        <v>0</v>
      </c>
      <c r="DV13" s="840">
        <f t="shared" si="6"/>
        <v>0</v>
      </c>
      <c r="DW13" s="840">
        <f t="shared" si="6"/>
        <v>0</v>
      </c>
      <c r="DX13" s="840">
        <f t="shared" si="6"/>
        <v>0</v>
      </c>
      <c r="DY13" s="840">
        <f t="shared" si="6"/>
        <v>0</v>
      </c>
      <c r="DZ13" s="840">
        <f t="shared" si="6"/>
        <v>0</v>
      </c>
      <c r="EA13" s="840">
        <f t="shared" si="6"/>
        <v>0</v>
      </c>
      <c r="EB13" s="840">
        <f t="shared" si="6"/>
        <v>0</v>
      </c>
      <c r="EC13" s="840">
        <f t="shared" si="7"/>
        <v>0</v>
      </c>
      <c r="ED13" s="840">
        <f t="shared" si="7"/>
        <v>0</v>
      </c>
      <c r="EE13" s="840">
        <f t="shared" si="7"/>
        <v>0</v>
      </c>
      <c r="EF13" s="840">
        <f t="shared" si="7"/>
        <v>0</v>
      </c>
      <c r="EG13" s="840">
        <f t="shared" si="7"/>
        <v>0</v>
      </c>
      <c r="EH13" s="840">
        <f t="shared" si="7"/>
        <v>0</v>
      </c>
      <c r="EI13" s="840">
        <f t="shared" si="7"/>
        <v>0</v>
      </c>
      <c r="EJ13" s="840">
        <f t="shared" si="7"/>
        <v>0</v>
      </c>
      <c r="EK13" s="840">
        <f t="shared" si="7"/>
        <v>0</v>
      </c>
      <c r="EL13" s="840">
        <f t="shared" si="7"/>
        <v>0</v>
      </c>
      <c r="EM13" s="840">
        <f t="shared" si="7"/>
        <v>0</v>
      </c>
      <c r="EN13" s="840">
        <f t="shared" si="7"/>
        <v>0</v>
      </c>
      <c r="EO13" s="840">
        <f t="shared" si="7"/>
        <v>0</v>
      </c>
      <c r="EP13" s="840">
        <f t="shared" si="7"/>
        <v>0</v>
      </c>
      <c r="EQ13" s="840">
        <f t="shared" si="7"/>
        <v>0</v>
      </c>
      <c r="ER13" s="840">
        <f t="shared" si="7"/>
        <v>0</v>
      </c>
      <c r="ES13" s="840">
        <f t="shared" si="8"/>
        <v>0</v>
      </c>
      <c r="ET13" s="840">
        <f t="shared" si="8"/>
        <v>0</v>
      </c>
      <c r="EU13" s="840">
        <f t="shared" si="8"/>
        <v>0</v>
      </c>
      <c r="EV13" s="840">
        <f t="shared" si="8"/>
        <v>0</v>
      </c>
      <c r="EW13" s="840">
        <f t="shared" si="8"/>
        <v>0</v>
      </c>
      <c r="EX13" s="840">
        <f t="shared" si="8"/>
        <v>0</v>
      </c>
      <c r="EY13" s="840">
        <f t="shared" si="8"/>
        <v>0</v>
      </c>
      <c r="EZ13" s="842">
        <f t="shared" si="9"/>
        <v>0</v>
      </c>
      <c r="FA13" s="842">
        <f t="shared" si="9"/>
        <v>0</v>
      </c>
      <c r="FB13" s="842">
        <f t="shared" si="9"/>
        <v>0</v>
      </c>
      <c r="FC13" s="842">
        <f t="shared" si="9"/>
        <v>0</v>
      </c>
      <c r="FD13" s="842">
        <f t="shared" si="9"/>
        <v>0</v>
      </c>
      <c r="FE13" s="842">
        <f t="shared" si="9"/>
        <v>0</v>
      </c>
      <c r="FF13" s="842">
        <f t="shared" si="9"/>
        <v>0</v>
      </c>
      <c r="FG13" s="842">
        <f t="shared" si="9"/>
        <v>0</v>
      </c>
      <c r="FH13" s="842">
        <f t="shared" si="9"/>
        <v>0</v>
      </c>
      <c r="FI13" s="842">
        <f t="shared" si="9"/>
        <v>0</v>
      </c>
      <c r="FJ13" s="842">
        <f t="shared" si="9"/>
        <v>0</v>
      </c>
      <c r="FK13" s="842">
        <f t="shared" si="9"/>
        <v>0</v>
      </c>
      <c r="FL13" s="842">
        <f t="shared" si="9"/>
        <v>0</v>
      </c>
      <c r="FM13" s="842">
        <f t="shared" si="9"/>
        <v>0</v>
      </c>
      <c r="FN13" s="842">
        <f t="shared" si="9"/>
        <v>0</v>
      </c>
      <c r="FO13" s="842">
        <f t="shared" si="9"/>
        <v>0</v>
      </c>
      <c r="FP13" s="842">
        <f t="shared" si="10"/>
        <v>0</v>
      </c>
      <c r="FQ13" s="842">
        <f t="shared" si="10"/>
        <v>0</v>
      </c>
      <c r="FR13" s="842">
        <f t="shared" si="10"/>
        <v>0</v>
      </c>
      <c r="FS13" s="842">
        <f t="shared" si="10"/>
        <v>0</v>
      </c>
      <c r="FT13" s="842">
        <f t="shared" si="10"/>
        <v>0</v>
      </c>
      <c r="FU13" s="842">
        <f t="shared" si="10"/>
        <v>0</v>
      </c>
      <c r="FV13" s="842">
        <f t="shared" si="10"/>
        <v>0</v>
      </c>
      <c r="FW13" s="843">
        <v>41.9</v>
      </c>
      <c r="FX13" s="788" t="s">
        <v>180</v>
      </c>
      <c r="FY13" s="843">
        <v>1.95E-2</v>
      </c>
      <c r="FZ13" s="844" t="s">
        <v>2232</v>
      </c>
      <c r="GB13" s="802" t="s">
        <v>1871</v>
      </c>
      <c r="GC13" s="802">
        <v>1</v>
      </c>
    </row>
    <row r="14" spans="3:185" ht="23.25" customHeight="1">
      <c r="C14" s="1487"/>
      <c r="D14" s="1485" t="s">
        <v>18</v>
      </c>
      <c r="E14" s="1485"/>
      <c r="F14" s="1485"/>
      <c r="G14" s="838" t="s">
        <v>300</v>
      </c>
      <c r="H14" s="839"/>
      <c r="I14" s="839"/>
      <c r="J14" s="839"/>
      <c r="K14" s="839"/>
      <c r="L14" s="839"/>
      <c r="M14" s="839"/>
      <c r="N14" s="839"/>
      <c r="O14" s="839"/>
      <c r="P14" s="839"/>
      <c r="Q14" s="839"/>
      <c r="R14" s="839"/>
      <c r="S14" s="839"/>
      <c r="T14" s="839"/>
      <c r="U14" s="839"/>
      <c r="V14" s="839"/>
      <c r="W14" s="839"/>
      <c r="X14" s="839"/>
      <c r="Y14" s="839"/>
      <c r="Z14" s="839"/>
      <c r="AA14" s="839"/>
      <c r="AB14" s="839"/>
      <c r="AC14" s="839"/>
      <c r="AD14" s="839"/>
      <c r="AE14" s="839"/>
      <c r="AF14" s="839"/>
      <c r="AG14" s="839"/>
      <c r="AH14" s="839"/>
      <c r="AI14" s="839"/>
      <c r="AJ14" s="839"/>
      <c r="AK14" s="839"/>
      <c r="AL14" s="839"/>
      <c r="AM14" s="839"/>
      <c r="AN14" s="839"/>
      <c r="AO14" s="839"/>
      <c r="AP14" s="839"/>
      <c r="AQ14" s="839"/>
      <c r="AR14" s="839"/>
      <c r="AS14" s="839"/>
      <c r="AT14" s="839"/>
      <c r="AU14" s="839"/>
      <c r="AV14" s="839"/>
      <c r="AW14" s="839"/>
      <c r="AX14" s="839"/>
      <c r="AY14" s="839"/>
      <c r="AZ14" s="839"/>
      <c r="BA14" s="839"/>
      <c r="BB14" s="839"/>
      <c r="BC14" s="839"/>
      <c r="BD14" s="839"/>
      <c r="BE14" s="839"/>
      <c r="BF14" s="839"/>
      <c r="BG14" s="839"/>
      <c r="BH14" s="839"/>
      <c r="BI14" s="839"/>
      <c r="BJ14" s="840">
        <f t="shared" si="0"/>
        <v>0</v>
      </c>
      <c r="BK14" s="840">
        <f t="shared" si="0"/>
        <v>0</v>
      </c>
      <c r="BL14" s="840">
        <f t="shared" si="0"/>
        <v>0</v>
      </c>
      <c r="BM14" s="840">
        <f t="shared" si="0"/>
        <v>0</v>
      </c>
      <c r="BN14" s="840">
        <f t="shared" si="0"/>
        <v>0</v>
      </c>
      <c r="BO14" s="840">
        <f t="shared" si="0"/>
        <v>0</v>
      </c>
      <c r="BP14" s="840">
        <f t="shared" si="0"/>
        <v>0</v>
      </c>
      <c r="BQ14" s="840">
        <f t="shared" si="0"/>
        <v>0</v>
      </c>
      <c r="BR14" s="840">
        <f t="shared" si="0"/>
        <v>0</v>
      </c>
      <c r="BS14" s="840">
        <f t="shared" si="0"/>
        <v>0</v>
      </c>
      <c r="BT14" s="840">
        <f t="shared" si="0"/>
        <v>0</v>
      </c>
      <c r="BU14" s="840">
        <f t="shared" si="0"/>
        <v>0</v>
      </c>
      <c r="BV14" s="840">
        <f t="shared" si="0"/>
        <v>0</v>
      </c>
      <c r="BW14" s="840">
        <f t="shared" si="0"/>
        <v>0</v>
      </c>
      <c r="BX14" s="840">
        <f t="shared" si="0"/>
        <v>0</v>
      </c>
      <c r="BY14" s="840">
        <f t="shared" si="0"/>
        <v>0</v>
      </c>
      <c r="BZ14" s="840">
        <f t="shared" si="1"/>
        <v>0</v>
      </c>
      <c r="CA14" s="840">
        <f t="shared" si="1"/>
        <v>0</v>
      </c>
      <c r="CB14" s="840">
        <f t="shared" si="1"/>
        <v>0</v>
      </c>
      <c r="CC14" s="840">
        <f t="shared" si="1"/>
        <v>0</v>
      </c>
      <c r="CD14" s="840">
        <f t="shared" si="1"/>
        <v>0</v>
      </c>
      <c r="CE14" s="840">
        <f t="shared" si="1"/>
        <v>0</v>
      </c>
      <c r="CF14" s="840">
        <f t="shared" si="1"/>
        <v>0</v>
      </c>
      <c r="CG14" s="840">
        <f t="shared" si="2"/>
        <v>1000</v>
      </c>
      <c r="CH14" s="841" t="s">
        <v>194</v>
      </c>
      <c r="CI14" s="840">
        <f t="shared" si="11"/>
        <v>0</v>
      </c>
      <c r="CJ14" s="840">
        <f t="shared" si="3"/>
        <v>0</v>
      </c>
      <c r="CK14" s="840">
        <f t="shared" si="3"/>
        <v>0</v>
      </c>
      <c r="CL14" s="840">
        <f t="shared" si="3"/>
        <v>0</v>
      </c>
      <c r="CM14" s="840">
        <f t="shared" si="3"/>
        <v>0</v>
      </c>
      <c r="CN14" s="840">
        <f t="shared" si="3"/>
        <v>0</v>
      </c>
      <c r="CO14" s="840">
        <f t="shared" si="3"/>
        <v>0</v>
      </c>
      <c r="CP14" s="840">
        <f t="shared" si="3"/>
        <v>0</v>
      </c>
      <c r="CQ14" s="840">
        <f t="shared" si="3"/>
        <v>0</v>
      </c>
      <c r="CR14" s="840">
        <f t="shared" si="3"/>
        <v>0</v>
      </c>
      <c r="CS14" s="840">
        <f t="shared" si="3"/>
        <v>0</v>
      </c>
      <c r="CT14" s="840">
        <f t="shared" si="3"/>
        <v>0</v>
      </c>
      <c r="CU14" s="840">
        <f t="shared" si="3"/>
        <v>0</v>
      </c>
      <c r="CV14" s="840">
        <f t="shared" si="3"/>
        <v>0</v>
      </c>
      <c r="CW14" s="840">
        <f t="shared" si="3"/>
        <v>0</v>
      </c>
      <c r="CX14" s="840">
        <f t="shared" si="3"/>
        <v>0</v>
      </c>
      <c r="CY14" s="840">
        <f t="shared" si="3"/>
        <v>0</v>
      </c>
      <c r="CZ14" s="840">
        <f t="shared" si="4"/>
        <v>0</v>
      </c>
      <c r="DA14" s="840">
        <f t="shared" si="4"/>
        <v>0</v>
      </c>
      <c r="DB14" s="840">
        <f t="shared" si="4"/>
        <v>0</v>
      </c>
      <c r="DC14" s="840">
        <f t="shared" si="4"/>
        <v>0</v>
      </c>
      <c r="DD14" s="840">
        <f t="shared" si="4"/>
        <v>0</v>
      </c>
      <c r="DE14" s="840">
        <f t="shared" si="4"/>
        <v>0</v>
      </c>
      <c r="DF14" s="840">
        <f t="shared" si="5"/>
        <v>0</v>
      </c>
      <c r="DG14" s="840">
        <f t="shared" si="5"/>
        <v>0</v>
      </c>
      <c r="DH14" s="840">
        <f t="shared" si="5"/>
        <v>0</v>
      </c>
      <c r="DI14" s="840">
        <f t="shared" si="5"/>
        <v>0</v>
      </c>
      <c r="DJ14" s="840">
        <f t="shared" si="5"/>
        <v>0</v>
      </c>
      <c r="DK14" s="840">
        <f t="shared" si="5"/>
        <v>0</v>
      </c>
      <c r="DL14" s="840">
        <f t="shared" si="5"/>
        <v>0</v>
      </c>
      <c r="DM14" s="840">
        <f t="shared" si="5"/>
        <v>0</v>
      </c>
      <c r="DN14" s="840">
        <f t="shared" si="5"/>
        <v>0</v>
      </c>
      <c r="DO14" s="840">
        <f t="shared" si="5"/>
        <v>0</v>
      </c>
      <c r="DP14" s="840">
        <f t="shared" si="5"/>
        <v>0</v>
      </c>
      <c r="DQ14" s="840">
        <f t="shared" si="5"/>
        <v>0</v>
      </c>
      <c r="DR14" s="840">
        <f t="shared" si="5"/>
        <v>0</v>
      </c>
      <c r="DS14" s="840">
        <f t="shared" si="5"/>
        <v>0</v>
      </c>
      <c r="DT14" s="840">
        <f t="shared" si="5"/>
        <v>0</v>
      </c>
      <c r="DU14" s="840">
        <f t="shared" si="5"/>
        <v>0</v>
      </c>
      <c r="DV14" s="840">
        <f t="shared" si="6"/>
        <v>0</v>
      </c>
      <c r="DW14" s="840">
        <f t="shared" si="6"/>
        <v>0</v>
      </c>
      <c r="DX14" s="840">
        <f t="shared" si="6"/>
        <v>0</v>
      </c>
      <c r="DY14" s="840">
        <f t="shared" si="6"/>
        <v>0</v>
      </c>
      <c r="DZ14" s="840">
        <f t="shared" si="6"/>
        <v>0</v>
      </c>
      <c r="EA14" s="840">
        <f t="shared" si="6"/>
        <v>0</v>
      </c>
      <c r="EB14" s="840">
        <f t="shared" si="6"/>
        <v>0</v>
      </c>
      <c r="EC14" s="840">
        <f t="shared" si="7"/>
        <v>0</v>
      </c>
      <c r="ED14" s="840">
        <f t="shared" si="7"/>
        <v>0</v>
      </c>
      <c r="EE14" s="840">
        <f t="shared" si="7"/>
        <v>0</v>
      </c>
      <c r="EF14" s="840">
        <f t="shared" si="7"/>
        <v>0</v>
      </c>
      <c r="EG14" s="840">
        <f t="shared" si="7"/>
        <v>0</v>
      </c>
      <c r="EH14" s="840">
        <f t="shared" si="7"/>
        <v>0</v>
      </c>
      <c r="EI14" s="840">
        <f t="shared" si="7"/>
        <v>0</v>
      </c>
      <c r="EJ14" s="840">
        <f t="shared" si="7"/>
        <v>0</v>
      </c>
      <c r="EK14" s="840">
        <f t="shared" si="7"/>
        <v>0</v>
      </c>
      <c r="EL14" s="840">
        <f t="shared" si="7"/>
        <v>0</v>
      </c>
      <c r="EM14" s="840">
        <f t="shared" si="7"/>
        <v>0</v>
      </c>
      <c r="EN14" s="840">
        <f t="shared" si="7"/>
        <v>0</v>
      </c>
      <c r="EO14" s="840">
        <f t="shared" si="7"/>
        <v>0</v>
      </c>
      <c r="EP14" s="840">
        <f t="shared" si="7"/>
        <v>0</v>
      </c>
      <c r="EQ14" s="840">
        <f t="shared" si="7"/>
        <v>0</v>
      </c>
      <c r="ER14" s="840">
        <f t="shared" si="7"/>
        <v>0</v>
      </c>
      <c r="ES14" s="840">
        <f t="shared" si="8"/>
        <v>0</v>
      </c>
      <c r="ET14" s="840">
        <f t="shared" si="8"/>
        <v>0</v>
      </c>
      <c r="EU14" s="840">
        <f t="shared" si="8"/>
        <v>0</v>
      </c>
      <c r="EV14" s="840">
        <f t="shared" si="8"/>
        <v>0</v>
      </c>
      <c r="EW14" s="840">
        <f t="shared" si="8"/>
        <v>0</v>
      </c>
      <c r="EX14" s="840">
        <f t="shared" si="8"/>
        <v>0</v>
      </c>
      <c r="EY14" s="840">
        <f t="shared" si="8"/>
        <v>0</v>
      </c>
      <c r="EZ14" s="842">
        <f t="shared" si="9"/>
        <v>0</v>
      </c>
      <c r="FA14" s="842">
        <f t="shared" si="9"/>
        <v>0</v>
      </c>
      <c r="FB14" s="842">
        <f t="shared" si="9"/>
        <v>0</v>
      </c>
      <c r="FC14" s="842">
        <f t="shared" si="9"/>
        <v>0</v>
      </c>
      <c r="FD14" s="842">
        <f t="shared" si="9"/>
        <v>0</v>
      </c>
      <c r="FE14" s="842">
        <f t="shared" si="9"/>
        <v>0</v>
      </c>
      <c r="FF14" s="842">
        <f t="shared" si="9"/>
        <v>0</v>
      </c>
      <c r="FG14" s="842">
        <f t="shared" si="9"/>
        <v>0</v>
      </c>
      <c r="FH14" s="842">
        <f t="shared" si="9"/>
        <v>0</v>
      </c>
      <c r="FI14" s="842">
        <f t="shared" si="9"/>
        <v>0</v>
      </c>
      <c r="FJ14" s="842">
        <f t="shared" si="9"/>
        <v>0</v>
      </c>
      <c r="FK14" s="842">
        <f t="shared" si="9"/>
        <v>0</v>
      </c>
      <c r="FL14" s="842">
        <f t="shared" si="9"/>
        <v>0</v>
      </c>
      <c r="FM14" s="842">
        <f t="shared" si="9"/>
        <v>0</v>
      </c>
      <c r="FN14" s="842">
        <f t="shared" si="9"/>
        <v>0</v>
      </c>
      <c r="FO14" s="842">
        <f t="shared" si="9"/>
        <v>0</v>
      </c>
      <c r="FP14" s="842">
        <f t="shared" si="10"/>
        <v>0</v>
      </c>
      <c r="FQ14" s="842">
        <f t="shared" si="10"/>
        <v>0</v>
      </c>
      <c r="FR14" s="842">
        <f t="shared" si="10"/>
        <v>0</v>
      </c>
      <c r="FS14" s="842">
        <f t="shared" si="10"/>
        <v>0</v>
      </c>
      <c r="FT14" s="842">
        <f t="shared" si="10"/>
        <v>0</v>
      </c>
      <c r="FU14" s="842">
        <f t="shared" si="10"/>
        <v>0</v>
      </c>
      <c r="FV14" s="842">
        <f t="shared" si="10"/>
        <v>0</v>
      </c>
      <c r="FW14" s="843">
        <v>40.9</v>
      </c>
      <c r="FX14" s="788" t="s">
        <v>179</v>
      </c>
      <c r="FY14" s="843">
        <v>2.0799999999999999E-2</v>
      </c>
      <c r="FZ14" s="844" t="s">
        <v>2232</v>
      </c>
      <c r="GB14" s="802" t="s">
        <v>2194</v>
      </c>
      <c r="GC14" s="802">
        <v>1000</v>
      </c>
    </row>
    <row r="15" spans="3:185" ht="23.25" customHeight="1">
      <c r="C15" s="1487"/>
      <c r="D15" s="1485" t="s">
        <v>20</v>
      </c>
      <c r="E15" s="1485"/>
      <c r="F15" s="1485"/>
      <c r="G15" s="838" t="s">
        <v>300</v>
      </c>
      <c r="H15" s="839"/>
      <c r="I15" s="839"/>
      <c r="J15" s="839"/>
      <c r="K15" s="839"/>
      <c r="L15" s="839"/>
      <c r="M15" s="839"/>
      <c r="N15" s="839"/>
      <c r="O15" s="839"/>
      <c r="P15" s="839"/>
      <c r="Q15" s="839"/>
      <c r="R15" s="839"/>
      <c r="S15" s="839"/>
      <c r="T15" s="839"/>
      <c r="U15" s="839"/>
      <c r="V15" s="839"/>
      <c r="W15" s="839"/>
      <c r="X15" s="839"/>
      <c r="Y15" s="839"/>
      <c r="Z15" s="839"/>
      <c r="AA15" s="839"/>
      <c r="AB15" s="839"/>
      <c r="AC15" s="839"/>
      <c r="AD15" s="839"/>
      <c r="AE15" s="839"/>
      <c r="AF15" s="839"/>
      <c r="AG15" s="839"/>
      <c r="AH15" s="839"/>
      <c r="AI15" s="839"/>
      <c r="AJ15" s="839"/>
      <c r="AK15" s="839"/>
      <c r="AL15" s="839"/>
      <c r="AM15" s="839"/>
      <c r="AN15" s="839"/>
      <c r="AO15" s="839"/>
      <c r="AP15" s="839"/>
      <c r="AQ15" s="839"/>
      <c r="AR15" s="839"/>
      <c r="AS15" s="839"/>
      <c r="AT15" s="839"/>
      <c r="AU15" s="839"/>
      <c r="AV15" s="839"/>
      <c r="AW15" s="839"/>
      <c r="AX15" s="839"/>
      <c r="AY15" s="839"/>
      <c r="AZ15" s="839"/>
      <c r="BA15" s="839"/>
      <c r="BB15" s="839"/>
      <c r="BC15" s="839"/>
      <c r="BD15" s="839"/>
      <c r="BE15" s="839"/>
      <c r="BF15" s="839"/>
      <c r="BG15" s="839"/>
      <c r="BH15" s="839"/>
      <c r="BI15" s="839"/>
      <c r="BJ15" s="840">
        <f t="shared" si="0"/>
        <v>0</v>
      </c>
      <c r="BK15" s="840">
        <f t="shared" si="0"/>
        <v>0</v>
      </c>
      <c r="BL15" s="840">
        <f t="shared" si="0"/>
        <v>0</v>
      </c>
      <c r="BM15" s="840">
        <f t="shared" si="0"/>
        <v>0</v>
      </c>
      <c r="BN15" s="840">
        <f t="shared" si="0"/>
        <v>0</v>
      </c>
      <c r="BO15" s="840">
        <f t="shared" si="0"/>
        <v>0</v>
      </c>
      <c r="BP15" s="840">
        <f t="shared" si="0"/>
        <v>0</v>
      </c>
      <c r="BQ15" s="840">
        <f t="shared" si="0"/>
        <v>0</v>
      </c>
      <c r="BR15" s="840">
        <f t="shared" si="0"/>
        <v>0</v>
      </c>
      <c r="BS15" s="840">
        <f t="shared" si="0"/>
        <v>0</v>
      </c>
      <c r="BT15" s="840">
        <f t="shared" si="0"/>
        <v>0</v>
      </c>
      <c r="BU15" s="840">
        <f t="shared" si="0"/>
        <v>0</v>
      </c>
      <c r="BV15" s="840">
        <f t="shared" si="0"/>
        <v>0</v>
      </c>
      <c r="BW15" s="840">
        <f t="shared" si="0"/>
        <v>0</v>
      </c>
      <c r="BX15" s="840">
        <f t="shared" si="0"/>
        <v>0</v>
      </c>
      <c r="BY15" s="840">
        <f t="shared" si="0"/>
        <v>0</v>
      </c>
      <c r="BZ15" s="840">
        <f t="shared" si="1"/>
        <v>0</v>
      </c>
      <c r="CA15" s="840">
        <f t="shared" si="1"/>
        <v>0</v>
      </c>
      <c r="CB15" s="840">
        <f t="shared" si="1"/>
        <v>0</v>
      </c>
      <c r="CC15" s="840">
        <f t="shared" si="1"/>
        <v>0</v>
      </c>
      <c r="CD15" s="840">
        <f t="shared" si="1"/>
        <v>0</v>
      </c>
      <c r="CE15" s="840">
        <f t="shared" si="1"/>
        <v>0</v>
      </c>
      <c r="CF15" s="840">
        <f t="shared" si="1"/>
        <v>0</v>
      </c>
      <c r="CG15" s="840">
        <f t="shared" si="2"/>
        <v>1000</v>
      </c>
      <c r="CH15" s="841" t="s">
        <v>194</v>
      </c>
      <c r="CI15" s="840">
        <f t="shared" si="11"/>
        <v>0</v>
      </c>
      <c r="CJ15" s="840">
        <f t="shared" si="3"/>
        <v>0</v>
      </c>
      <c r="CK15" s="840">
        <f t="shared" si="3"/>
        <v>0</v>
      </c>
      <c r="CL15" s="840">
        <f t="shared" si="3"/>
        <v>0</v>
      </c>
      <c r="CM15" s="840">
        <f t="shared" si="3"/>
        <v>0</v>
      </c>
      <c r="CN15" s="840">
        <f t="shared" si="3"/>
        <v>0</v>
      </c>
      <c r="CO15" s="840">
        <f t="shared" si="3"/>
        <v>0</v>
      </c>
      <c r="CP15" s="840">
        <f t="shared" si="3"/>
        <v>0</v>
      </c>
      <c r="CQ15" s="840">
        <f t="shared" si="3"/>
        <v>0</v>
      </c>
      <c r="CR15" s="840">
        <f t="shared" si="3"/>
        <v>0</v>
      </c>
      <c r="CS15" s="840">
        <f t="shared" si="3"/>
        <v>0</v>
      </c>
      <c r="CT15" s="840">
        <f t="shared" si="3"/>
        <v>0</v>
      </c>
      <c r="CU15" s="840">
        <f t="shared" si="3"/>
        <v>0</v>
      </c>
      <c r="CV15" s="840">
        <f t="shared" si="3"/>
        <v>0</v>
      </c>
      <c r="CW15" s="840">
        <f t="shared" si="3"/>
        <v>0</v>
      </c>
      <c r="CX15" s="840">
        <f t="shared" si="3"/>
        <v>0</v>
      </c>
      <c r="CY15" s="840">
        <f t="shared" si="3"/>
        <v>0</v>
      </c>
      <c r="CZ15" s="840">
        <f t="shared" si="4"/>
        <v>0</v>
      </c>
      <c r="DA15" s="840">
        <f t="shared" si="4"/>
        <v>0</v>
      </c>
      <c r="DB15" s="840">
        <f t="shared" si="4"/>
        <v>0</v>
      </c>
      <c r="DC15" s="840">
        <f t="shared" si="4"/>
        <v>0</v>
      </c>
      <c r="DD15" s="840">
        <f t="shared" si="4"/>
        <v>0</v>
      </c>
      <c r="DE15" s="840">
        <f t="shared" si="4"/>
        <v>0</v>
      </c>
      <c r="DF15" s="840">
        <f t="shared" si="5"/>
        <v>0</v>
      </c>
      <c r="DG15" s="840">
        <f t="shared" si="5"/>
        <v>0</v>
      </c>
      <c r="DH15" s="840">
        <f t="shared" si="5"/>
        <v>0</v>
      </c>
      <c r="DI15" s="840">
        <f t="shared" si="5"/>
        <v>0</v>
      </c>
      <c r="DJ15" s="840">
        <f t="shared" si="5"/>
        <v>0</v>
      </c>
      <c r="DK15" s="840">
        <f t="shared" si="5"/>
        <v>0</v>
      </c>
      <c r="DL15" s="840">
        <f t="shared" si="5"/>
        <v>0</v>
      </c>
      <c r="DM15" s="840">
        <f t="shared" si="5"/>
        <v>0</v>
      </c>
      <c r="DN15" s="840">
        <f t="shared" si="5"/>
        <v>0</v>
      </c>
      <c r="DO15" s="840">
        <f t="shared" si="5"/>
        <v>0</v>
      </c>
      <c r="DP15" s="840">
        <f t="shared" si="5"/>
        <v>0</v>
      </c>
      <c r="DQ15" s="840">
        <f t="shared" si="5"/>
        <v>0</v>
      </c>
      <c r="DR15" s="840">
        <f t="shared" si="5"/>
        <v>0</v>
      </c>
      <c r="DS15" s="840">
        <f t="shared" si="5"/>
        <v>0</v>
      </c>
      <c r="DT15" s="840">
        <f t="shared" si="5"/>
        <v>0</v>
      </c>
      <c r="DU15" s="840">
        <f t="shared" si="5"/>
        <v>0</v>
      </c>
      <c r="DV15" s="840">
        <f t="shared" si="6"/>
        <v>0</v>
      </c>
      <c r="DW15" s="840">
        <f t="shared" si="6"/>
        <v>0</v>
      </c>
      <c r="DX15" s="840">
        <f t="shared" si="6"/>
        <v>0</v>
      </c>
      <c r="DY15" s="840">
        <f t="shared" si="6"/>
        <v>0</v>
      </c>
      <c r="DZ15" s="840">
        <f t="shared" si="6"/>
        <v>0</v>
      </c>
      <c r="EA15" s="840">
        <f t="shared" si="6"/>
        <v>0</v>
      </c>
      <c r="EB15" s="840">
        <f t="shared" si="6"/>
        <v>0</v>
      </c>
      <c r="EC15" s="840">
        <f t="shared" si="7"/>
        <v>0</v>
      </c>
      <c r="ED15" s="840">
        <f t="shared" si="7"/>
        <v>0</v>
      </c>
      <c r="EE15" s="840">
        <f t="shared" si="7"/>
        <v>0</v>
      </c>
      <c r="EF15" s="840">
        <f t="shared" si="7"/>
        <v>0</v>
      </c>
      <c r="EG15" s="840">
        <f t="shared" si="7"/>
        <v>0</v>
      </c>
      <c r="EH15" s="840">
        <f t="shared" si="7"/>
        <v>0</v>
      </c>
      <c r="EI15" s="840">
        <f t="shared" si="7"/>
        <v>0</v>
      </c>
      <c r="EJ15" s="840">
        <f t="shared" si="7"/>
        <v>0</v>
      </c>
      <c r="EK15" s="840">
        <f t="shared" si="7"/>
        <v>0</v>
      </c>
      <c r="EL15" s="840">
        <f t="shared" si="7"/>
        <v>0</v>
      </c>
      <c r="EM15" s="840">
        <f t="shared" si="7"/>
        <v>0</v>
      </c>
      <c r="EN15" s="840">
        <f t="shared" si="7"/>
        <v>0</v>
      </c>
      <c r="EO15" s="840">
        <f t="shared" si="7"/>
        <v>0</v>
      </c>
      <c r="EP15" s="840">
        <f t="shared" si="7"/>
        <v>0</v>
      </c>
      <c r="EQ15" s="840">
        <f t="shared" si="7"/>
        <v>0</v>
      </c>
      <c r="ER15" s="840">
        <f t="shared" si="7"/>
        <v>0</v>
      </c>
      <c r="ES15" s="840">
        <f t="shared" si="8"/>
        <v>0</v>
      </c>
      <c r="ET15" s="840">
        <f t="shared" si="8"/>
        <v>0</v>
      </c>
      <c r="EU15" s="840">
        <f t="shared" si="8"/>
        <v>0</v>
      </c>
      <c r="EV15" s="840">
        <f t="shared" si="8"/>
        <v>0</v>
      </c>
      <c r="EW15" s="840">
        <f t="shared" si="8"/>
        <v>0</v>
      </c>
      <c r="EX15" s="840">
        <f t="shared" si="8"/>
        <v>0</v>
      </c>
      <c r="EY15" s="840">
        <f t="shared" si="8"/>
        <v>0</v>
      </c>
      <c r="EZ15" s="842">
        <f t="shared" si="9"/>
        <v>0</v>
      </c>
      <c r="FA15" s="842">
        <f t="shared" si="9"/>
        <v>0</v>
      </c>
      <c r="FB15" s="842">
        <f t="shared" si="9"/>
        <v>0</v>
      </c>
      <c r="FC15" s="842">
        <f t="shared" si="9"/>
        <v>0</v>
      </c>
      <c r="FD15" s="842">
        <f t="shared" si="9"/>
        <v>0</v>
      </c>
      <c r="FE15" s="842">
        <f t="shared" si="9"/>
        <v>0</v>
      </c>
      <c r="FF15" s="842">
        <f t="shared" si="9"/>
        <v>0</v>
      </c>
      <c r="FG15" s="842">
        <f t="shared" si="9"/>
        <v>0</v>
      </c>
      <c r="FH15" s="842">
        <f t="shared" si="9"/>
        <v>0</v>
      </c>
      <c r="FI15" s="842">
        <f t="shared" si="9"/>
        <v>0</v>
      </c>
      <c r="FJ15" s="842">
        <f t="shared" si="9"/>
        <v>0</v>
      </c>
      <c r="FK15" s="842">
        <f t="shared" si="9"/>
        <v>0</v>
      </c>
      <c r="FL15" s="842">
        <f t="shared" si="9"/>
        <v>0</v>
      </c>
      <c r="FM15" s="842">
        <f t="shared" si="9"/>
        <v>0</v>
      </c>
      <c r="FN15" s="842">
        <f t="shared" si="9"/>
        <v>0</v>
      </c>
      <c r="FO15" s="842">
        <f t="shared" si="9"/>
        <v>0</v>
      </c>
      <c r="FP15" s="842">
        <f t="shared" si="10"/>
        <v>0</v>
      </c>
      <c r="FQ15" s="842">
        <f t="shared" si="10"/>
        <v>0</v>
      </c>
      <c r="FR15" s="842">
        <f t="shared" si="10"/>
        <v>0</v>
      </c>
      <c r="FS15" s="842">
        <f t="shared" si="10"/>
        <v>0</v>
      </c>
      <c r="FT15" s="842">
        <f t="shared" si="10"/>
        <v>0</v>
      </c>
      <c r="FU15" s="842">
        <f t="shared" si="10"/>
        <v>0</v>
      </c>
      <c r="FV15" s="842">
        <f t="shared" si="10"/>
        <v>0</v>
      </c>
      <c r="FW15" s="843">
        <v>29.9</v>
      </c>
      <c r="FX15" s="788" t="s">
        <v>179</v>
      </c>
      <c r="FY15" s="843">
        <v>2.5399999999999999E-2</v>
      </c>
      <c r="FZ15" s="844" t="s">
        <v>2232</v>
      </c>
      <c r="GB15" s="802" t="s">
        <v>2195</v>
      </c>
      <c r="GC15" s="802">
        <v>1</v>
      </c>
    </row>
    <row r="16" spans="3:185" ht="23.25" customHeight="1">
      <c r="C16" s="1487"/>
      <c r="D16" s="1485" t="s">
        <v>21</v>
      </c>
      <c r="E16" s="1485" t="s">
        <v>22</v>
      </c>
      <c r="F16" s="1485"/>
      <c r="G16" s="845" t="s">
        <v>374</v>
      </c>
      <c r="H16" s="839"/>
      <c r="I16" s="839"/>
      <c r="J16" s="839"/>
      <c r="K16" s="839"/>
      <c r="L16" s="840">
        <f>'４．ガス単位換算_～R6工場現場'!AG31</f>
        <v>0</v>
      </c>
      <c r="M16" s="840">
        <f>'４．ガス単位換算_～R6工場現場'!AH31</f>
        <v>0</v>
      </c>
      <c r="N16" s="840">
        <f>'４．ガス単位換算_～R6工場現場'!AI31</f>
        <v>0</v>
      </c>
      <c r="O16" s="840">
        <f>'４．ガス単位換算_～R6工場現場'!AJ31</f>
        <v>0</v>
      </c>
      <c r="P16" s="840">
        <f>'４．ガス単位換算_～R6工場現場'!AK31</f>
        <v>0</v>
      </c>
      <c r="Q16" s="840">
        <f>'４．ガス単位換算_～R6工場現場'!AL31</f>
        <v>0</v>
      </c>
      <c r="R16" s="840">
        <f>'４．ガス単位換算_～R6工場現場'!AM31</f>
        <v>0</v>
      </c>
      <c r="S16" s="840">
        <f>'４．ガス単位換算_～R6工場現場'!AN31</f>
        <v>0</v>
      </c>
      <c r="T16" s="840">
        <f>'４．ガス単位換算_～R6工場現場'!AO31</f>
        <v>0</v>
      </c>
      <c r="U16" s="840">
        <f>'４．ガス単位換算_～R6工場現場'!AP31</f>
        <v>0</v>
      </c>
      <c r="V16" s="840">
        <f>'４．ガス単位換算_～R6工場現場'!AQ31</f>
        <v>0</v>
      </c>
      <c r="W16" s="840">
        <f>'４．ガス単位換算_～R6工場現場'!AR31</f>
        <v>0</v>
      </c>
      <c r="X16" s="840">
        <f>'４．ガス単位換算_～R6工場現場'!AS31</f>
        <v>0</v>
      </c>
      <c r="Y16" s="840">
        <f>'４．ガス単位換算_～R6工場現場'!AT31</f>
        <v>0</v>
      </c>
      <c r="Z16" s="840">
        <f>'４．ガス単位換算_～R6工場現場'!AU31</f>
        <v>0</v>
      </c>
      <c r="AA16" s="840">
        <f>'４．ガス単位換算_～R6工場現場'!AV31</f>
        <v>0</v>
      </c>
      <c r="AB16" s="840">
        <f>'４．ガス単位換算_～R6工場現場'!AW31</f>
        <v>0</v>
      </c>
      <c r="AC16" s="840">
        <f>'４．ガス単位換算_～R6工場現場'!AX31</f>
        <v>0</v>
      </c>
      <c r="AD16" s="840">
        <f>'４．ガス単位換算_～R6工場現場'!AY31</f>
        <v>0</v>
      </c>
      <c r="AE16" s="840">
        <f>'４．ガス単位換算_～R6工場現場'!AZ31</f>
        <v>0</v>
      </c>
      <c r="AF16" s="840">
        <f>'４．ガス単位換算_～R6工場現場'!BA31</f>
        <v>0</v>
      </c>
      <c r="AG16" s="840">
        <f>'４．ガス単位換算_～R6工場現場'!BB31</f>
        <v>0</v>
      </c>
      <c r="AH16" s="840">
        <f>'４．ガス単位換算_～R6工場現場'!BC31</f>
        <v>0</v>
      </c>
      <c r="AI16" s="839"/>
      <c r="AJ16" s="839"/>
      <c r="AK16" s="839"/>
      <c r="AL16" s="839"/>
      <c r="AM16" s="839"/>
      <c r="AN16" s="839"/>
      <c r="AO16" s="839"/>
      <c r="AP16" s="839"/>
      <c r="AQ16" s="839"/>
      <c r="AR16" s="839"/>
      <c r="AS16" s="839"/>
      <c r="AT16" s="839"/>
      <c r="AU16" s="839"/>
      <c r="AV16" s="839"/>
      <c r="AW16" s="839"/>
      <c r="AX16" s="839"/>
      <c r="AY16" s="839"/>
      <c r="AZ16" s="839"/>
      <c r="BA16" s="839"/>
      <c r="BB16" s="839"/>
      <c r="BC16" s="839"/>
      <c r="BD16" s="839"/>
      <c r="BE16" s="839"/>
      <c r="BF16" s="839"/>
      <c r="BG16" s="839"/>
      <c r="BH16" s="839"/>
      <c r="BI16" s="839"/>
      <c r="BJ16" s="840">
        <f t="shared" si="0"/>
        <v>0</v>
      </c>
      <c r="BK16" s="840">
        <f t="shared" si="0"/>
        <v>0</v>
      </c>
      <c r="BL16" s="840">
        <f t="shared" si="0"/>
        <v>0</v>
      </c>
      <c r="BM16" s="840">
        <f t="shared" si="0"/>
        <v>0</v>
      </c>
      <c r="BN16" s="840">
        <f t="shared" si="0"/>
        <v>0</v>
      </c>
      <c r="BO16" s="840">
        <f t="shared" si="0"/>
        <v>0</v>
      </c>
      <c r="BP16" s="840">
        <f t="shared" si="0"/>
        <v>0</v>
      </c>
      <c r="BQ16" s="840">
        <f t="shared" si="0"/>
        <v>0</v>
      </c>
      <c r="BR16" s="840">
        <f t="shared" si="0"/>
        <v>0</v>
      </c>
      <c r="BS16" s="840">
        <f t="shared" si="0"/>
        <v>0</v>
      </c>
      <c r="BT16" s="840">
        <f t="shared" si="0"/>
        <v>0</v>
      </c>
      <c r="BU16" s="840">
        <f t="shared" si="0"/>
        <v>0</v>
      </c>
      <c r="BV16" s="840">
        <f t="shared" si="0"/>
        <v>0</v>
      </c>
      <c r="BW16" s="840">
        <f t="shared" si="0"/>
        <v>0</v>
      </c>
      <c r="BX16" s="840">
        <f t="shared" si="0"/>
        <v>0</v>
      </c>
      <c r="BY16" s="840">
        <f t="shared" si="0"/>
        <v>0</v>
      </c>
      <c r="BZ16" s="840">
        <f t="shared" si="1"/>
        <v>0</v>
      </c>
      <c r="CA16" s="840">
        <f t="shared" si="1"/>
        <v>0</v>
      </c>
      <c r="CB16" s="840">
        <f t="shared" si="1"/>
        <v>0</v>
      </c>
      <c r="CC16" s="840">
        <f t="shared" si="1"/>
        <v>0</v>
      </c>
      <c r="CD16" s="840">
        <f t="shared" si="1"/>
        <v>0</v>
      </c>
      <c r="CE16" s="840">
        <f t="shared" si="1"/>
        <v>0</v>
      </c>
      <c r="CF16" s="840">
        <f t="shared" si="1"/>
        <v>0</v>
      </c>
      <c r="CG16" s="840">
        <f t="shared" si="2"/>
        <v>1</v>
      </c>
      <c r="CH16" s="841" t="s">
        <v>194</v>
      </c>
      <c r="CI16" s="840">
        <f t="shared" si="11"/>
        <v>0</v>
      </c>
      <c r="CJ16" s="840">
        <f t="shared" si="3"/>
        <v>0</v>
      </c>
      <c r="CK16" s="840">
        <f t="shared" si="3"/>
        <v>0</v>
      </c>
      <c r="CL16" s="840">
        <f t="shared" si="3"/>
        <v>0</v>
      </c>
      <c r="CM16" s="840">
        <f t="shared" si="3"/>
        <v>0</v>
      </c>
      <c r="CN16" s="840">
        <f t="shared" si="3"/>
        <v>0</v>
      </c>
      <c r="CO16" s="840">
        <f t="shared" si="3"/>
        <v>0</v>
      </c>
      <c r="CP16" s="840">
        <f t="shared" si="3"/>
        <v>0</v>
      </c>
      <c r="CQ16" s="840">
        <f t="shared" si="3"/>
        <v>0</v>
      </c>
      <c r="CR16" s="840">
        <f t="shared" si="3"/>
        <v>0</v>
      </c>
      <c r="CS16" s="840">
        <f t="shared" si="3"/>
        <v>0</v>
      </c>
      <c r="CT16" s="840">
        <f t="shared" si="3"/>
        <v>0</v>
      </c>
      <c r="CU16" s="840">
        <f t="shared" si="3"/>
        <v>0</v>
      </c>
      <c r="CV16" s="840">
        <f t="shared" si="3"/>
        <v>0</v>
      </c>
      <c r="CW16" s="840">
        <f t="shared" si="3"/>
        <v>0</v>
      </c>
      <c r="CX16" s="840">
        <f t="shared" si="3"/>
        <v>0</v>
      </c>
      <c r="CY16" s="840">
        <f t="shared" si="3"/>
        <v>0</v>
      </c>
      <c r="CZ16" s="840">
        <f t="shared" si="4"/>
        <v>0</v>
      </c>
      <c r="DA16" s="840">
        <f t="shared" si="4"/>
        <v>0</v>
      </c>
      <c r="DB16" s="840">
        <f t="shared" si="4"/>
        <v>0</v>
      </c>
      <c r="DC16" s="840">
        <f t="shared" si="4"/>
        <v>0</v>
      </c>
      <c r="DD16" s="840">
        <f t="shared" si="4"/>
        <v>0</v>
      </c>
      <c r="DE16" s="840">
        <f t="shared" si="4"/>
        <v>0</v>
      </c>
      <c r="DF16" s="840">
        <f t="shared" si="5"/>
        <v>0</v>
      </c>
      <c r="DG16" s="840">
        <f t="shared" si="5"/>
        <v>0</v>
      </c>
      <c r="DH16" s="840">
        <f t="shared" si="5"/>
        <v>0</v>
      </c>
      <c r="DI16" s="840">
        <f t="shared" si="5"/>
        <v>0</v>
      </c>
      <c r="DJ16" s="840">
        <f t="shared" si="5"/>
        <v>0</v>
      </c>
      <c r="DK16" s="840">
        <f t="shared" si="5"/>
        <v>0</v>
      </c>
      <c r="DL16" s="840">
        <f t="shared" si="5"/>
        <v>0</v>
      </c>
      <c r="DM16" s="840">
        <f t="shared" si="5"/>
        <v>0</v>
      </c>
      <c r="DN16" s="840">
        <f t="shared" si="5"/>
        <v>0</v>
      </c>
      <c r="DO16" s="840">
        <f t="shared" si="5"/>
        <v>0</v>
      </c>
      <c r="DP16" s="840">
        <f t="shared" si="5"/>
        <v>0</v>
      </c>
      <c r="DQ16" s="840">
        <f t="shared" si="5"/>
        <v>0</v>
      </c>
      <c r="DR16" s="840">
        <f t="shared" si="5"/>
        <v>0</v>
      </c>
      <c r="DS16" s="840">
        <f t="shared" si="5"/>
        <v>0</v>
      </c>
      <c r="DT16" s="840">
        <f t="shared" si="5"/>
        <v>0</v>
      </c>
      <c r="DU16" s="840">
        <f t="shared" si="5"/>
        <v>0</v>
      </c>
      <c r="DV16" s="840">
        <f t="shared" si="6"/>
        <v>0</v>
      </c>
      <c r="DW16" s="840">
        <f t="shared" si="6"/>
        <v>0</v>
      </c>
      <c r="DX16" s="840">
        <f t="shared" si="6"/>
        <v>0</v>
      </c>
      <c r="DY16" s="840">
        <f t="shared" si="6"/>
        <v>0</v>
      </c>
      <c r="DZ16" s="840">
        <f t="shared" si="6"/>
        <v>0</v>
      </c>
      <c r="EA16" s="840">
        <f t="shared" si="6"/>
        <v>0</v>
      </c>
      <c r="EB16" s="840">
        <f t="shared" si="6"/>
        <v>0</v>
      </c>
      <c r="EC16" s="840">
        <f t="shared" si="7"/>
        <v>0</v>
      </c>
      <c r="ED16" s="840">
        <f t="shared" si="7"/>
        <v>0</v>
      </c>
      <c r="EE16" s="840">
        <f t="shared" si="7"/>
        <v>0</v>
      </c>
      <c r="EF16" s="840">
        <f t="shared" si="7"/>
        <v>0</v>
      </c>
      <c r="EG16" s="840">
        <f t="shared" si="7"/>
        <v>0</v>
      </c>
      <c r="EH16" s="840">
        <f t="shared" si="7"/>
        <v>0</v>
      </c>
      <c r="EI16" s="840">
        <f t="shared" si="7"/>
        <v>0</v>
      </c>
      <c r="EJ16" s="840">
        <f t="shared" si="7"/>
        <v>0</v>
      </c>
      <c r="EK16" s="840">
        <f t="shared" si="7"/>
        <v>0</v>
      </c>
      <c r="EL16" s="840">
        <f t="shared" si="7"/>
        <v>0</v>
      </c>
      <c r="EM16" s="840">
        <f t="shared" si="7"/>
        <v>0</v>
      </c>
      <c r="EN16" s="840">
        <f t="shared" si="7"/>
        <v>0</v>
      </c>
      <c r="EO16" s="840">
        <f t="shared" si="7"/>
        <v>0</v>
      </c>
      <c r="EP16" s="840">
        <f t="shared" si="7"/>
        <v>0</v>
      </c>
      <c r="EQ16" s="840">
        <f t="shared" si="7"/>
        <v>0</v>
      </c>
      <c r="ER16" s="840">
        <f t="shared" si="7"/>
        <v>0</v>
      </c>
      <c r="ES16" s="840">
        <f t="shared" si="8"/>
        <v>0</v>
      </c>
      <c r="ET16" s="840">
        <f t="shared" si="8"/>
        <v>0</v>
      </c>
      <c r="EU16" s="840">
        <f t="shared" si="8"/>
        <v>0</v>
      </c>
      <c r="EV16" s="840">
        <f t="shared" si="8"/>
        <v>0</v>
      </c>
      <c r="EW16" s="840">
        <f t="shared" si="8"/>
        <v>0</v>
      </c>
      <c r="EX16" s="840">
        <f t="shared" si="8"/>
        <v>0</v>
      </c>
      <c r="EY16" s="840">
        <f t="shared" si="8"/>
        <v>0</v>
      </c>
      <c r="EZ16" s="842">
        <f t="shared" si="9"/>
        <v>0</v>
      </c>
      <c r="FA16" s="842">
        <f t="shared" si="9"/>
        <v>0</v>
      </c>
      <c r="FB16" s="842">
        <f t="shared" si="9"/>
        <v>0</v>
      </c>
      <c r="FC16" s="842">
        <f t="shared" si="9"/>
        <v>0</v>
      </c>
      <c r="FD16" s="842">
        <f t="shared" si="9"/>
        <v>0</v>
      </c>
      <c r="FE16" s="842">
        <f t="shared" si="9"/>
        <v>0</v>
      </c>
      <c r="FF16" s="842">
        <f t="shared" si="9"/>
        <v>0</v>
      </c>
      <c r="FG16" s="842">
        <f t="shared" si="9"/>
        <v>0</v>
      </c>
      <c r="FH16" s="842">
        <f t="shared" si="9"/>
        <v>0</v>
      </c>
      <c r="FI16" s="842">
        <f t="shared" si="9"/>
        <v>0</v>
      </c>
      <c r="FJ16" s="842">
        <f t="shared" si="9"/>
        <v>0</v>
      </c>
      <c r="FK16" s="842">
        <f t="shared" si="9"/>
        <v>0</v>
      </c>
      <c r="FL16" s="842">
        <f t="shared" si="9"/>
        <v>0</v>
      </c>
      <c r="FM16" s="842">
        <f t="shared" si="9"/>
        <v>0</v>
      </c>
      <c r="FN16" s="842">
        <f t="shared" si="9"/>
        <v>0</v>
      </c>
      <c r="FO16" s="842">
        <f t="shared" si="9"/>
        <v>0</v>
      </c>
      <c r="FP16" s="842">
        <f t="shared" si="10"/>
        <v>0</v>
      </c>
      <c r="FQ16" s="842">
        <f t="shared" si="10"/>
        <v>0</v>
      </c>
      <c r="FR16" s="842">
        <f t="shared" si="10"/>
        <v>0</v>
      </c>
      <c r="FS16" s="842">
        <f t="shared" si="10"/>
        <v>0</v>
      </c>
      <c r="FT16" s="842">
        <f t="shared" si="10"/>
        <v>0</v>
      </c>
      <c r="FU16" s="842">
        <f t="shared" si="10"/>
        <v>0</v>
      </c>
      <c r="FV16" s="842">
        <f t="shared" si="10"/>
        <v>0</v>
      </c>
      <c r="FW16" s="843">
        <v>50.8</v>
      </c>
      <c r="FX16" s="788" t="s">
        <v>179</v>
      </c>
      <c r="FY16" s="843">
        <v>1.61E-2</v>
      </c>
      <c r="FZ16" s="844" t="s">
        <v>2232</v>
      </c>
      <c r="GB16" s="802" t="s">
        <v>370</v>
      </c>
      <c r="GC16" s="802">
        <v>1000</v>
      </c>
    </row>
    <row r="17" spans="3:186" ht="23.25" customHeight="1">
      <c r="C17" s="1487"/>
      <c r="D17" s="1485"/>
      <c r="E17" s="1485" t="s">
        <v>23</v>
      </c>
      <c r="F17" s="1485"/>
      <c r="G17" s="846" t="s">
        <v>2337</v>
      </c>
      <c r="H17" s="839"/>
      <c r="I17" s="839"/>
      <c r="J17" s="839"/>
      <c r="K17" s="839"/>
      <c r="L17" s="839"/>
      <c r="M17" s="839"/>
      <c r="N17" s="839"/>
      <c r="O17" s="839"/>
      <c r="P17" s="839"/>
      <c r="Q17" s="839"/>
      <c r="R17" s="839"/>
      <c r="S17" s="839"/>
      <c r="T17" s="839"/>
      <c r="U17" s="839"/>
      <c r="V17" s="839"/>
      <c r="W17" s="839"/>
      <c r="X17" s="839"/>
      <c r="Y17" s="839"/>
      <c r="Z17" s="839"/>
      <c r="AA17" s="839"/>
      <c r="AB17" s="839"/>
      <c r="AC17" s="839"/>
      <c r="AD17" s="839"/>
      <c r="AE17" s="839"/>
      <c r="AF17" s="839"/>
      <c r="AG17" s="839"/>
      <c r="AH17" s="839"/>
      <c r="AI17" s="839"/>
      <c r="AJ17" s="839"/>
      <c r="AK17" s="839"/>
      <c r="AL17" s="839"/>
      <c r="AM17" s="839"/>
      <c r="AN17" s="839"/>
      <c r="AO17" s="839"/>
      <c r="AP17" s="839"/>
      <c r="AQ17" s="839"/>
      <c r="AR17" s="839"/>
      <c r="AS17" s="839"/>
      <c r="AT17" s="839"/>
      <c r="AU17" s="839"/>
      <c r="AV17" s="839"/>
      <c r="AW17" s="839"/>
      <c r="AX17" s="839"/>
      <c r="AY17" s="839"/>
      <c r="AZ17" s="839"/>
      <c r="BA17" s="839"/>
      <c r="BB17" s="839"/>
      <c r="BC17" s="839"/>
      <c r="BD17" s="839"/>
      <c r="BE17" s="839"/>
      <c r="BF17" s="839"/>
      <c r="BG17" s="839"/>
      <c r="BH17" s="839"/>
      <c r="BI17" s="839"/>
      <c r="BJ17" s="840">
        <f t="shared" si="0"/>
        <v>0</v>
      </c>
      <c r="BK17" s="840">
        <f t="shared" si="0"/>
        <v>0</v>
      </c>
      <c r="BL17" s="840">
        <f t="shared" si="0"/>
        <v>0</v>
      </c>
      <c r="BM17" s="840">
        <f t="shared" si="0"/>
        <v>0</v>
      </c>
      <c r="BN17" s="840">
        <f t="shared" si="0"/>
        <v>0</v>
      </c>
      <c r="BO17" s="840">
        <f t="shared" si="0"/>
        <v>0</v>
      </c>
      <c r="BP17" s="840">
        <f t="shared" si="0"/>
        <v>0</v>
      </c>
      <c r="BQ17" s="840">
        <f t="shared" si="0"/>
        <v>0</v>
      </c>
      <c r="BR17" s="840">
        <f t="shared" si="0"/>
        <v>0</v>
      </c>
      <c r="BS17" s="840">
        <f t="shared" si="0"/>
        <v>0</v>
      </c>
      <c r="BT17" s="840">
        <f t="shared" si="0"/>
        <v>0</v>
      </c>
      <c r="BU17" s="840">
        <f t="shared" si="0"/>
        <v>0</v>
      </c>
      <c r="BV17" s="840">
        <f t="shared" si="0"/>
        <v>0</v>
      </c>
      <c r="BW17" s="840">
        <f t="shared" si="0"/>
        <v>0</v>
      </c>
      <c r="BX17" s="840">
        <f t="shared" si="0"/>
        <v>0</v>
      </c>
      <c r="BY17" s="840">
        <f t="shared" si="0"/>
        <v>0</v>
      </c>
      <c r="BZ17" s="840">
        <f t="shared" si="1"/>
        <v>0</v>
      </c>
      <c r="CA17" s="840">
        <f t="shared" si="1"/>
        <v>0</v>
      </c>
      <c r="CB17" s="840">
        <f t="shared" si="1"/>
        <v>0</v>
      </c>
      <c r="CC17" s="840">
        <f t="shared" si="1"/>
        <v>0</v>
      </c>
      <c r="CD17" s="840">
        <f t="shared" si="1"/>
        <v>0</v>
      </c>
      <c r="CE17" s="840">
        <f t="shared" si="1"/>
        <v>0</v>
      </c>
      <c r="CF17" s="840">
        <f t="shared" si="1"/>
        <v>0</v>
      </c>
      <c r="CG17" s="840">
        <f t="shared" si="2"/>
        <v>1000</v>
      </c>
      <c r="CH17" s="847" t="s">
        <v>2235</v>
      </c>
      <c r="CI17" s="840">
        <f t="shared" si="11"/>
        <v>0</v>
      </c>
      <c r="CJ17" s="840">
        <f t="shared" si="3"/>
        <v>0</v>
      </c>
      <c r="CK17" s="840">
        <f t="shared" si="3"/>
        <v>0</v>
      </c>
      <c r="CL17" s="840">
        <f t="shared" si="3"/>
        <v>0</v>
      </c>
      <c r="CM17" s="840">
        <f t="shared" si="3"/>
        <v>0</v>
      </c>
      <c r="CN17" s="840">
        <f t="shared" si="3"/>
        <v>0</v>
      </c>
      <c r="CO17" s="840">
        <f t="shared" si="3"/>
        <v>0</v>
      </c>
      <c r="CP17" s="840">
        <f t="shared" si="3"/>
        <v>0</v>
      </c>
      <c r="CQ17" s="840">
        <f t="shared" si="3"/>
        <v>0</v>
      </c>
      <c r="CR17" s="840">
        <f t="shared" si="3"/>
        <v>0</v>
      </c>
      <c r="CS17" s="840">
        <f t="shared" si="3"/>
        <v>0</v>
      </c>
      <c r="CT17" s="840">
        <f t="shared" si="3"/>
        <v>0</v>
      </c>
      <c r="CU17" s="840">
        <f t="shared" si="3"/>
        <v>0</v>
      </c>
      <c r="CV17" s="840">
        <f t="shared" si="3"/>
        <v>0</v>
      </c>
      <c r="CW17" s="840">
        <f t="shared" si="3"/>
        <v>0</v>
      </c>
      <c r="CX17" s="840">
        <f t="shared" si="3"/>
        <v>0</v>
      </c>
      <c r="CY17" s="840">
        <f t="shared" si="3"/>
        <v>0</v>
      </c>
      <c r="CZ17" s="840">
        <f t="shared" si="4"/>
        <v>0</v>
      </c>
      <c r="DA17" s="840">
        <f t="shared" si="4"/>
        <v>0</v>
      </c>
      <c r="DB17" s="840">
        <f t="shared" si="4"/>
        <v>0</v>
      </c>
      <c r="DC17" s="840">
        <f t="shared" si="4"/>
        <v>0</v>
      </c>
      <c r="DD17" s="840">
        <f t="shared" si="4"/>
        <v>0</v>
      </c>
      <c r="DE17" s="840">
        <f t="shared" si="4"/>
        <v>0</v>
      </c>
      <c r="DF17" s="840">
        <f t="shared" si="5"/>
        <v>0</v>
      </c>
      <c r="DG17" s="840">
        <f t="shared" si="5"/>
        <v>0</v>
      </c>
      <c r="DH17" s="840">
        <f t="shared" si="5"/>
        <v>0</v>
      </c>
      <c r="DI17" s="840">
        <f t="shared" si="5"/>
        <v>0</v>
      </c>
      <c r="DJ17" s="840">
        <f t="shared" si="5"/>
        <v>0</v>
      </c>
      <c r="DK17" s="840">
        <f t="shared" si="5"/>
        <v>0</v>
      </c>
      <c r="DL17" s="840">
        <f t="shared" si="5"/>
        <v>0</v>
      </c>
      <c r="DM17" s="840">
        <f t="shared" si="5"/>
        <v>0</v>
      </c>
      <c r="DN17" s="840">
        <f t="shared" si="5"/>
        <v>0</v>
      </c>
      <c r="DO17" s="840">
        <f t="shared" si="5"/>
        <v>0</v>
      </c>
      <c r="DP17" s="840">
        <f t="shared" si="5"/>
        <v>0</v>
      </c>
      <c r="DQ17" s="840">
        <f t="shared" si="5"/>
        <v>0</v>
      </c>
      <c r="DR17" s="840">
        <f t="shared" si="5"/>
        <v>0</v>
      </c>
      <c r="DS17" s="840">
        <f t="shared" si="5"/>
        <v>0</v>
      </c>
      <c r="DT17" s="840">
        <f t="shared" si="5"/>
        <v>0</v>
      </c>
      <c r="DU17" s="840">
        <f t="shared" si="5"/>
        <v>0</v>
      </c>
      <c r="DV17" s="840">
        <f t="shared" si="6"/>
        <v>0</v>
      </c>
      <c r="DW17" s="840">
        <f t="shared" si="6"/>
        <v>0</v>
      </c>
      <c r="DX17" s="840">
        <f t="shared" si="6"/>
        <v>0</v>
      </c>
      <c r="DY17" s="840">
        <f t="shared" si="6"/>
        <v>0</v>
      </c>
      <c r="DZ17" s="840">
        <f t="shared" si="6"/>
        <v>0</v>
      </c>
      <c r="EA17" s="840">
        <f t="shared" si="6"/>
        <v>0</v>
      </c>
      <c r="EB17" s="840">
        <f t="shared" si="6"/>
        <v>0</v>
      </c>
      <c r="EC17" s="840">
        <f t="shared" si="7"/>
        <v>0</v>
      </c>
      <c r="ED17" s="840">
        <f t="shared" si="7"/>
        <v>0</v>
      </c>
      <c r="EE17" s="840">
        <f t="shared" si="7"/>
        <v>0</v>
      </c>
      <c r="EF17" s="840">
        <f t="shared" si="7"/>
        <v>0</v>
      </c>
      <c r="EG17" s="840">
        <f t="shared" si="7"/>
        <v>0</v>
      </c>
      <c r="EH17" s="840">
        <f t="shared" si="7"/>
        <v>0</v>
      </c>
      <c r="EI17" s="840">
        <f t="shared" si="7"/>
        <v>0</v>
      </c>
      <c r="EJ17" s="840">
        <f t="shared" si="7"/>
        <v>0</v>
      </c>
      <c r="EK17" s="840">
        <f t="shared" si="7"/>
        <v>0</v>
      </c>
      <c r="EL17" s="840">
        <f t="shared" si="7"/>
        <v>0</v>
      </c>
      <c r="EM17" s="840">
        <f t="shared" si="7"/>
        <v>0</v>
      </c>
      <c r="EN17" s="840">
        <f t="shared" si="7"/>
        <v>0</v>
      </c>
      <c r="EO17" s="840">
        <f t="shared" si="7"/>
        <v>0</v>
      </c>
      <c r="EP17" s="840">
        <f t="shared" si="7"/>
        <v>0</v>
      </c>
      <c r="EQ17" s="840">
        <f t="shared" si="7"/>
        <v>0</v>
      </c>
      <c r="ER17" s="840">
        <f t="shared" si="7"/>
        <v>0</v>
      </c>
      <c r="ES17" s="840">
        <f t="shared" si="8"/>
        <v>0</v>
      </c>
      <c r="ET17" s="840">
        <f t="shared" si="8"/>
        <v>0</v>
      </c>
      <c r="EU17" s="840">
        <f t="shared" si="8"/>
        <v>0</v>
      </c>
      <c r="EV17" s="840">
        <f t="shared" si="8"/>
        <v>0</v>
      </c>
      <c r="EW17" s="840">
        <f t="shared" si="8"/>
        <v>0</v>
      </c>
      <c r="EX17" s="840">
        <f t="shared" si="8"/>
        <v>0</v>
      </c>
      <c r="EY17" s="840">
        <f t="shared" si="8"/>
        <v>0</v>
      </c>
      <c r="EZ17" s="842">
        <f t="shared" si="9"/>
        <v>0</v>
      </c>
      <c r="FA17" s="842">
        <f t="shared" si="9"/>
        <v>0</v>
      </c>
      <c r="FB17" s="842">
        <f t="shared" si="9"/>
        <v>0</v>
      </c>
      <c r="FC17" s="842">
        <f t="shared" si="9"/>
        <v>0</v>
      </c>
      <c r="FD17" s="842">
        <f t="shared" si="9"/>
        <v>0</v>
      </c>
      <c r="FE17" s="842">
        <f t="shared" si="9"/>
        <v>0</v>
      </c>
      <c r="FF17" s="842">
        <f t="shared" si="9"/>
        <v>0</v>
      </c>
      <c r="FG17" s="842">
        <f t="shared" si="9"/>
        <v>0</v>
      </c>
      <c r="FH17" s="842">
        <f t="shared" si="9"/>
        <v>0</v>
      </c>
      <c r="FI17" s="842">
        <f t="shared" si="9"/>
        <v>0</v>
      </c>
      <c r="FJ17" s="842">
        <f t="shared" si="9"/>
        <v>0</v>
      </c>
      <c r="FK17" s="842">
        <f t="shared" si="9"/>
        <v>0</v>
      </c>
      <c r="FL17" s="842">
        <f t="shared" si="9"/>
        <v>0</v>
      </c>
      <c r="FM17" s="842">
        <f t="shared" si="9"/>
        <v>0</v>
      </c>
      <c r="FN17" s="842">
        <f t="shared" si="9"/>
        <v>0</v>
      </c>
      <c r="FO17" s="842">
        <f t="shared" si="9"/>
        <v>0</v>
      </c>
      <c r="FP17" s="842">
        <f t="shared" si="10"/>
        <v>0</v>
      </c>
      <c r="FQ17" s="842">
        <f t="shared" si="10"/>
        <v>0</v>
      </c>
      <c r="FR17" s="842">
        <f t="shared" si="10"/>
        <v>0</v>
      </c>
      <c r="FS17" s="842">
        <f t="shared" si="10"/>
        <v>0</v>
      </c>
      <c r="FT17" s="842">
        <f t="shared" si="10"/>
        <v>0</v>
      </c>
      <c r="FU17" s="842">
        <f t="shared" si="10"/>
        <v>0</v>
      </c>
      <c r="FV17" s="842">
        <f t="shared" si="10"/>
        <v>0</v>
      </c>
      <c r="FW17" s="843">
        <v>44.9</v>
      </c>
      <c r="FX17" s="848" t="s">
        <v>2236</v>
      </c>
      <c r="FY17" s="843">
        <v>1.4200000000000001E-2</v>
      </c>
      <c r="FZ17" s="844" t="s">
        <v>2232</v>
      </c>
      <c r="GB17" s="802" t="s">
        <v>2237</v>
      </c>
      <c r="GC17" s="802">
        <v>1</v>
      </c>
    </row>
    <row r="18" spans="3:186" ht="23.25" customHeight="1">
      <c r="C18" s="1487"/>
      <c r="D18" s="1483" t="s">
        <v>2238</v>
      </c>
      <c r="E18" s="1485" t="s">
        <v>114</v>
      </c>
      <c r="F18" s="1485"/>
      <c r="G18" s="838" t="s">
        <v>300</v>
      </c>
      <c r="H18" s="839"/>
      <c r="I18" s="839"/>
      <c r="J18" s="839"/>
      <c r="K18" s="839"/>
      <c r="L18" s="839"/>
      <c r="M18" s="839"/>
      <c r="N18" s="839"/>
      <c r="O18" s="839"/>
      <c r="P18" s="839"/>
      <c r="Q18" s="839"/>
      <c r="R18" s="839"/>
      <c r="S18" s="839"/>
      <c r="T18" s="839"/>
      <c r="U18" s="839"/>
      <c r="V18" s="839"/>
      <c r="W18" s="839"/>
      <c r="X18" s="839"/>
      <c r="Y18" s="839"/>
      <c r="Z18" s="839"/>
      <c r="AA18" s="839"/>
      <c r="AB18" s="839"/>
      <c r="AC18" s="839"/>
      <c r="AD18" s="839"/>
      <c r="AE18" s="839"/>
      <c r="AF18" s="839"/>
      <c r="AG18" s="839"/>
      <c r="AH18" s="839"/>
      <c r="AI18" s="839"/>
      <c r="AJ18" s="839"/>
      <c r="AK18" s="839"/>
      <c r="AL18" s="839"/>
      <c r="AM18" s="839"/>
      <c r="AN18" s="839"/>
      <c r="AO18" s="839"/>
      <c r="AP18" s="839"/>
      <c r="AQ18" s="839"/>
      <c r="AR18" s="839"/>
      <c r="AS18" s="839"/>
      <c r="AT18" s="839"/>
      <c r="AU18" s="839"/>
      <c r="AV18" s="839"/>
      <c r="AW18" s="839"/>
      <c r="AX18" s="839"/>
      <c r="AY18" s="839"/>
      <c r="AZ18" s="839"/>
      <c r="BA18" s="839"/>
      <c r="BB18" s="839"/>
      <c r="BC18" s="839"/>
      <c r="BD18" s="839"/>
      <c r="BE18" s="839"/>
      <c r="BF18" s="839"/>
      <c r="BG18" s="839"/>
      <c r="BH18" s="839"/>
      <c r="BI18" s="839"/>
      <c r="BJ18" s="840">
        <f t="shared" si="0"/>
        <v>0</v>
      </c>
      <c r="BK18" s="840">
        <f t="shared" si="0"/>
        <v>0</v>
      </c>
      <c r="BL18" s="840">
        <f t="shared" si="0"/>
        <v>0</v>
      </c>
      <c r="BM18" s="840">
        <f t="shared" si="0"/>
        <v>0</v>
      </c>
      <c r="BN18" s="840">
        <f t="shared" si="0"/>
        <v>0</v>
      </c>
      <c r="BO18" s="840">
        <f t="shared" si="0"/>
        <v>0</v>
      </c>
      <c r="BP18" s="840">
        <f t="shared" si="0"/>
        <v>0</v>
      </c>
      <c r="BQ18" s="840">
        <f t="shared" si="0"/>
        <v>0</v>
      </c>
      <c r="BR18" s="840">
        <f t="shared" si="0"/>
        <v>0</v>
      </c>
      <c r="BS18" s="840">
        <f t="shared" si="0"/>
        <v>0</v>
      </c>
      <c r="BT18" s="840">
        <f t="shared" si="0"/>
        <v>0</v>
      </c>
      <c r="BU18" s="840">
        <f t="shared" si="0"/>
        <v>0</v>
      </c>
      <c r="BV18" s="840">
        <f t="shared" si="0"/>
        <v>0</v>
      </c>
      <c r="BW18" s="840">
        <f t="shared" si="0"/>
        <v>0</v>
      </c>
      <c r="BX18" s="840">
        <f t="shared" si="0"/>
        <v>0</v>
      </c>
      <c r="BY18" s="840">
        <f t="shared" si="0"/>
        <v>0</v>
      </c>
      <c r="BZ18" s="840">
        <f t="shared" si="1"/>
        <v>0</v>
      </c>
      <c r="CA18" s="840">
        <f t="shared" si="1"/>
        <v>0</v>
      </c>
      <c r="CB18" s="840">
        <f t="shared" si="1"/>
        <v>0</v>
      </c>
      <c r="CC18" s="840">
        <f t="shared" si="1"/>
        <v>0</v>
      </c>
      <c r="CD18" s="840">
        <f t="shared" si="1"/>
        <v>0</v>
      </c>
      <c r="CE18" s="840">
        <f t="shared" si="1"/>
        <v>0</v>
      </c>
      <c r="CF18" s="840">
        <f t="shared" si="1"/>
        <v>0</v>
      </c>
      <c r="CG18" s="840">
        <f t="shared" si="2"/>
        <v>1000</v>
      </c>
      <c r="CH18" s="841" t="s">
        <v>194</v>
      </c>
      <c r="CI18" s="840">
        <f t="shared" si="11"/>
        <v>0</v>
      </c>
      <c r="CJ18" s="840">
        <f t="shared" si="3"/>
        <v>0</v>
      </c>
      <c r="CK18" s="840">
        <f t="shared" si="3"/>
        <v>0</v>
      </c>
      <c r="CL18" s="840">
        <f t="shared" si="3"/>
        <v>0</v>
      </c>
      <c r="CM18" s="840">
        <f t="shared" si="3"/>
        <v>0</v>
      </c>
      <c r="CN18" s="840">
        <f t="shared" si="3"/>
        <v>0</v>
      </c>
      <c r="CO18" s="840">
        <f t="shared" si="3"/>
        <v>0</v>
      </c>
      <c r="CP18" s="840">
        <f t="shared" si="3"/>
        <v>0</v>
      </c>
      <c r="CQ18" s="840">
        <f t="shared" si="3"/>
        <v>0</v>
      </c>
      <c r="CR18" s="840">
        <f t="shared" si="3"/>
        <v>0</v>
      </c>
      <c r="CS18" s="840">
        <f t="shared" si="3"/>
        <v>0</v>
      </c>
      <c r="CT18" s="840">
        <f t="shared" si="3"/>
        <v>0</v>
      </c>
      <c r="CU18" s="840">
        <f t="shared" si="3"/>
        <v>0</v>
      </c>
      <c r="CV18" s="840">
        <f t="shared" si="3"/>
        <v>0</v>
      </c>
      <c r="CW18" s="840">
        <f t="shared" si="3"/>
        <v>0</v>
      </c>
      <c r="CX18" s="840">
        <f t="shared" si="3"/>
        <v>0</v>
      </c>
      <c r="CY18" s="840">
        <f t="shared" si="3"/>
        <v>0</v>
      </c>
      <c r="CZ18" s="840">
        <f t="shared" si="4"/>
        <v>0</v>
      </c>
      <c r="DA18" s="840">
        <f t="shared" si="4"/>
        <v>0</v>
      </c>
      <c r="DB18" s="840">
        <f t="shared" si="4"/>
        <v>0</v>
      </c>
      <c r="DC18" s="840">
        <f t="shared" si="4"/>
        <v>0</v>
      </c>
      <c r="DD18" s="840">
        <f t="shared" si="4"/>
        <v>0</v>
      </c>
      <c r="DE18" s="840">
        <f t="shared" si="4"/>
        <v>0</v>
      </c>
      <c r="DF18" s="840">
        <f t="shared" si="5"/>
        <v>0</v>
      </c>
      <c r="DG18" s="840">
        <f t="shared" si="5"/>
        <v>0</v>
      </c>
      <c r="DH18" s="840">
        <f t="shared" si="5"/>
        <v>0</v>
      </c>
      <c r="DI18" s="840">
        <f t="shared" si="5"/>
        <v>0</v>
      </c>
      <c r="DJ18" s="840">
        <f t="shared" si="5"/>
        <v>0</v>
      </c>
      <c r="DK18" s="840">
        <f t="shared" si="5"/>
        <v>0</v>
      </c>
      <c r="DL18" s="840">
        <f t="shared" si="5"/>
        <v>0</v>
      </c>
      <c r="DM18" s="840">
        <f t="shared" si="5"/>
        <v>0</v>
      </c>
      <c r="DN18" s="840">
        <f t="shared" si="5"/>
        <v>0</v>
      </c>
      <c r="DO18" s="840">
        <f t="shared" si="5"/>
        <v>0</v>
      </c>
      <c r="DP18" s="840">
        <f t="shared" si="5"/>
        <v>0</v>
      </c>
      <c r="DQ18" s="840">
        <f t="shared" si="5"/>
        <v>0</v>
      </c>
      <c r="DR18" s="840">
        <f t="shared" si="5"/>
        <v>0</v>
      </c>
      <c r="DS18" s="840">
        <f t="shared" si="5"/>
        <v>0</v>
      </c>
      <c r="DT18" s="840">
        <f t="shared" si="5"/>
        <v>0</v>
      </c>
      <c r="DU18" s="840">
        <f t="shared" si="5"/>
        <v>0</v>
      </c>
      <c r="DV18" s="840">
        <f t="shared" si="6"/>
        <v>0</v>
      </c>
      <c r="DW18" s="840">
        <f t="shared" si="6"/>
        <v>0</v>
      </c>
      <c r="DX18" s="840">
        <f t="shared" si="6"/>
        <v>0</v>
      </c>
      <c r="DY18" s="840">
        <f t="shared" si="6"/>
        <v>0</v>
      </c>
      <c r="DZ18" s="840">
        <f t="shared" si="6"/>
        <v>0</v>
      </c>
      <c r="EA18" s="840">
        <f t="shared" si="6"/>
        <v>0</v>
      </c>
      <c r="EB18" s="840">
        <f t="shared" si="6"/>
        <v>0</v>
      </c>
      <c r="EC18" s="840">
        <f t="shared" si="7"/>
        <v>0</v>
      </c>
      <c r="ED18" s="840">
        <f t="shared" si="7"/>
        <v>0</v>
      </c>
      <c r="EE18" s="840">
        <f t="shared" si="7"/>
        <v>0</v>
      </c>
      <c r="EF18" s="840">
        <f t="shared" si="7"/>
        <v>0</v>
      </c>
      <c r="EG18" s="840">
        <f t="shared" si="7"/>
        <v>0</v>
      </c>
      <c r="EH18" s="840">
        <f t="shared" si="7"/>
        <v>0</v>
      </c>
      <c r="EI18" s="840">
        <f t="shared" si="7"/>
        <v>0</v>
      </c>
      <c r="EJ18" s="840">
        <f t="shared" si="7"/>
        <v>0</v>
      </c>
      <c r="EK18" s="840">
        <f t="shared" si="7"/>
        <v>0</v>
      </c>
      <c r="EL18" s="840">
        <f t="shared" si="7"/>
        <v>0</v>
      </c>
      <c r="EM18" s="840">
        <f t="shared" si="7"/>
        <v>0</v>
      </c>
      <c r="EN18" s="840">
        <f t="shared" si="7"/>
        <v>0</v>
      </c>
      <c r="EO18" s="840">
        <f t="shared" si="7"/>
        <v>0</v>
      </c>
      <c r="EP18" s="840">
        <f t="shared" si="7"/>
        <v>0</v>
      </c>
      <c r="EQ18" s="840">
        <f t="shared" si="7"/>
        <v>0</v>
      </c>
      <c r="ER18" s="840">
        <f t="shared" si="7"/>
        <v>0</v>
      </c>
      <c r="ES18" s="840">
        <f t="shared" si="8"/>
        <v>0</v>
      </c>
      <c r="ET18" s="840">
        <f t="shared" si="8"/>
        <v>0</v>
      </c>
      <c r="EU18" s="840">
        <f t="shared" si="8"/>
        <v>0</v>
      </c>
      <c r="EV18" s="840">
        <f t="shared" si="8"/>
        <v>0</v>
      </c>
      <c r="EW18" s="840">
        <f t="shared" si="8"/>
        <v>0</v>
      </c>
      <c r="EX18" s="840">
        <f t="shared" si="8"/>
        <v>0</v>
      </c>
      <c r="EY18" s="840">
        <f t="shared" si="8"/>
        <v>0</v>
      </c>
      <c r="EZ18" s="842">
        <f t="shared" si="9"/>
        <v>0</v>
      </c>
      <c r="FA18" s="842">
        <f t="shared" si="9"/>
        <v>0</v>
      </c>
      <c r="FB18" s="842">
        <f t="shared" si="9"/>
        <v>0</v>
      </c>
      <c r="FC18" s="842">
        <f t="shared" si="9"/>
        <v>0</v>
      </c>
      <c r="FD18" s="842">
        <f t="shared" si="9"/>
        <v>0</v>
      </c>
      <c r="FE18" s="842">
        <f t="shared" si="9"/>
        <v>0</v>
      </c>
      <c r="FF18" s="842">
        <f t="shared" si="9"/>
        <v>0</v>
      </c>
      <c r="FG18" s="842">
        <f t="shared" si="9"/>
        <v>0</v>
      </c>
      <c r="FH18" s="842">
        <f t="shared" si="9"/>
        <v>0</v>
      </c>
      <c r="FI18" s="842">
        <f t="shared" si="9"/>
        <v>0</v>
      </c>
      <c r="FJ18" s="842">
        <f t="shared" si="9"/>
        <v>0</v>
      </c>
      <c r="FK18" s="842">
        <f t="shared" si="9"/>
        <v>0</v>
      </c>
      <c r="FL18" s="842">
        <f t="shared" si="9"/>
        <v>0</v>
      </c>
      <c r="FM18" s="842">
        <f t="shared" si="9"/>
        <v>0</v>
      </c>
      <c r="FN18" s="842">
        <f t="shared" si="9"/>
        <v>0</v>
      </c>
      <c r="FO18" s="842">
        <f t="shared" si="9"/>
        <v>0</v>
      </c>
      <c r="FP18" s="842">
        <f t="shared" si="10"/>
        <v>0</v>
      </c>
      <c r="FQ18" s="842">
        <f t="shared" si="10"/>
        <v>0</v>
      </c>
      <c r="FR18" s="842">
        <f t="shared" si="10"/>
        <v>0</v>
      </c>
      <c r="FS18" s="842">
        <f t="shared" si="10"/>
        <v>0</v>
      </c>
      <c r="FT18" s="842">
        <f t="shared" si="10"/>
        <v>0</v>
      </c>
      <c r="FU18" s="842">
        <f t="shared" si="10"/>
        <v>0</v>
      </c>
      <c r="FV18" s="842">
        <f t="shared" si="10"/>
        <v>0</v>
      </c>
      <c r="FW18" s="843">
        <v>54.6</v>
      </c>
      <c r="FX18" s="788" t="s">
        <v>179</v>
      </c>
      <c r="FY18" s="843">
        <v>1.35E-2</v>
      </c>
      <c r="FZ18" s="844" t="s">
        <v>2232</v>
      </c>
    </row>
    <row r="19" spans="3:186" ht="23.25" customHeight="1">
      <c r="C19" s="1487"/>
      <c r="D19" s="1485"/>
      <c r="E19" s="1485" t="s">
        <v>26</v>
      </c>
      <c r="F19" s="1485"/>
      <c r="G19" s="849" t="s">
        <v>19</v>
      </c>
      <c r="H19" s="839"/>
      <c r="I19" s="839"/>
      <c r="J19" s="839"/>
      <c r="K19" s="839"/>
      <c r="L19" s="840">
        <f>'４．ガス単位換算_～R6工場現場'!AG39</f>
        <v>0</v>
      </c>
      <c r="M19" s="840">
        <f>'４．ガス単位換算_～R6工場現場'!AH39</f>
        <v>0</v>
      </c>
      <c r="N19" s="840">
        <f>'４．ガス単位換算_～R6工場現場'!AI39</f>
        <v>0</v>
      </c>
      <c r="O19" s="840">
        <f>'４．ガス単位換算_～R6工場現場'!AJ39</f>
        <v>0</v>
      </c>
      <c r="P19" s="840">
        <f>'４．ガス単位換算_～R6工場現場'!AK39</f>
        <v>0</v>
      </c>
      <c r="Q19" s="840">
        <f>'４．ガス単位換算_～R6工場現場'!AL39</f>
        <v>0</v>
      </c>
      <c r="R19" s="840">
        <f>'４．ガス単位換算_～R6工場現場'!AM39</f>
        <v>0</v>
      </c>
      <c r="S19" s="840">
        <f>'４．ガス単位換算_～R6工場現場'!AN39</f>
        <v>0</v>
      </c>
      <c r="T19" s="840">
        <f>'４．ガス単位換算_～R6工場現場'!AO39</f>
        <v>0</v>
      </c>
      <c r="U19" s="840">
        <f>'４．ガス単位換算_～R6工場現場'!AP39</f>
        <v>0</v>
      </c>
      <c r="V19" s="840">
        <f>'４．ガス単位換算_～R6工場現場'!AQ39</f>
        <v>0</v>
      </c>
      <c r="W19" s="840">
        <f>'４．ガス単位換算_～R6工場現場'!AR39</f>
        <v>0</v>
      </c>
      <c r="X19" s="840">
        <f>'４．ガス単位換算_～R6工場現場'!AS39</f>
        <v>0</v>
      </c>
      <c r="Y19" s="840">
        <f>'４．ガス単位換算_～R6工場現場'!AT39</f>
        <v>0</v>
      </c>
      <c r="Z19" s="840">
        <f>'４．ガス単位換算_～R6工場現場'!AU39</f>
        <v>0</v>
      </c>
      <c r="AA19" s="840">
        <f>'４．ガス単位換算_～R6工場現場'!AV39</f>
        <v>0</v>
      </c>
      <c r="AB19" s="840">
        <f>'４．ガス単位換算_～R6工場現場'!AW39</f>
        <v>0</v>
      </c>
      <c r="AC19" s="840">
        <f>'４．ガス単位換算_～R6工場現場'!AX39</f>
        <v>0</v>
      </c>
      <c r="AD19" s="840">
        <f>'４．ガス単位換算_～R6工場現場'!AY39</f>
        <v>0</v>
      </c>
      <c r="AE19" s="840">
        <f>'４．ガス単位換算_～R6工場現場'!AZ39</f>
        <v>0</v>
      </c>
      <c r="AF19" s="840">
        <f>'４．ガス単位換算_～R6工場現場'!BA39</f>
        <v>0</v>
      </c>
      <c r="AG19" s="840">
        <f>'４．ガス単位換算_～R6工場現場'!BB39</f>
        <v>0</v>
      </c>
      <c r="AH19" s="840">
        <f>'４．ガス単位換算_～R6工場現場'!BC39</f>
        <v>0</v>
      </c>
      <c r="AI19" s="839"/>
      <c r="AJ19" s="839"/>
      <c r="AK19" s="839"/>
      <c r="AL19" s="839"/>
      <c r="AM19" s="839"/>
      <c r="AN19" s="839"/>
      <c r="AO19" s="839"/>
      <c r="AP19" s="839"/>
      <c r="AQ19" s="839"/>
      <c r="AR19" s="839"/>
      <c r="AS19" s="839"/>
      <c r="AT19" s="839"/>
      <c r="AU19" s="839"/>
      <c r="AV19" s="839"/>
      <c r="AW19" s="839"/>
      <c r="AX19" s="839"/>
      <c r="AY19" s="839"/>
      <c r="AZ19" s="839"/>
      <c r="BA19" s="839"/>
      <c r="BB19" s="839"/>
      <c r="BC19" s="839"/>
      <c r="BD19" s="839"/>
      <c r="BE19" s="839"/>
      <c r="BF19" s="839"/>
      <c r="BG19" s="839"/>
      <c r="BH19" s="839"/>
      <c r="BI19" s="839"/>
      <c r="BJ19" s="840">
        <f t="shared" si="0"/>
        <v>0</v>
      </c>
      <c r="BK19" s="840">
        <f t="shared" si="0"/>
        <v>0</v>
      </c>
      <c r="BL19" s="840">
        <f t="shared" si="0"/>
        <v>0</v>
      </c>
      <c r="BM19" s="840">
        <f t="shared" si="0"/>
        <v>0</v>
      </c>
      <c r="BN19" s="840">
        <f t="shared" si="0"/>
        <v>0</v>
      </c>
      <c r="BO19" s="840">
        <f t="shared" si="0"/>
        <v>0</v>
      </c>
      <c r="BP19" s="840">
        <f t="shared" si="0"/>
        <v>0</v>
      </c>
      <c r="BQ19" s="840">
        <f t="shared" si="0"/>
        <v>0</v>
      </c>
      <c r="BR19" s="840">
        <f t="shared" si="0"/>
        <v>0</v>
      </c>
      <c r="BS19" s="840">
        <f t="shared" si="0"/>
        <v>0</v>
      </c>
      <c r="BT19" s="840">
        <f t="shared" si="0"/>
        <v>0</v>
      </c>
      <c r="BU19" s="840">
        <f t="shared" si="0"/>
        <v>0</v>
      </c>
      <c r="BV19" s="840">
        <f t="shared" si="0"/>
        <v>0</v>
      </c>
      <c r="BW19" s="840">
        <f t="shared" si="0"/>
        <v>0</v>
      </c>
      <c r="BX19" s="840">
        <f t="shared" si="0"/>
        <v>0</v>
      </c>
      <c r="BY19" s="840">
        <f t="shared" si="0"/>
        <v>0</v>
      </c>
      <c r="BZ19" s="840">
        <f t="shared" si="1"/>
        <v>0</v>
      </c>
      <c r="CA19" s="840">
        <f t="shared" si="1"/>
        <v>0</v>
      </c>
      <c r="CB19" s="840">
        <f t="shared" si="1"/>
        <v>0</v>
      </c>
      <c r="CC19" s="840">
        <f t="shared" si="1"/>
        <v>0</v>
      </c>
      <c r="CD19" s="840">
        <f t="shared" si="1"/>
        <v>0</v>
      </c>
      <c r="CE19" s="840">
        <f t="shared" si="1"/>
        <v>0</v>
      </c>
      <c r="CF19" s="840">
        <f t="shared" si="1"/>
        <v>0</v>
      </c>
      <c r="CG19" s="840">
        <f t="shared" si="2"/>
        <v>1</v>
      </c>
      <c r="CH19" s="847" t="s">
        <v>2235</v>
      </c>
      <c r="CI19" s="840">
        <f t="shared" si="11"/>
        <v>0</v>
      </c>
      <c r="CJ19" s="840">
        <f t="shared" si="3"/>
        <v>0</v>
      </c>
      <c r="CK19" s="840">
        <f t="shared" si="3"/>
        <v>0</v>
      </c>
      <c r="CL19" s="840">
        <f t="shared" si="3"/>
        <v>0</v>
      </c>
      <c r="CM19" s="840">
        <f t="shared" si="3"/>
        <v>0</v>
      </c>
      <c r="CN19" s="840">
        <f t="shared" si="3"/>
        <v>0</v>
      </c>
      <c r="CO19" s="840">
        <f t="shared" si="3"/>
        <v>0</v>
      </c>
      <c r="CP19" s="840">
        <f t="shared" si="3"/>
        <v>0</v>
      </c>
      <c r="CQ19" s="840">
        <f t="shared" si="3"/>
        <v>0</v>
      </c>
      <c r="CR19" s="840">
        <f t="shared" si="3"/>
        <v>0</v>
      </c>
      <c r="CS19" s="840">
        <f t="shared" si="3"/>
        <v>0</v>
      </c>
      <c r="CT19" s="840">
        <f t="shared" si="3"/>
        <v>0</v>
      </c>
      <c r="CU19" s="840">
        <f t="shared" si="3"/>
        <v>0</v>
      </c>
      <c r="CV19" s="840">
        <f t="shared" si="3"/>
        <v>0</v>
      </c>
      <c r="CW19" s="840">
        <f t="shared" si="3"/>
        <v>0</v>
      </c>
      <c r="CX19" s="840">
        <f t="shared" si="3"/>
        <v>0</v>
      </c>
      <c r="CY19" s="840">
        <f t="shared" si="3"/>
        <v>0</v>
      </c>
      <c r="CZ19" s="840">
        <f t="shared" si="4"/>
        <v>0</v>
      </c>
      <c r="DA19" s="840">
        <f t="shared" si="4"/>
        <v>0</v>
      </c>
      <c r="DB19" s="840">
        <f t="shared" si="4"/>
        <v>0</v>
      </c>
      <c r="DC19" s="840">
        <f t="shared" si="4"/>
        <v>0</v>
      </c>
      <c r="DD19" s="840">
        <f t="shared" si="4"/>
        <v>0</v>
      </c>
      <c r="DE19" s="840">
        <f t="shared" si="4"/>
        <v>0</v>
      </c>
      <c r="DF19" s="840">
        <f t="shared" si="5"/>
        <v>0</v>
      </c>
      <c r="DG19" s="840">
        <f t="shared" si="5"/>
        <v>0</v>
      </c>
      <c r="DH19" s="840">
        <f t="shared" si="5"/>
        <v>0</v>
      </c>
      <c r="DI19" s="840">
        <f t="shared" si="5"/>
        <v>0</v>
      </c>
      <c r="DJ19" s="840">
        <f t="shared" si="5"/>
        <v>0</v>
      </c>
      <c r="DK19" s="840">
        <f t="shared" si="5"/>
        <v>0</v>
      </c>
      <c r="DL19" s="840">
        <f t="shared" si="5"/>
        <v>0</v>
      </c>
      <c r="DM19" s="840">
        <f t="shared" si="5"/>
        <v>0</v>
      </c>
      <c r="DN19" s="840">
        <f t="shared" si="5"/>
        <v>0</v>
      </c>
      <c r="DO19" s="840">
        <f t="shared" si="5"/>
        <v>0</v>
      </c>
      <c r="DP19" s="840">
        <f t="shared" si="5"/>
        <v>0</v>
      </c>
      <c r="DQ19" s="840">
        <f t="shared" si="5"/>
        <v>0</v>
      </c>
      <c r="DR19" s="840">
        <f t="shared" si="5"/>
        <v>0</v>
      </c>
      <c r="DS19" s="840">
        <f t="shared" si="5"/>
        <v>0</v>
      </c>
      <c r="DT19" s="840">
        <f t="shared" si="5"/>
        <v>0</v>
      </c>
      <c r="DU19" s="840">
        <f t="shared" si="5"/>
        <v>0</v>
      </c>
      <c r="DV19" s="840">
        <f t="shared" si="6"/>
        <v>0</v>
      </c>
      <c r="DW19" s="840">
        <f t="shared" si="6"/>
        <v>0</v>
      </c>
      <c r="DX19" s="840">
        <f t="shared" si="6"/>
        <v>0</v>
      </c>
      <c r="DY19" s="840">
        <f t="shared" si="6"/>
        <v>0</v>
      </c>
      <c r="DZ19" s="840">
        <f t="shared" si="6"/>
        <v>0</v>
      </c>
      <c r="EA19" s="840">
        <f t="shared" si="6"/>
        <v>0</v>
      </c>
      <c r="EB19" s="840">
        <f t="shared" si="6"/>
        <v>0</v>
      </c>
      <c r="EC19" s="840">
        <f t="shared" si="7"/>
        <v>0</v>
      </c>
      <c r="ED19" s="840">
        <f t="shared" si="7"/>
        <v>0</v>
      </c>
      <c r="EE19" s="840">
        <f t="shared" si="7"/>
        <v>0</v>
      </c>
      <c r="EF19" s="840">
        <f t="shared" si="7"/>
        <v>0</v>
      </c>
      <c r="EG19" s="840">
        <f t="shared" si="7"/>
        <v>0</v>
      </c>
      <c r="EH19" s="840">
        <f t="shared" si="7"/>
        <v>0</v>
      </c>
      <c r="EI19" s="840">
        <f t="shared" si="7"/>
        <v>0</v>
      </c>
      <c r="EJ19" s="840">
        <f t="shared" si="7"/>
        <v>0</v>
      </c>
      <c r="EK19" s="840">
        <f t="shared" si="7"/>
        <v>0</v>
      </c>
      <c r="EL19" s="840">
        <f t="shared" si="7"/>
        <v>0</v>
      </c>
      <c r="EM19" s="840">
        <f t="shared" si="7"/>
        <v>0</v>
      </c>
      <c r="EN19" s="840">
        <f t="shared" si="7"/>
        <v>0</v>
      </c>
      <c r="EO19" s="840">
        <f t="shared" si="7"/>
        <v>0</v>
      </c>
      <c r="EP19" s="840">
        <f t="shared" si="7"/>
        <v>0</v>
      </c>
      <c r="EQ19" s="840">
        <f t="shared" si="7"/>
        <v>0</v>
      </c>
      <c r="ER19" s="840">
        <f t="shared" si="7"/>
        <v>0</v>
      </c>
      <c r="ES19" s="840">
        <f t="shared" si="8"/>
        <v>0</v>
      </c>
      <c r="ET19" s="840">
        <f t="shared" si="8"/>
        <v>0</v>
      </c>
      <c r="EU19" s="840">
        <f t="shared" si="8"/>
        <v>0</v>
      </c>
      <c r="EV19" s="840">
        <f t="shared" si="8"/>
        <v>0</v>
      </c>
      <c r="EW19" s="840">
        <f t="shared" si="8"/>
        <v>0</v>
      </c>
      <c r="EX19" s="840">
        <f t="shared" si="8"/>
        <v>0</v>
      </c>
      <c r="EY19" s="840">
        <f t="shared" si="8"/>
        <v>0</v>
      </c>
      <c r="EZ19" s="842">
        <f t="shared" si="9"/>
        <v>0</v>
      </c>
      <c r="FA19" s="842">
        <f t="shared" si="9"/>
        <v>0</v>
      </c>
      <c r="FB19" s="842">
        <f t="shared" si="9"/>
        <v>0</v>
      </c>
      <c r="FC19" s="842">
        <f t="shared" si="9"/>
        <v>0</v>
      </c>
      <c r="FD19" s="842">
        <f t="shared" si="9"/>
        <v>0</v>
      </c>
      <c r="FE19" s="842">
        <f t="shared" si="9"/>
        <v>0</v>
      </c>
      <c r="FF19" s="842">
        <f t="shared" si="9"/>
        <v>0</v>
      </c>
      <c r="FG19" s="842">
        <f t="shared" si="9"/>
        <v>0</v>
      </c>
      <c r="FH19" s="842">
        <f t="shared" si="9"/>
        <v>0</v>
      </c>
      <c r="FI19" s="842">
        <f t="shared" si="9"/>
        <v>0</v>
      </c>
      <c r="FJ19" s="842">
        <f t="shared" si="9"/>
        <v>0</v>
      </c>
      <c r="FK19" s="842">
        <f t="shared" si="9"/>
        <v>0</v>
      </c>
      <c r="FL19" s="842">
        <f t="shared" si="9"/>
        <v>0</v>
      </c>
      <c r="FM19" s="842">
        <f t="shared" si="9"/>
        <v>0</v>
      </c>
      <c r="FN19" s="842">
        <f t="shared" si="9"/>
        <v>0</v>
      </c>
      <c r="FO19" s="842">
        <f t="shared" si="9"/>
        <v>0</v>
      </c>
      <c r="FP19" s="842">
        <f t="shared" si="10"/>
        <v>0</v>
      </c>
      <c r="FQ19" s="842">
        <f t="shared" si="10"/>
        <v>0</v>
      </c>
      <c r="FR19" s="842">
        <f t="shared" si="10"/>
        <v>0</v>
      </c>
      <c r="FS19" s="842">
        <f t="shared" si="10"/>
        <v>0</v>
      </c>
      <c r="FT19" s="842">
        <f t="shared" si="10"/>
        <v>0</v>
      </c>
      <c r="FU19" s="842">
        <f t="shared" si="10"/>
        <v>0</v>
      </c>
      <c r="FV19" s="842">
        <f t="shared" si="10"/>
        <v>0</v>
      </c>
      <c r="FW19" s="843">
        <v>43.5</v>
      </c>
      <c r="FX19" s="848" t="s">
        <v>2236</v>
      </c>
      <c r="FY19" s="843">
        <v>1.3899999999999999E-2</v>
      </c>
      <c r="FZ19" s="844" t="s">
        <v>2232</v>
      </c>
      <c r="GC19" s="772">
        <v>2.58E-2</v>
      </c>
      <c r="GD19" s="772" t="s">
        <v>2239</v>
      </c>
    </row>
    <row r="20" spans="3:186" ht="23.25" customHeight="1">
      <c r="C20" s="1487"/>
      <c r="D20" s="1485" t="s">
        <v>68</v>
      </c>
      <c r="E20" s="1485" t="s">
        <v>2240</v>
      </c>
      <c r="F20" s="1485"/>
      <c r="G20" s="838" t="s">
        <v>300</v>
      </c>
      <c r="H20" s="839"/>
      <c r="I20" s="839"/>
      <c r="J20" s="839"/>
      <c r="K20" s="839"/>
      <c r="L20" s="839"/>
      <c r="M20" s="839"/>
      <c r="N20" s="839"/>
      <c r="O20" s="839"/>
      <c r="P20" s="839"/>
      <c r="Q20" s="839"/>
      <c r="R20" s="839"/>
      <c r="S20" s="839"/>
      <c r="T20" s="839"/>
      <c r="U20" s="839"/>
      <c r="V20" s="839"/>
      <c r="W20" s="839"/>
      <c r="X20" s="839"/>
      <c r="Y20" s="839"/>
      <c r="Z20" s="839"/>
      <c r="AA20" s="839"/>
      <c r="AB20" s="839"/>
      <c r="AC20" s="839"/>
      <c r="AD20" s="839"/>
      <c r="AE20" s="839"/>
      <c r="AF20" s="839"/>
      <c r="AG20" s="839"/>
      <c r="AH20" s="839"/>
      <c r="AI20" s="839"/>
      <c r="AJ20" s="839"/>
      <c r="AK20" s="839"/>
      <c r="AL20" s="839"/>
      <c r="AM20" s="839"/>
      <c r="AN20" s="839"/>
      <c r="AO20" s="839"/>
      <c r="AP20" s="839"/>
      <c r="AQ20" s="839"/>
      <c r="AR20" s="839"/>
      <c r="AS20" s="839"/>
      <c r="AT20" s="839"/>
      <c r="AU20" s="839"/>
      <c r="AV20" s="839"/>
      <c r="AW20" s="839"/>
      <c r="AX20" s="839"/>
      <c r="AY20" s="839"/>
      <c r="AZ20" s="839"/>
      <c r="BA20" s="839"/>
      <c r="BB20" s="839"/>
      <c r="BC20" s="839"/>
      <c r="BD20" s="839"/>
      <c r="BE20" s="839"/>
      <c r="BF20" s="839"/>
      <c r="BG20" s="839"/>
      <c r="BH20" s="839"/>
      <c r="BI20" s="839"/>
      <c r="BJ20" s="840">
        <f t="shared" si="0"/>
        <v>0</v>
      </c>
      <c r="BK20" s="840">
        <f t="shared" si="0"/>
        <v>0</v>
      </c>
      <c r="BL20" s="840">
        <f t="shared" si="0"/>
        <v>0</v>
      </c>
      <c r="BM20" s="840">
        <f t="shared" si="0"/>
        <v>0</v>
      </c>
      <c r="BN20" s="840">
        <f t="shared" si="0"/>
        <v>0</v>
      </c>
      <c r="BO20" s="840">
        <f t="shared" si="0"/>
        <v>0</v>
      </c>
      <c r="BP20" s="840">
        <f t="shared" si="0"/>
        <v>0</v>
      </c>
      <c r="BQ20" s="840">
        <f t="shared" si="0"/>
        <v>0</v>
      </c>
      <c r="BR20" s="840">
        <f t="shared" si="0"/>
        <v>0</v>
      </c>
      <c r="BS20" s="840">
        <f t="shared" si="0"/>
        <v>0</v>
      </c>
      <c r="BT20" s="840">
        <f t="shared" si="0"/>
        <v>0</v>
      </c>
      <c r="BU20" s="840">
        <f t="shared" si="0"/>
        <v>0</v>
      </c>
      <c r="BV20" s="840">
        <f t="shared" si="0"/>
        <v>0</v>
      </c>
      <c r="BW20" s="840">
        <f t="shared" si="0"/>
        <v>0</v>
      </c>
      <c r="BX20" s="840">
        <f t="shared" si="0"/>
        <v>0</v>
      </c>
      <c r="BY20" s="840">
        <f t="shared" si="0"/>
        <v>0</v>
      </c>
      <c r="BZ20" s="840">
        <f t="shared" si="1"/>
        <v>0</v>
      </c>
      <c r="CA20" s="840">
        <f t="shared" si="1"/>
        <v>0</v>
      </c>
      <c r="CB20" s="840">
        <f t="shared" si="1"/>
        <v>0</v>
      </c>
      <c r="CC20" s="840">
        <f t="shared" si="1"/>
        <v>0</v>
      </c>
      <c r="CD20" s="840">
        <f t="shared" si="1"/>
        <v>0</v>
      </c>
      <c r="CE20" s="840">
        <f t="shared" si="1"/>
        <v>0</v>
      </c>
      <c r="CF20" s="840">
        <f t="shared" si="1"/>
        <v>0</v>
      </c>
      <c r="CG20" s="840">
        <f t="shared" si="2"/>
        <v>1000</v>
      </c>
      <c r="CH20" s="841" t="s">
        <v>194</v>
      </c>
      <c r="CI20" s="840">
        <f t="shared" si="11"/>
        <v>0</v>
      </c>
      <c r="CJ20" s="840">
        <f t="shared" si="3"/>
        <v>0</v>
      </c>
      <c r="CK20" s="840">
        <f t="shared" si="3"/>
        <v>0</v>
      </c>
      <c r="CL20" s="840">
        <f t="shared" si="3"/>
        <v>0</v>
      </c>
      <c r="CM20" s="840">
        <f t="shared" si="3"/>
        <v>0</v>
      </c>
      <c r="CN20" s="840">
        <f t="shared" si="3"/>
        <v>0</v>
      </c>
      <c r="CO20" s="840">
        <f t="shared" si="3"/>
        <v>0</v>
      </c>
      <c r="CP20" s="840">
        <f t="shared" si="3"/>
        <v>0</v>
      </c>
      <c r="CQ20" s="840">
        <f t="shared" si="3"/>
        <v>0</v>
      </c>
      <c r="CR20" s="840">
        <f t="shared" si="3"/>
        <v>0</v>
      </c>
      <c r="CS20" s="840">
        <f t="shared" si="3"/>
        <v>0</v>
      </c>
      <c r="CT20" s="840">
        <f t="shared" si="3"/>
        <v>0</v>
      </c>
      <c r="CU20" s="840">
        <f t="shared" si="3"/>
        <v>0</v>
      </c>
      <c r="CV20" s="840">
        <f t="shared" si="3"/>
        <v>0</v>
      </c>
      <c r="CW20" s="840">
        <f t="shared" si="3"/>
        <v>0</v>
      </c>
      <c r="CX20" s="840">
        <f t="shared" si="3"/>
        <v>0</v>
      </c>
      <c r="CY20" s="840">
        <f t="shared" si="3"/>
        <v>0</v>
      </c>
      <c r="CZ20" s="840">
        <f t="shared" si="4"/>
        <v>0</v>
      </c>
      <c r="DA20" s="840">
        <f t="shared" si="4"/>
        <v>0</v>
      </c>
      <c r="DB20" s="840">
        <f t="shared" si="4"/>
        <v>0</v>
      </c>
      <c r="DC20" s="840">
        <f t="shared" si="4"/>
        <v>0</v>
      </c>
      <c r="DD20" s="840">
        <f t="shared" si="4"/>
        <v>0</v>
      </c>
      <c r="DE20" s="840">
        <f t="shared" si="4"/>
        <v>0</v>
      </c>
      <c r="DF20" s="840">
        <f t="shared" si="5"/>
        <v>0</v>
      </c>
      <c r="DG20" s="840">
        <f t="shared" si="5"/>
        <v>0</v>
      </c>
      <c r="DH20" s="840">
        <f t="shared" si="5"/>
        <v>0</v>
      </c>
      <c r="DI20" s="840">
        <f t="shared" si="5"/>
        <v>0</v>
      </c>
      <c r="DJ20" s="840">
        <f t="shared" si="5"/>
        <v>0</v>
      </c>
      <c r="DK20" s="840">
        <f t="shared" si="5"/>
        <v>0</v>
      </c>
      <c r="DL20" s="840">
        <f t="shared" si="5"/>
        <v>0</v>
      </c>
      <c r="DM20" s="840">
        <f t="shared" si="5"/>
        <v>0</v>
      </c>
      <c r="DN20" s="840">
        <f t="shared" si="5"/>
        <v>0</v>
      </c>
      <c r="DO20" s="840">
        <f t="shared" si="5"/>
        <v>0</v>
      </c>
      <c r="DP20" s="840">
        <f t="shared" si="5"/>
        <v>0</v>
      </c>
      <c r="DQ20" s="840">
        <f t="shared" si="5"/>
        <v>0</v>
      </c>
      <c r="DR20" s="840">
        <f t="shared" si="5"/>
        <v>0</v>
      </c>
      <c r="DS20" s="840">
        <f t="shared" si="5"/>
        <v>0</v>
      </c>
      <c r="DT20" s="840">
        <f t="shared" si="5"/>
        <v>0</v>
      </c>
      <c r="DU20" s="840">
        <f t="shared" si="5"/>
        <v>0</v>
      </c>
      <c r="DV20" s="840">
        <f t="shared" si="6"/>
        <v>0</v>
      </c>
      <c r="DW20" s="840">
        <f t="shared" si="6"/>
        <v>0</v>
      </c>
      <c r="DX20" s="840">
        <f t="shared" si="6"/>
        <v>0</v>
      </c>
      <c r="DY20" s="840">
        <f t="shared" si="6"/>
        <v>0</v>
      </c>
      <c r="DZ20" s="840">
        <f t="shared" si="6"/>
        <v>0</v>
      </c>
      <c r="EA20" s="840">
        <f t="shared" si="6"/>
        <v>0</v>
      </c>
      <c r="EB20" s="840">
        <f t="shared" si="6"/>
        <v>0</v>
      </c>
      <c r="EC20" s="840">
        <f t="shared" si="7"/>
        <v>0</v>
      </c>
      <c r="ED20" s="840">
        <f t="shared" si="7"/>
        <v>0</v>
      </c>
      <c r="EE20" s="840">
        <f t="shared" si="7"/>
        <v>0</v>
      </c>
      <c r="EF20" s="840">
        <f t="shared" si="7"/>
        <v>0</v>
      </c>
      <c r="EG20" s="840">
        <f t="shared" si="7"/>
        <v>0</v>
      </c>
      <c r="EH20" s="840">
        <f t="shared" si="7"/>
        <v>0</v>
      </c>
      <c r="EI20" s="840">
        <f t="shared" si="7"/>
        <v>0</v>
      </c>
      <c r="EJ20" s="840">
        <f t="shared" si="7"/>
        <v>0</v>
      </c>
      <c r="EK20" s="840">
        <f t="shared" si="7"/>
        <v>0</v>
      </c>
      <c r="EL20" s="840">
        <f t="shared" si="7"/>
        <v>0</v>
      </c>
      <c r="EM20" s="840">
        <f t="shared" si="7"/>
        <v>0</v>
      </c>
      <c r="EN20" s="840">
        <f t="shared" si="7"/>
        <v>0</v>
      </c>
      <c r="EO20" s="840">
        <f t="shared" si="7"/>
        <v>0</v>
      </c>
      <c r="EP20" s="840">
        <f t="shared" si="7"/>
        <v>0</v>
      </c>
      <c r="EQ20" s="840">
        <f t="shared" si="7"/>
        <v>0</v>
      </c>
      <c r="ER20" s="840">
        <f t="shared" si="7"/>
        <v>0</v>
      </c>
      <c r="ES20" s="840">
        <f t="shared" si="8"/>
        <v>0</v>
      </c>
      <c r="ET20" s="840">
        <f t="shared" si="8"/>
        <v>0</v>
      </c>
      <c r="EU20" s="840">
        <f t="shared" si="8"/>
        <v>0</v>
      </c>
      <c r="EV20" s="840">
        <f t="shared" si="8"/>
        <v>0</v>
      </c>
      <c r="EW20" s="840">
        <f t="shared" si="8"/>
        <v>0</v>
      </c>
      <c r="EX20" s="840">
        <f t="shared" si="8"/>
        <v>0</v>
      </c>
      <c r="EY20" s="840">
        <f t="shared" si="8"/>
        <v>0</v>
      </c>
      <c r="EZ20" s="842">
        <f t="shared" si="9"/>
        <v>0</v>
      </c>
      <c r="FA20" s="842">
        <f t="shared" si="9"/>
        <v>0</v>
      </c>
      <c r="FB20" s="842">
        <f t="shared" si="9"/>
        <v>0</v>
      </c>
      <c r="FC20" s="842">
        <f t="shared" si="9"/>
        <v>0</v>
      </c>
      <c r="FD20" s="842">
        <f t="shared" si="9"/>
        <v>0</v>
      </c>
      <c r="FE20" s="842">
        <f t="shared" si="9"/>
        <v>0</v>
      </c>
      <c r="FF20" s="842">
        <f t="shared" si="9"/>
        <v>0</v>
      </c>
      <c r="FG20" s="842">
        <f t="shared" si="9"/>
        <v>0</v>
      </c>
      <c r="FH20" s="842">
        <f t="shared" si="9"/>
        <v>0</v>
      </c>
      <c r="FI20" s="842">
        <f t="shared" si="9"/>
        <v>0</v>
      </c>
      <c r="FJ20" s="842">
        <f t="shared" si="9"/>
        <v>0</v>
      </c>
      <c r="FK20" s="842">
        <f t="shared" si="9"/>
        <v>0</v>
      </c>
      <c r="FL20" s="842">
        <f t="shared" si="9"/>
        <v>0</v>
      </c>
      <c r="FM20" s="842">
        <f t="shared" si="9"/>
        <v>0</v>
      </c>
      <c r="FN20" s="842">
        <f t="shared" si="9"/>
        <v>0</v>
      </c>
      <c r="FO20" s="842">
        <f t="shared" si="9"/>
        <v>0</v>
      </c>
      <c r="FP20" s="842">
        <f t="shared" si="10"/>
        <v>0</v>
      </c>
      <c r="FQ20" s="842">
        <f t="shared" si="10"/>
        <v>0</v>
      </c>
      <c r="FR20" s="842">
        <f t="shared" si="10"/>
        <v>0</v>
      </c>
      <c r="FS20" s="842">
        <f t="shared" si="10"/>
        <v>0</v>
      </c>
      <c r="FT20" s="842">
        <f t="shared" si="10"/>
        <v>0</v>
      </c>
      <c r="FU20" s="842">
        <f t="shared" si="10"/>
        <v>0</v>
      </c>
      <c r="FV20" s="842">
        <f t="shared" si="10"/>
        <v>0</v>
      </c>
      <c r="FW20" s="850">
        <v>29</v>
      </c>
      <c r="FX20" s="788" t="s">
        <v>179</v>
      </c>
      <c r="FY20" s="843">
        <v>2.4500000000000001E-2</v>
      </c>
      <c r="FZ20" s="844" t="s">
        <v>2232</v>
      </c>
    </row>
    <row r="21" spans="3:186" ht="23.25" customHeight="1">
      <c r="C21" s="1487"/>
      <c r="D21" s="1485"/>
      <c r="E21" s="1485" t="s">
        <v>2241</v>
      </c>
      <c r="F21" s="1485"/>
      <c r="G21" s="838" t="s">
        <v>300</v>
      </c>
      <c r="H21" s="839"/>
      <c r="I21" s="839"/>
      <c r="J21" s="839"/>
      <c r="K21" s="839"/>
      <c r="L21" s="839"/>
      <c r="M21" s="839"/>
      <c r="N21" s="839"/>
      <c r="O21" s="839"/>
      <c r="P21" s="839"/>
      <c r="Q21" s="839"/>
      <c r="R21" s="839"/>
      <c r="S21" s="839"/>
      <c r="T21" s="839"/>
      <c r="U21" s="839"/>
      <c r="V21" s="839"/>
      <c r="W21" s="839"/>
      <c r="X21" s="839"/>
      <c r="Y21" s="839"/>
      <c r="Z21" s="839"/>
      <c r="AA21" s="839"/>
      <c r="AB21" s="839"/>
      <c r="AC21" s="839"/>
      <c r="AD21" s="839"/>
      <c r="AE21" s="839"/>
      <c r="AF21" s="839"/>
      <c r="AG21" s="839"/>
      <c r="AH21" s="839"/>
      <c r="AI21" s="839"/>
      <c r="AJ21" s="839"/>
      <c r="AK21" s="839"/>
      <c r="AL21" s="839"/>
      <c r="AM21" s="839"/>
      <c r="AN21" s="839"/>
      <c r="AO21" s="839"/>
      <c r="AP21" s="839"/>
      <c r="AQ21" s="839"/>
      <c r="AR21" s="839"/>
      <c r="AS21" s="839"/>
      <c r="AT21" s="839"/>
      <c r="AU21" s="839"/>
      <c r="AV21" s="839"/>
      <c r="AW21" s="839"/>
      <c r="AX21" s="839"/>
      <c r="AY21" s="839"/>
      <c r="AZ21" s="839"/>
      <c r="BA21" s="839"/>
      <c r="BB21" s="839"/>
      <c r="BC21" s="839"/>
      <c r="BD21" s="839"/>
      <c r="BE21" s="839"/>
      <c r="BF21" s="839"/>
      <c r="BG21" s="839"/>
      <c r="BH21" s="839"/>
      <c r="BI21" s="839"/>
      <c r="BJ21" s="840">
        <f t="shared" si="0"/>
        <v>0</v>
      </c>
      <c r="BK21" s="840">
        <f t="shared" si="0"/>
        <v>0</v>
      </c>
      <c r="BL21" s="840">
        <f t="shared" si="0"/>
        <v>0</v>
      </c>
      <c r="BM21" s="840">
        <f t="shared" si="0"/>
        <v>0</v>
      </c>
      <c r="BN21" s="840">
        <f t="shared" si="0"/>
        <v>0</v>
      </c>
      <c r="BO21" s="840">
        <f t="shared" si="0"/>
        <v>0</v>
      </c>
      <c r="BP21" s="840">
        <f t="shared" si="0"/>
        <v>0</v>
      </c>
      <c r="BQ21" s="840">
        <f t="shared" si="0"/>
        <v>0</v>
      </c>
      <c r="BR21" s="840">
        <f t="shared" si="0"/>
        <v>0</v>
      </c>
      <c r="BS21" s="840">
        <f t="shared" si="0"/>
        <v>0</v>
      </c>
      <c r="BT21" s="840">
        <f t="shared" si="0"/>
        <v>0</v>
      </c>
      <c r="BU21" s="840">
        <f t="shared" si="0"/>
        <v>0</v>
      </c>
      <c r="BV21" s="840">
        <f t="shared" si="0"/>
        <v>0</v>
      </c>
      <c r="BW21" s="840">
        <f t="shared" si="0"/>
        <v>0</v>
      </c>
      <c r="BX21" s="840">
        <f t="shared" si="0"/>
        <v>0</v>
      </c>
      <c r="BY21" s="840">
        <f t="shared" ref="BY21:CB46" si="12">AA21-BB21</f>
        <v>0</v>
      </c>
      <c r="BZ21" s="840">
        <f t="shared" si="1"/>
        <v>0</v>
      </c>
      <c r="CA21" s="840">
        <f t="shared" si="1"/>
        <v>0</v>
      </c>
      <c r="CB21" s="840">
        <f t="shared" si="1"/>
        <v>0</v>
      </c>
      <c r="CC21" s="840">
        <f t="shared" si="1"/>
        <v>0</v>
      </c>
      <c r="CD21" s="840">
        <f t="shared" si="1"/>
        <v>0</v>
      </c>
      <c r="CE21" s="840">
        <f t="shared" si="1"/>
        <v>0</v>
      </c>
      <c r="CF21" s="840">
        <f t="shared" si="1"/>
        <v>0</v>
      </c>
      <c r="CG21" s="840">
        <f t="shared" si="2"/>
        <v>1000</v>
      </c>
      <c r="CH21" s="841" t="s">
        <v>194</v>
      </c>
      <c r="CI21" s="840">
        <f t="shared" si="11"/>
        <v>0</v>
      </c>
      <c r="CJ21" s="840">
        <f t="shared" si="3"/>
        <v>0</v>
      </c>
      <c r="CK21" s="840">
        <f t="shared" si="3"/>
        <v>0</v>
      </c>
      <c r="CL21" s="840">
        <f t="shared" si="3"/>
        <v>0</v>
      </c>
      <c r="CM21" s="840">
        <f t="shared" si="3"/>
        <v>0</v>
      </c>
      <c r="CN21" s="840">
        <f t="shared" si="3"/>
        <v>0</v>
      </c>
      <c r="CO21" s="840">
        <f t="shared" si="3"/>
        <v>0</v>
      </c>
      <c r="CP21" s="840">
        <f t="shared" si="3"/>
        <v>0</v>
      </c>
      <c r="CQ21" s="840">
        <f t="shared" si="3"/>
        <v>0</v>
      </c>
      <c r="CR21" s="840">
        <f t="shared" si="3"/>
        <v>0</v>
      </c>
      <c r="CS21" s="840">
        <f t="shared" si="3"/>
        <v>0</v>
      </c>
      <c r="CT21" s="840">
        <f t="shared" si="3"/>
        <v>0</v>
      </c>
      <c r="CU21" s="840">
        <f t="shared" si="3"/>
        <v>0</v>
      </c>
      <c r="CV21" s="840">
        <f t="shared" si="3"/>
        <v>0</v>
      </c>
      <c r="CW21" s="840">
        <f t="shared" si="3"/>
        <v>0</v>
      </c>
      <c r="CX21" s="840">
        <f t="shared" si="3"/>
        <v>0</v>
      </c>
      <c r="CY21" s="840">
        <f t="shared" ref="CY21:DE32" si="13">ROUND(BZ21/$CG21,0)</f>
        <v>0</v>
      </c>
      <c r="CZ21" s="840">
        <f t="shared" si="4"/>
        <v>0</v>
      </c>
      <c r="DA21" s="840">
        <f t="shared" si="4"/>
        <v>0</v>
      </c>
      <c r="DB21" s="840">
        <f t="shared" si="4"/>
        <v>0</v>
      </c>
      <c r="DC21" s="840">
        <f t="shared" si="4"/>
        <v>0</v>
      </c>
      <c r="DD21" s="840">
        <f t="shared" si="4"/>
        <v>0</v>
      </c>
      <c r="DE21" s="840">
        <f t="shared" si="4"/>
        <v>0</v>
      </c>
      <c r="DF21" s="840">
        <f t="shared" si="5"/>
        <v>0</v>
      </c>
      <c r="DG21" s="840">
        <f t="shared" si="5"/>
        <v>0</v>
      </c>
      <c r="DH21" s="840">
        <f t="shared" si="5"/>
        <v>0</v>
      </c>
      <c r="DI21" s="840">
        <f t="shared" si="5"/>
        <v>0</v>
      </c>
      <c r="DJ21" s="840">
        <f t="shared" si="5"/>
        <v>0</v>
      </c>
      <c r="DK21" s="840">
        <f t="shared" si="5"/>
        <v>0</v>
      </c>
      <c r="DL21" s="840">
        <f t="shared" si="5"/>
        <v>0</v>
      </c>
      <c r="DM21" s="840">
        <f t="shared" si="5"/>
        <v>0</v>
      </c>
      <c r="DN21" s="840">
        <f t="shared" si="5"/>
        <v>0</v>
      </c>
      <c r="DO21" s="840">
        <f t="shared" si="5"/>
        <v>0</v>
      </c>
      <c r="DP21" s="840">
        <f t="shared" si="5"/>
        <v>0</v>
      </c>
      <c r="DQ21" s="840">
        <f t="shared" si="5"/>
        <v>0</v>
      </c>
      <c r="DR21" s="840">
        <f t="shared" si="5"/>
        <v>0</v>
      </c>
      <c r="DS21" s="840">
        <f t="shared" si="5"/>
        <v>0</v>
      </c>
      <c r="DT21" s="840">
        <f t="shared" si="5"/>
        <v>0</v>
      </c>
      <c r="DU21" s="840">
        <f t="shared" ref="DU21:DU34" si="14">CX21*$FW21</f>
        <v>0</v>
      </c>
      <c r="DV21" s="840">
        <f t="shared" si="6"/>
        <v>0</v>
      </c>
      <c r="DW21" s="840">
        <f t="shared" si="6"/>
        <v>0</v>
      </c>
      <c r="DX21" s="840">
        <f t="shared" si="6"/>
        <v>0</v>
      </c>
      <c r="DY21" s="840">
        <f t="shared" si="6"/>
        <v>0</v>
      </c>
      <c r="DZ21" s="840">
        <f t="shared" si="6"/>
        <v>0</v>
      </c>
      <c r="EA21" s="840">
        <f t="shared" si="6"/>
        <v>0</v>
      </c>
      <c r="EB21" s="840">
        <f t="shared" si="6"/>
        <v>0</v>
      </c>
      <c r="EC21" s="840">
        <f t="shared" si="7"/>
        <v>0</v>
      </c>
      <c r="ED21" s="840">
        <f t="shared" si="7"/>
        <v>0</v>
      </c>
      <c r="EE21" s="840">
        <f t="shared" si="7"/>
        <v>0</v>
      </c>
      <c r="EF21" s="840">
        <f t="shared" si="7"/>
        <v>0</v>
      </c>
      <c r="EG21" s="840">
        <f t="shared" si="7"/>
        <v>0</v>
      </c>
      <c r="EH21" s="840">
        <f t="shared" si="7"/>
        <v>0</v>
      </c>
      <c r="EI21" s="840">
        <f t="shared" si="7"/>
        <v>0</v>
      </c>
      <c r="EJ21" s="840">
        <f t="shared" si="7"/>
        <v>0</v>
      </c>
      <c r="EK21" s="840">
        <f t="shared" si="7"/>
        <v>0</v>
      </c>
      <c r="EL21" s="840">
        <f t="shared" si="7"/>
        <v>0</v>
      </c>
      <c r="EM21" s="840">
        <f t="shared" si="7"/>
        <v>0</v>
      </c>
      <c r="EN21" s="840">
        <f t="shared" si="7"/>
        <v>0</v>
      </c>
      <c r="EO21" s="840">
        <f t="shared" si="7"/>
        <v>0</v>
      </c>
      <c r="EP21" s="840">
        <f t="shared" si="7"/>
        <v>0</v>
      </c>
      <c r="EQ21" s="840">
        <f t="shared" si="7"/>
        <v>0</v>
      </c>
      <c r="ER21" s="840">
        <f t="shared" ref="ER21:ER34" si="15">DU21*$GC$19</f>
        <v>0</v>
      </c>
      <c r="ES21" s="840">
        <f t="shared" si="8"/>
        <v>0</v>
      </c>
      <c r="ET21" s="840">
        <f t="shared" si="8"/>
        <v>0</v>
      </c>
      <c r="EU21" s="840">
        <f t="shared" si="8"/>
        <v>0</v>
      </c>
      <c r="EV21" s="840">
        <f t="shared" si="8"/>
        <v>0</v>
      </c>
      <c r="EW21" s="840">
        <f t="shared" si="8"/>
        <v>0</v>
      </c>
      <c r="EX21" s="840">
        <f t="shared" si="8"/>
        <v>0</v>
      </c>
      <c r="EY21" s="840">
        <f t="shared" si="8"/>
        <v>0</v>
      </c>
      <c r="EZ21" s="842">
        <f t="shared" si="9"/>
        <v>0</v>
      </c>
      <c r="FA21" s="842">
        <f t="shared" si="9"/>
        <v>0</v>
      </c>
      <c r="FB21" s="842">
        <f t="shared" si="9"/>
        <v>0</v>
      </c>
      <c r="FC21" s="842">
        <f t="shared" si="9"/>
        <v>0</v>
      </c>
      <c r="FD21" s="842">
        <f t="shared" si="9"/>
        <v>0</v>
      </c>
      <c r="FE21" s="842">
        <f t="shared" si="9"/>
        <v>0</v>
      </c>
      <c r="FF21" s="842">
        <f t="shared" si="9"/>
        <v>0</v>
      </c>
      <c r="FG21" s="842">
        <f t="shared" si="9"/>
        <v>0</v>
      </c>
      <c r="FH21" s="842">
        <f t="shared" si="9"/>
        <v>0</v>
      </c>
      <c r="FI21" s="842">
        <f t="shared" si="9"/>
        <v>0</v>
      </c>
      <c r="FJ21" s="842">
        <f t="shared" si="9"/>
        <v>0</v>
      </c>
      <c r="FK21" s="842">
        <f t="shared" si="9"/>
        <v>0</v>
      </c>
      <c r="FL21" s="842">
        <f t="shared" si="9"/>
        <v>0</v>
      </c>
      <c r="FM21" s="842">
        <f t="shared" si="9"/>
        <v>0</v>
      </c>
      <c r="FN21" s="842">
        <f t="shared" si="9"/>
        <v>0</v>
      </c>
      <c r="FO21" s="842">
        <f t="shared" ref="FO21:FO34" si="16">DU21*$FY21*44/12</f>
        <v>0</v>
      </c>
      <c r="FP21" s="842">
        <f t="shared" si="10"/>
        <v>0</v>
      </c>
      <c r="FQ21" s="842">
        <f t="shared" si="10"/>
        <v>0</v>
      </c>
      <c r="FR21" s="842">
        <f t="shared" si="10"/>
        <v>0</v>
      </c>
      <c r="FS21" s="842">
        <f t="shared" si="10"/>
        <v>0</v>
      </c>
      <c r="FT21" s="842">
        <f t="shared" si="10"/>
        <v>0</v>
      </c>
      <c r="FU21" s="842">
        <f t="shared" si="10"/>
        <v>0</v>
      </c>
      <c r="FV21" s="842">
        <f t="shared" si="10"/>
        <v>0</v>
      </c>
      <c r="FW21" s="843">
        <v>25.7</v>
      </c>
      <c r="FX21" s="788" t="s">
        <v>179</v>
      </c>
      <c r="FY21" s="843">
        <v>2.47E-2</v>
      </c>
      <c r="FZ21" s="844" t="s">
        <v>2232</v>
      </c>
    </row>
    <row r="22" spans="3:186" ht="23.25" customHeight="1">
      <c r="C22" s="1487"/>
      <c r="D22" s="1485"/>
      <c r="E22" s="1485" t="s">
        <v>1636</v>
      </c>
      <c r="F22" s="1485"/>
      <c r="G22" s="838" t="s">
        <v>300</v>
      </c>
      <c r="H22" s="839"/>
      <c r="I22" s="839"/>
      <c r="J22" s="839"/>
      <c r="K22" s="839"/>
      <c r="L22" s="839"/>
      <c r="M22" s="839"/>
      <c r="N22" s="839"/>
      <c r="O22" s="839"/>
      <c r="P22" s="839"/>
      <c r="Q22" s="839"/>
      <c r="R22" s="839"/>
      <c r="S22" s="839"/>
      <c r="T22" s="839"/>
      <c r="U22" s="839"/>
      <c r="V22" s="839"/>
      <c r="W22" s="839"/>
      <c r="X22" s="839"/>
      <c r="Y22" s="839"/>
      <c r="Z22" s="839"/>
      <c r="AA22" s="839"/>
      <c r="AB22" s="839"/>
      <c r="AC22" s="839"/>
      <c r="AD22" s="839"/>
      <c r="AE22" s="839"/>
      <c r="AF22" s="839"/>
      <c r="AG22" s="839"/>
      <c r="AH22" s="839"/>
      <c r="AI22" s="839"/>
      <c r="AJ22" s="839"/>
      <c r="AK22" s="839"/>
      <c r="AL22" s="839"/>
      <c r="AM22" s="839"/>
      <c r="AN22" s="839"/>
      <c r="AO22" s="839"/>
      <c r="AP22" s="839"/>
      <c r="AQ22" s="839"/>
      <c r="AR22" s="839"/>
      <c r="AS22" s="839"/>
      <c r="AT22" s="839"/>
      <c r="AU22" s="839"/>
      <c r="AV22" s="839"/>
      <c r="AW22" s="839"/>
      <c r="AX22" s="839"/>
      <c r="AY22" s="839"/>
      <c r="AZ22" s="839"/>
      <c r="BA22" s="839"/>
      <c r="BB22" s="839"/>
      <c r="BC22" s="839"/>
      <c r="BD22" s="839"/>
      <c r="BE22" s="839"/>
      <c r="BF22" s="839"/>
      <c r="BG22" s="839"/>
      <c r="BH22" s="839"/>
      <c r="BI22" s="839"/>
      <c r="BJ22" s="840">
        <f t="shared" ref="BJ22:BX39" si="17">L22-AM22</f>
        <v>0</v>
      </c>
      <c r="BK22" s="840">
        <f t="shared" si="17"/>
        <v>0</v>
      </c>
      <c r="BL22" s="840">
        <f t="shared" si="17"/>
        <v>0</v>
      </c>
      <c r="BM22" s="840">
        <f t="shared" si="17"/>
        <v>0</v>
      </c>
      <c r="BN22" s="840">
        <f t="shared" si="17"/>
        <v>0</v>
      </c>
      <c r="BO22" s="840">
        <f t="shared" si="17"/>
        <v>0</v>
      </c>
      <c r="BP22" s="840">
        <f t="shared" si="17"/>
        <v>0</v>
      </c>
      <c r="BQ22" s="840">
        <f t="shared" si="17"/>
        <v>0</v>
      </c>
      <c r="BR22" s="840">
        <f t="shared" si="17"/>
        <v>0</v>
      </c>
      <c r="BS22" s="840">
        <f t="shared" si="17"/>
        <v>0</v>
      </c>
      <c r="BT22" s="840">
        <f t="shared" si="17"/>
        <v>0</v>
      </c>
      <c r="BU22" s="840">
        <f t="shared" si="17"/>
        <v>0</v>
      </c>
      <c r="BV22" s="840">
        <f t="shared" si="17"/>
        <v>0</v>
      </c>
      <c r="BW22" s="840">
        <f t="shared" si="17"/>
        <v>0</v>
      </c>
      <c r="BX22" s="840">
        <f t="shared" si="17"/>
        <v>0</v>
      </c>
      <c r="BY22" s="840">
        <f t="shared" si="12"/>
        <v>0</v>
      </c>
      <c r="BZ22" s="840">
        <f t="shared" si="1"/>
        <v>0</v>
      </c>
      <c r="CA22" s="840">
        <f t="shared" si="1"/>
        <v>0</v>
      </c>
      <c r="CB22" s="840">
        <f t="shared" si="1"/>
        <v>0</v>
      </c>
      <c r="CC22" s="840">
        <f t="shared" si="1"/>
        <v>0</v>
      </c>
      <c r="CD22" s="840">
        <f t="shared" si="1"/>
        <v>0</v>
      </c>
      <c r="CE22" s="840">
        <f t="shared" si="1"/>
        <v>0</v>
      </c>
      <c r="CF22" s="840">
        <f t="shared" si="1"/>
        <v>0</v>
      </c>
      <c r="CG22" s="840">
        <f t="shared" si="2"/>
        <v>1000</v>
      </c>
      <c r="CH22" s="841" t="s">
        <v>194</v>
      </c>
      <c r="CI22" s="840">
        <f t="shared" si="11"/>
        <v>0</v>
      </c>
      <c r="CJ22" s="840">
        <f t="shared" si="11"/>
        <v>0</v>
      </c>
      <c r="CK22" s="840">
        <f t="shared" si="11"/>
        <v>0</v>
      </c>
      <c r="CL22" s="840">
        <f t="shared" si="11"/>
        <v>0</v>
      </c>
      <c r="CM22" s="840">
        <f t="shared" si="11"/>
        <v>0</v>
      </c>
      <c r="CN22" s="840">
        <f t="shared" si="11"/>
        <v>0</v>
      </c>
      <c r="CO22" s="840">
        <f t="shared" si="11"/>
        <v>0</v>
      </c>
      <c r="CP22" s="840">
        <f t="shared" si="11"/>
        <v>0</v>
      </c>
      <c r="CQ22" s="840">
        <f t="shared" si="11"/>
        <v>0</v>
      </c>
      <c r="CR22" s="840">
        <f t="shared" si="11"/>
        <v>0</v>
      </c>
      <c r="CS22" s="840">
        <f t="shared" si="11"/>
        <v>0</v>
      </c>
      <c r="CT22" s="840">
        <f t="shared" si="11"/>
        <v>0</v>
      </c>
      <c r="CU22" s="840">
        <f t="shared" si="11"/>
        <v>0</v>
      </c>
      <c r="CV22" s="840">
        <f t="shared" si="11"/>
        <v>0</v>
      </c>
      <c r="CW22" s="840">
        <f t="shared" si="11"/>
        <v>0</v>
      </c>
      <c r="CX22" s="840">
        <f t="shared" si="11"/>
        <v>0</v>
      </c>
      <c r="CY22" s="840">
        <f t="shared" si="13"/>
        <v>0</v>
      </c>
      <c r="CZ22" s="840">
        <f t="shared" si="13"/>
        <v>0</v>
      </c>
      <c r="DA22" s="840">
        <f t="shared" si="13"/>
        <v>0</v>
      </c>
      <c r="DB22" s="840">
        <f t="shared" si="13"/>
        <v>0</v>
      </c>
      <c r="DC22" s="840">
        <f t="shared" si="13"/>
        <v>0</v>
      </c>
      <c r="DD22" s="840">
        <f t="shared" si="13"/>
        <v>0</v>
      </c>
      <c r="DE22" s="840">
        <f t="shared" si="13"/>
        <v>0</v>
      </c>
      <c r="DF22" s="840">
        <f t="shared" ref="DF22:DT34" si="18">CI22*$FW22</f>
        <v>0</v>
      </c>
      <c r="DG22" s="840">
        <f t="shared" si="18"/>
        <v>0</v>
      </c>
      <c r="DH22" s="840">
        <f t="shared" si="18"/>
        <v>0</v>
      </c>
      <c r="DI22" s="840">
        <f t="shared" si="18"/>
        <v>0</v>
      </c>
      <c r="DJ22" s="840">
        <f t="shared" si="18"/>
        <v>0</v>
      </c>
      <c r="DK22" s="840">
        <f t="shared" si="18"/>
        <v>0</v>
      </c>
      <c r="DL22" s="840">
        <f t="shared" si="18"/>
        <v>0</v>
      </c>
      <c r="DM22" s="840">
        <f t="shared" si="18"/>
        <v>0</v>
      </c>
      <c r="DN22" s="840">
        <f t="shared" si="18"/>
        <v>0</v>
      </c>
      <c r="DO22" s="840">
        <f t="shared" si="18"/>
        <v>0</v>
      </c>
      <c r="DP22" s="840">
        <f t="shared" si="18"/>
        <v>0</v>
      </c>
      <c r="DQ22" s="840">
        <f t="shared" si="18"/>
        <v>0</v>
      </c>
      <c r="DR22" s="840">
        <f t="shared" si="18"/>
        <v>0</v>
      </c>
      <c r="DS22" s="840">
        <f t="shared" si="18"/>
        <v>0</v>
      </c>
      <c r="DT22" s="840">
        <f t="shared" si="18"/>
        <v>0</v>
      </c>
      <c r="DU22" s="840">
        <f t="shared" si="14"/>
        <v>0</v>
      </c>
      <c r="DV22" s="840">
        <f t="shared" si="6"/>
        <v>0</v>
      </c>
      <c r="DW22" s="840">
        <f t="shared" si="6"/>
        <v>0</v>
      </c>
      <c r="DX22" s="840">
        <f t="shared" si="6"/>
        <v>0</v>
      </c>
      <c r="DY22" s="840">
        <f t="shared" si="6"/>
        <v>0</v>
      </c>
      <c r="DZ22" s="840">
        <f t="shared" si="6"/>
        <v>0</v>
      </c>
      <c r="EA22" s="840">
        <f t="shared" si="6"/>
        <v>0</v>
      </c>
      <c r="EB22" s="840">
        <f t="shared" si="6"/>
        <v>0</v>
      </c>
      <c r="EC22" s="840">
        <f t="shared" ref="EC22:EQ34" si="19">DF22*$GC$19</f>
        <v>0</v>
      </c>
      <c r="ED22" s="840">
        <f t="shared" si="19"/>
        <v>0</v>
      </c>
      <c r="EE22" s="840">
        <f t="shared" si="19"/>
        <v>0</v>
      </c>
      <c r="EF22" s="840">
        <f t="shared" si="19"/>
        <v>0</v>
      </c>
      <c r="EG22" s="840">
        <f t="shared" si="19"/>
        <v>0</v>
      </c>
      <c r="EH22" s="840">
        <f t="shared" si="19"/>
        <v>0</v>
      </c>
      <c r="EI22" s="840">
        <f t="shared" si="19"/>
        <v>0</v>
      </c>
      <c r="EJ22" s="840">
        <f t="shared" si="19"/>
        <v>0</v>
      </c>
      <c r="EK22" s="840">
        <f t="shared" si="19"/>
        <v>0</v>
      </c>
      <c r="EL22" s="840">
        <f t="shared" si="19"/>
        <v>0</v>
      </c>
      <c r="EM22" s="840">
        <f t="shared" si="19"/>
        <v>0</v>
      </c>
      <c r="EN22" s="840">
        <f t="shared" si="19"/>
        <v>0</v>
      </c>
      <c r="EO22" s="840">
        <f t="shared" si="19"/>
        <v>0</v>
      </c>
      <c r="EP22" s="840">
        <f t="shared" si="19"/>
        <v>0</v>
      </c>
      <c r="EQ22" s="840">
        <f t="shared" si="19"/>
        <v>0</v>
      </c>
      <c r="ER22" s="840">
        <f t="shared" si="15"/>
        <v>0</v>
      </c>
      <c r="ES22" s="840">
        <f t="shared" si="8"/>
        <v>0</v>
      </c>
      <c r="ET22" s="840">
        <f t="shared" si="8"/>
        <v>0</v>
      </c>
      <c r="EU22" s="840">
        <f t="shared" si="8"/>
        <v>0</v>
      </c>
      <c r="EV22" s="840">
        <f t="shared" si="8"/>
        <v>0</v>
      </c>
      <c r="EW22" s="840">
        <f t="shared" si="8"/>
        <v>0</v>
      </c>
      <c r="EX22" s="840">
        <f t="shared" si="8"/>
        <v>0</v>
      </c>
      <c r="EY22" s="840">
        <f t="shared" si="8"/>
        <v>0</v>
      </c>
      <c r="EZ22" s="842">
        <f t="shared" ref="EZ22:FN34" si="20">DF22*$FY22*44/12</f>
        <v>0</v>
      </c>
      <c r="FA22" s="842">
        <f t="shared" si="20"/>
        <v>0</v>
      </c>
      <c r="FB22" s="842">
        <f t="shared" si="20"/>
        <v>0</v>
      </c>
      <c r="FC22" s="842">
        <f t="shared" si="20"/>
        <v>0</v>
      </c>
      <c r="FD22" s="842">
        <f t="shared" si="20"/>
        <v>0</v>
      </c>
      <c r="FE22" s="842">
        <f t="shared" si="20"/>
        <v>0</v>
      </c>
      <c r="FF22" s="842">
        <f t="shared" si="20"/>
        <v>0</v>
      </c>
      <c r="FG22" s="842">
        <f t="shared" si="20"/>
        <v>0</v>
      </c>
      <c r="FH22" s="842">
        <f t="shared" si="20"/>
        <v>0</v>
      </c>
      <c r="FI22" s="842">
        <f t="shared" si="20"/>
        <v>0</v>
      </c>
      <c r="FJ22" s="842">
        <f t="shared" si="20"/>
        <v>0</v>
      </c>
      <c r="FK22" s="842">
        <f t="shared" si="20"/>
        <v>0</v>
      </c>
      <c r="FL22" s="842">
        <f t="shared" si="20"/>
        <v>0</v>
      </c>
      <c r="FM22" s="842">
        <f t="shared" si="20"/>
        <v>0</v>
      </c>
      <c r="FN22" s="842">
        <f t="shared" si="20"/>
        <v>0</v>
      </c>
      <c r="FO22" s="842">
        <f t="shared" si="16"/>
        <v>0</v>
      </c>
      <c r="FP22" s="842">
        <f t="shared" si="10"/>
        <v>0</v>
      </c>
      <c r="FQ22" s="842">
        <f t="shared" si="10"/>
        <v>0</v>
      </c>
      <c r="FR22" s="842">
        <f t="shared" si="10"/>
        <v>0</v>
      </c>
      <c r="FS22" s="842">
        <f t="shared" si="10"/>
        <v>0</v>
      </c>
      <c r="FT22" s="842">
        <f t="shared" si="10"/>
        <v>0</v>
      </c>
      <c r="FU22" s="842">
        <f t="shared" si="10"/>
        <v>0</v>
      </c>
      <c r="FV22" s="842">
        <f t="shared" si="10"/>
        <v>0</v>
      </c>
      <c r="FW22" s="843">
        <v>26.9</v>
      </c>
      <c r="FX22" s="788" t="s">
        <v>179</v>
      </c>
      <c r="FY22" s="843">
        <v>2.5499999999999998E-2</v>
      </c>
      <c r="FZ22" s="844" t="s">
        <v>2232</v>
      </c>
    </row>
    <row r="23" spans="3:186" ht="23.25" customHeight="1">
      <c r="C23" s="1487"/>
      <c r="D23" s="1485" t="s">
        <v>27</v>
      </c>
      <c r="E23" s="1485"/>
      <c r="F23" s="1485"/>
      <c r="G23" s="838" t="s">
        <v>300</v>
      </c>
      <c r="H23" s="839"/>
      <c r="I23" s="839"/>
      <c r="J23" s="839"/>
      <c r="K23" s="839"/>
      <c r="L23" s="839"/>
      <c r="M23" s="839"/>
      <c r="N23" s="839"/>
      <c r="O23" s="839"/>
      <c r="P23" s="839"/>
      <c r="Q23" s="839"/>
      <c r="R23" s="839"/>
      <c r="S23" s="839"/>
      <c r="T23" s="839"/>
      <c r="U23" s="839"/>
      <c r="V23" s="839"/>
      <c r="W23" s="839"/>
      <c r="X23" s="839"/>
      <c r="Y23" s="839"/>
      <c r="Z23" s="839"/>
      <c r="AA23" s="839"/>
      <c r="AB23" s="839"/>
      <c r="AC23" s="839"/>
      <c r="AD23" s="839"/>
      <c r="AE23" s="839"/>
      <c r="AF23" s="839"/>
      <c r="AG23" s="839"/>
      <c r="AH23" s="839"/>
      <c r="AI23" s="839"/>
      <c r="AJ23" s="839"/>
      <c r="AK23" s="839"/>
      <c r="AL23" s="839"/>
      <c r="AM23" s="839"/>
      <c r="AN23" s="839"/>
      <c r="AO23" s="839"/>
      <c r="AP23" s="839"/>
      <c r="AQ23" s="839"/>
      <c r="AR23" s="839"/>
      <c r="AS23" s="839"/>
      <c r="AT23" s="839"/>
      <c r="AU23" s="839"/>
      <c r="AV23" s="839"/>
      <c r="AW23" s="839"/>
      <c r="AX23" s="839"/>
      <c r="AY23" s="839"/>
      <c r="AZ23" s="839"/>
      <c r="BA23" s="839"/>
      <c r="BB23" s="839"/>
      <c r="BC23" s="839"/>
      <c r="BD23" s="839"/>
      <c r="BE23" s="839"/>
      <c r="BF23" s="839"/>
      <c r="BG23" s="839"/>
      <c r="BH23" s="839"/>
      <c r="BI23" s="839"/>
      <c r="BJ23" s="840">
        <f t="shared" si="17"/>
        <v>0</v>
      </c>
      <c r="BK23" s="840">
        <f t="shared" si="17"/>
        <v>0</v>
      </c>
      <c r="BL23" s="840">
        <f t="shared" si="17"/>
        <v>0</v>
      </c>
      <c r="BM23" s="840">
        <f t="shared" si="17"/>
        <v>0</v>
      </c>
      <c r="BN23" s="840">
        <f t="shared" si="17"/>
        <v>0</v>
      </c>
      <c r="BO23" s="840">
        <f t="shared" si="17"/>
        <v>0</v>
      </c>
      <c r="BP23" s="840">
        <f t="shared" si="17"/>
        <v>0</v>
      </c>
      <c r="BQ23" s="840">
        <f t="shared" si="17"/>
        <v>0</v>
      </c>
      <c r="BR23" s="840">
        <f t="shared" si="17"/>
        <v>0</v>
      </c>
      <c r="BS23" s="840">
        <f t="shared" si="17"/>
        <v>0</v>
      </c>
      <c r="BT23" s="840">
        <f t="shared" si="17"/>
        <v>0</v>
      </c>
      <c r="BU23" s="840">
        <f t="shared" si="17"/>
        <v>0</v>
      </c>
      <c r="BV23" s="840">
        <f t="shared" si="17"/>
        <v>0</v>
      </c>
      <c r="BW23" s="840">
        <f t="shared" si="17"/>
        <v>0</v>
      </c>
      <c r="BX23" s="840">
        <f t="shared" si="17"/>
        <v>0</v>
      </c>
      <c r="BY23" s="840">
        <f t="shared" si="12"/>
        <v>0</v>
      </c>
      <c r="BZ23" s="840">
        <f t="shared" si="1"/>
        <v>0</v>
      </c>
      <c r="CA23" s="840">
        <f t="shared" si="1"/>
        <v>0</v>
      </c>
      <c r="CB23" s="840">
        <f t="shared" si="1"/>
        <v>0</v>
      </c>
      <c r="CC23" s="840">
        <f t="shared" si="1"/>
        <v>0</v>
      </c>
      <c r="CD23" s="840">
        <f t="shared" si="1"/>
        <v>0</v>
      </c>
      <c r="CE23" s="840">
        <f t="shared" si="1"/>
        <v>0</v>
      </c>
      <c r="CF23" s="840">
        <f t="shared" si="1"/>
        <v>0</v>
      </c>
      <c r="CG23" s="840">
        <f t="shared" si="2"/>
        <v>1000</v>
      </c>
      <c r="CH23" s="841" t="s">
        <v>194</v>
      </c>
      <c r="CI23" s="840">
        <f t="shared" si="11"/>
        <v>0</v>
      </c>
      <c r="CJ23" s="840">
        <f t="shared" si="11"/>
        <v>0</v>
      </c>
      <c r="CK23" s="840">
        <f t="shared" si="11"/>
        <v>0</v>
      </c>
      <c r="CL23" s="840">
        <f t="shared" si="11"/>
        <v>0</v>
      </c>
      <c r="CM23" s="840">
        <f t="shared" si="11"/>
        <v>0</v>
      </c>
      <c r="CN23" s="840">
        <f t="shared" si="11"/>
        <v>0</v>
      </c>
      <c r="CO23" s="840">
        <f t="shared" si="11"/>
        <v>0</v>
      </c>
      <c r="CP23" s="840">
        <f t="shared" si="11"/>
        <v>0</v>
      </c>
      <c r="CQ23" s="840">
        <f t="shared" si="11"/>
        <v>0</v>
      </c>
      <c r="CR23" s="840">
        <f t="shared" si="11"/>
        <v>0</v>
      </c>
      <c r="CS23" s="840">
        <f t="shared" si="11"/>
        <v>0</v>
      </c>
      <c r="CT23" s="840">
        <f t="shared" si="11"/>
        <v>0</v>
      </c>
      <c r="CU23" s="840">
        <f t="shared" si="11"/>
        <v>0</v>
      </c>
      <c r="CV23" s="840">
        <f t="shared" si="11"/>
        <v>0</v>
      </c>
      <c r="CW23" s="840">
        <f t="shared" si="11"/>
        <v>0</v>
      </c>
      <c r="CX23" s="840">
        <f t="shared" si="11"/>
        <v>0</v>
      </c>
      <c r="CY23" s="840">
        <f t="shared" si="13"/>
        <v>0</v>
      </c>
      <c r="CZ23" s="840">
        <f t="shared" si="13"/>
        <v>0</v>
      </c>
      <c r="DA23" s="840">
        <f t="shared" si="13"/>
        <v>0</v>
      </c>
      <c r="DB23" s="840">
        <f t="shared" si="13"/>
        <v>0</v>
      </c>
      <c r="DC23" s="840">
        <f t="shared" si="13"/>
        <v>0</v>
      </c>
      <c r="DD23" s="840">
        <f t="shared" si="13"/>
        <v>0</v>
      </c>
      <c r="DE23" s="840">
        <f t="shared" si="13"/>
        <v>0</v>
      </c>
      <c r="DF23" s="840">
        <f t="shared" si="18"/>
        <v>0</v>
      </c>
      <c r="DG23" s="840">
        <f t="shared" si="18"/>
        <v>0</v>
      </c>
      <c r="DH23" s="840">
        <f t="shared" si="18"/>
        <v>0</v>
      </c>
      <c r="DI23" s="840">
        <f t="shared" si="18"/>
        <v>0</v>
      </c>
      <c r="DJ23" s="840">
        <f t="shared" si="18"/>
        <v>0</v>
      </c>
      <c r="DK23" s="840">
        <f t="shared" si="18"/>
        <v>0</v>
      </c>
      <c r="DL23" s="840">
        <f t="shared" si="18"/>
        <v>0</v>
      </c>
      <c r="DM23" s="840">
        <f t="shared" si="18"/>
        <v>0</v>
      </c>
      <c r="DN23" s="840">
        <f t="shared" si="18"/>
        <v>0</v>
      </c>
      <c r="DO23" s="840">
        <f t="shared" si="18"/>
        <v>0</v>
      </c>
      <c r="DP23" s="840">
        <f t="shared" si="18"/>
        <v>0</v>
      </c>
      <c r="DQ23" s="840">
        <f t="shared" si="18"/>
        <v>0</v>
      </c>
      <c r="DR23" s="840">
        <f t="shared" si="18"/>
        <v>0</v>
      </c>
      <c r="DS23" s="840">
        <f t="shared" si="18"/>
        <v>0</v>
      </c>
      <c r="DT23" s="840">
        <f t="shared" si="18"/>
        <v>0</v>
      </c>
      <c r="DU23" s="840">
        <f t="shared" si="14"/>
        <v>0</v>
      </c>
      <c r="DV23" s="840">
        <f t="shared" si="6"/>
        <v>0</v>
      </c>
      <c r="DW23" s="840">
        <f t="shared" si="6"/>
        <v>0</v>
      </c>
      <c r="DX23" s="840">
        <f t="shared" si="6"/>
        <v>0</v>
      </c>
      <c r="DY23" s="840">
        <f t="shared" si="6"/>
        <v>0</v>
      </c>
      <c r="DZ23" s="840">
        <f t="shared" si="6"/>
        <v>0</v>
      </c>
      <c r="EA23" s="840">
        <f t="shared" si="6"/>
        <v>0</v>
      </c>
      <c r="EB23" s="840">
        <f t="shared" si="6"/>
        <v>0</v>
      </c>
      <c r="EC23" s="840">
        <f t="shared" si="19"/>
        <v>0</v>
      </c>
      <c r="ED23" s="840">
        <f t="shared" si="19"/>
        <v>0</v>
      </c>
      <c r="EE23" s="840">
        <f t="shared" si="19"/>
        <v>0</v>
      </c>
      <c r="EF23" s="840">
        <f t="shared" si="19"/>
        <v>0</v>
      </c>
      <c r="EG23" s="840">
        <f t="shared" si="19"/>
        <v>0</v>
      </c>
      <c r="EH23" s="840">
        <f t="shared" si="19"/>
        <v>0</v>
      </c>
      <c r="EI23" s="840">
        <f t="shared" si="19"/>
        <v>0</v>
      </c>
      <c r="EJ23" s="840">
        <f t="shared" si="19"/>
        <v>0</v>
      </c>
      <c r="EK23" s="840">
        <f t="shared" si="19"/>
        <v>0</v>
      </c>
      <c r="EL23" s="840">
        <f t="shared" si="19"/>
        <v>0</v>
      </c>
      <c r="EM23" s="840">
        <f t="shared" si="19"/>
        <v>0</v>
      </c>
      <c r="EN23" s="840">
        <f t="shared" si="19"/>
        <v>0</v>
      </c>
      <c r="EO23" s="840">
        <f t="shared" si="19"/>
        <v>0</v>
      </c>
      <c r="EP23" s="840">
        <f t="shared" si="19"/>
        <v>0</v>
      </c>
      <c r="EQ23" s="840">
        <f t="shared" si="19"/>
        <v>0</v>
      </c>
      <c r="ER23" s="840">
        <f t="shared" si="15"/>
        <v>0</v>
      </c>
      <c r="ES23" s="840">
        <f t="shared" si="8"/>
        <v>0</v>
      </c>
      <c r="ET23" s="840">
        <f t="shared" si="8"/>
        <v>0</v>
      </c>
      <c r="EU23" s="840">
        <f t="shared" si="8"/>
        <v>0</v>
      </c>
      <c r="EV23" s="840">
        <f t="shared" si="8"/>
        <v>0</v>
      </c>
      <c r="EW23" s="840">
        <f t="shared" si="8"/>
        <v>0</v>
      </c>
      <c r="EX23" s="840">
        <f t="shared" si="8"/>
        <v>0</v>
      </c>
      <c r="EY23" s="840">
        <f t="shared" si="8"/>
        <v>0</v>
      </c>
      <c r="EZ23" s="842">
        <f t="shared" si="20"/>
        <v>0</v>
      </c>
      <c r="FA23" s="842">
        <f t="shared" si="20"/>
        <v>0</v>
      </c>
      <c r="FB23" s="842">
        <f t="shared" si="20"/>
        <v>0</v>
      </c>
      <c r="FC23" s="842">
        <f t="shared" si="20"/>
        <v>0</v>
      </c>
      <c r="FD23" s="842">
        <f t="shared" si="20"/>
        <v>0</v>
      </c>
      <c r="FE23" s="842">
        <f t="shared" si="20"/>
        <v>0</v>
      </c>
      <c r="FF23" s="842">
        <f t="shared" si="20"/>
        <v>0</v>
      </c>
      <c r="FG23" s="842">
        <f t="shared" si="20"/>
        <v>0</v>
      </c>
      <c r="FH23" s="842">
        <f t="shared" si="20"/>
        <v>0</v>
      </c>
      <c r="FI23" s="842">
        <f t="shared" si="20"/>
        <v>0</v>
      </c>
      <c r="FJ23" s="842">
        <f t="shared" si="20"/>
        <v>0</v>
      </c>
      <c r="FK23" s="842">
        <f t="shared" si="20"/>
        <v>0</v>
      </c>
      <c r="FL23" s="842">
        <f t="shared" si="20"/>
        <v>0</v>
      </c>
      <c r="FM23" s="842">
        <f t="shared" si="20"/>
        <v>0</v>
      </c>
      <c r="FN23" s="842">
        <f t="shared" si="20"/>
        <v>0</v>
      </c>
      <c r="FO23" s="842">
        <f t="shared" si="16"/>
        <v>0</v>
      </c>
      <c r="FP23" s="842">
        <f t="shared" si="10"/>
        <v>0</v>
      </c>
      <c r="FQ23" s="842">
        <f t="shared" si="10"/>
        <v>0</v>
      </c>
      <c r="FR23" s="842">
        <f t="shared" si="10"/>
        <v>0</v>
      </c>
      <c r="FS23" s="842">
        <f t="shared" si="10"/>
        <v>0</v>
      </c>
      <c r="FT23" s="842">
        <f t="shared" si="10"/>
        <v>0</v>
      </c>
      <c r="FU23" s="842">
        <f t="shared" si="10"/>
        <v>0</v>
      </c>
      <c r="FV23" s="842">
        <f t="shared" si="10"/>
        <v>0</v>
      </c>
      <c r="FW23" s="843">
        <v>29.4</v>
      </c>
      <c r="FX23" s="788" t="s">
        <v>179</v>
      </c>
      <c r="FY23" s="843">
        <v>2.9399999999999999E-2</v>
      </c>
      <c r="FZ23" s="844" t="s">
        <v>2232</v>
      </c>
    </row>
    <row r="24" spans="3:186" ht="23.25" customHeight="1">
      <c r="C24" s="1487"/>
      <c r="D24" s="1485" t="s">
        <v>28</v>
      </c>
      <c r="E24" s="1485"/>
      <c r="F24" s="1485"/>
      <c r="G24" s="838" t="s">
        <v>300</v>
      </c>
      <c r="H24" s="839"/>
      <c r="I24" s="839"/>
      <c r="J24" s="839"/>
      <c r="K24" s="839"/>
      <c r="L24" s="839"/>
      <c r="M24" s="839"/>
      <c r="N24" s="839"/>
      <c r="O24" s="839"/>
      <c r="P24" s="839"/>
      <c r="Q24" s="839"/>
      <c r="R24" s="839"/>
      <c r="S24" s="839"/>
      <c r="T24" s="839"/>
      <c r="U24" s="839"/>
      <c r="V24" s="839"/>
      <c r="W24" s="839"/>
      <c r="X24" s="839"/>
      <c r="Y24" s="839"/>
      <c r="Z24" s="839"/>
      <c r="AA24" s="839"/>
      <c r="AB24" s="839"/>
      <c r="AC24" s="839"/>
      <c r="AD24" s="839"/>
      <c r="AE24" s="839"/>
      <c r="AF24" s="839"/>
      <c r="AG24" s="839"/>
      <c r="AH24" s="839"/>
      <c r="AI24" s="839"/>
      <c r="AJ24" s="839"/>
      <c r="AK24" s="839"/>
      <c r="AL24" s="839"/>
      <c r="AM24" s="839"/>
      <c r="AN24" s="839"/>
      <c r="AO24" s="839"/>
      <c r="AP24" s="839"/>
      <c r="AQ24" s="839"/>
      <c r="AR24" s="839"/>
      <c r="AS24" s="839"/>
      <c r="AT24" s="839"/>
      <c r="AU24" s="839"/>
      <c r="AV24" s="839"/>
      <c r="AW24" s="839"/>
      <c r="AX24" s="839"/>
      <c r="AY24" s="839"/>
      <c r="AZ24" s="839"/>
      <c r="BA24" s="839"/>
      <c r="BB24" s="839"/>
      <c r="BC24" s="839"/>
      <c r="BD24" s="839"/>
      <c r="BE24" s="839"/>
      <c r="BF24" s="839"/>
      <c r="BG24" s="839"/>
      <c r="BH24" s="839"/>
      <c r="BI24" s="839"/>
      <c r="BJ24" s="840">
        <f t="shared" si="17"/>
        <v>0</v>
      </c>
      <c r="BK24" s="840">
        <f t="shared" si="17"/>
        <v>0</v>
      </c>
      <c r="BL24" s="840">
        <f t="shared" si="17"/>
        <v>0</v>
      </c>
      <c r="BM24" s="840">
        <f t="shared" si="17"/>
        <v>0</v>
      </c>
      <c r="BN24" s="840">
        <f t="shared" si="17"/>
        <v>0</v>
      </c>
      <c r="BO24" s="840">
        <f t="shared" si="17"/>
        <v>0</v>
      </c>
      <c r="BP24" s="840">
        <f t="shared" si="17"/>
        <v>0</v>
      </c>
      <c r="BQ24" s="840">
        <f t="shared" si="17"/>
        <v>0</v>
      </c>
      <c r="BR24" s="840">
        <f t="shared" si="17"/>
        <v>0</v>
      </c>
      <c r="BS24" s="840">
        <f t="shared" si="17"/>
        <v>0</v>
      </c>
      <c r="BT24" s="840">
        <f t="shared" si="17"/>
        <v>0</v>
      </c>
      <c r="BU24" s="840">
        <f t="shared" si="17"/>
        <v>0</v>
      </c>
      <c r="BV24" s="840">
        <f t="shared" si="17"/>
        <v>0</v>
      </c>
      <c r="BW24" s="840">
        <f t="shared" si="17"/>
        <v>0</v>
      </c>
      <c r="BX24" s="840">
        <f t="shared" si="17"/>
        <v>0</v>
      </c>
      <c r="BY24" s="840">
        <f t="shared" si="12"/>
        <v>0</v>
      </c>
      <c r="BZ24" s="840">
        <f t="shared" si="1"/>
        <v>0</v>
      </c>
      <c r="CA24" s="840">
        <f t="shared" si="1"/>
        <v>0</v>
      </c>
      <c r="CB24" s="840">
        <f t="shared" si="1"/>
        <v>0</v>
      </c>
      <c r="CC24" s="840">
        <f t="shared" si="1"/>
        <v>0</v>
      </c>
      <c r="CD24" s="840">
        <f t="shared" si="1"/>
        <v>0</v>
      </c>
      <c r="CE24" s="840">
        <f t="shared" si="1"/>
        <v>0</v>
      </c>
      <c r="CF24" s="840">
        <f t="shared" si="1"/>
        <v>0</v>
      </c>
      <c r="CG24" s="840">
        <f t="shared" si="2"/>
        <v>1000</v>
      </c>
      <c r="CH24" s="841" t="s">
        <v>194</v>
      </c>
      <c r="CI24" s="840">
        <f t="shared" si="11"/>
        <v>0</v>
      </c>
      <c r="CJ24" s="840">
        <f t="shared" si="11"/>
        <v>0</v>
      </c>
      <c r="CK24" s="840">
        <f t="shared" si="11"/>
        <v>0</v>
      </c>
      <c r="CL24" s="840">
        <f t="shared" si="11"/>
        <v>0</v>
      </c>
      <c r="CM24" s="840">
        <f t="shared" si="11"/>
        <v>0</v>
      </c>
      <c r="CN24" s="840">
        <f t="shared" si="11"/>
        <v>0</v>
      </c>
      <c r="CO24" s="840">
        <f t="shared" si="11"/>
        <v>0</v>
      </c>
      <c r="CP24" s="840">
        <f t="shared" si="11"/>
        <v>0</v>
      </c>
      <c r="CQ24" s="840">
        <f t="shared" si="11"/>
        <v>0</v>
      </c>
      <c r="CR24" s="840">
        <f t="shared" si="11"/>
        <v>0</v>
      </c>
      <c r="CS24" s="840">
        <f t="shared" si="11"/>
        <v>0</v>
      </c>
      <c r="CT24" s="840">
        <f t="shared" si="11"/>
        <v>0</v>
      </c>
      <c r="CU24" s="840">
        <f t="shared" si="11"/>
        <v>0</v>
      </c>
      <c r="CV24" s="840">
        <f t="shared" si="11"/>
        <v>0</v>
      </c>
      <c r="CW24" s="840">
        <f t="shared" si="11"/>
        <v>0</v>
      </c>
      <c r="CX24" s="840">
        <f t="shared" si="11"/>
        <v>0</v>
      </c>
      <c r="CY24" s="840">
        <f t="shared" si="13"/>
        <v>0</v>
      </c>
      <c r="CZ24" s="840">
        <f t="shared" si="13"/>
        <v>0</v>
      </c>
      <c r="DA24" s="840">
        <f t="shared" si="13"/>
        <v>0</v>
      </c>
      <c r="DB24" s="840">
        <f t="shared" si="13"/>
        <v>0</v>
      </c>
      <c r="DC24" s="840">
        <f t="shared" si="13"/>
        <v>0</v>
      </c>
      <c r="DD24" s="840">
        <f t="shared" si="13"/>
        <v>0</v>
      </c>
      <c r="DE24" s="840">
        <f t="shared" si="13"/>
        <v>0</v>
      </c>
      <c r="DF24" s="840">
        <f t="shared" si="18"/>
        <v>0</v>
      </c>
      <c r="DG24" s="840">
        <f t="shared" si="18"/>
        <v>0</v>
      </c>
      <c r="DH24" s="840">
        <f t="shared" si="18"/>
        <v>0</v>
      </c>
      <c r="DI24" s="840">
        <f t="shared" si="18"/>
        <v>0</v>
      </c>
      <c r="DJ24" s="840">
        <f t="shared" si="18"/>
        <v>0</v>
      </c>
      <c r="DK24" s="840">
        <f t="shared" si="18"/>
        <v>0</v>
      </c>
      <c r="DL24" s="840">
        <f t="shared" si="18"/>
        <v>0</v>
      </c>
      <c r="DM24" s="840">
        <f t="shared" si="18"/>
        <v>0</v>
      </c>
      <c r="DN24" s="840">
        <f t="shared" si="18"/>
        <v>0</v>
      </c>
      <c r="DO24" s="840">
        <f t="shared" si="18"/>
        <v>0</v>
      </c>
      <c r="DP24" s="840">
        <f t="shared" si="18"/>
        <v>0</v>
      </c>
      <c r="DQ24" s="840">
        <f t="shared" si="18"/>
        <v>0</v>
      </c>
      <c r="DR24" s="840">
        <f t="shared" si="18"/>
        <v>0</v>
      </c>
      <c r="DS24" s="840">
        <f t="shared" si="18"/>
        <v>0</v>
      </c>
      <c r="DT24" s="840">
        <f t="shared" si="18"/>
        <v>0</v>
      </c>
      <c r="DU24" s="840">
        <f t="shared" si="14"/>
        <v>0</v>
      </c>
      <c r="DV24" s="840">
        <f t="shared" si="6"/>
        <v>0</v>
      </c>
      <c r="DW24" s="840">
        <f t="shared" si="6"/>
        <v>0</v>
      </c>
      <c r="DX24" s="840">
        <f t="shared" si="6"/>
        <v>0</v>
      </c>
      <c r="DY24" s="840">
        <f t="shared" si="6"/>
        <v>0</v>
      </c>
      <c r="DZ24" s="840">
        <f t="shared" si="6"/>
        <v>0</v>
      </c>
      <c r="EA24" s="840">
        <f t="shared" si="6"/>
        <v>0</v>
      </c>
      <c r="EB24" s="840">
        <f t="shared" si="6"/>
        <v>0</v>
      </c>
      <c r="EC24" s="840">
        <f t="shared" si="19"/>
        <v>0</v>
      </c>
      <c r="ED24" s="840">
        <f t="shared" si="19"/>
        <v>0</v>
      </c>
      <c r="EE24" s="840">
        <f t="shared" si="19"/>
        <v>0</v>
      </c>
      <c r="EF24" s="840">
        <f t="shared" si="19"/>
        <v>0</v>
      </c>
      <c r="EG24" s="840">
        <f t="shared" si="19"/>
        <v>0</v>
      </c>
      <c r="EH24" s="840">
        <f t="shared" si="19"/>
        <v>0</v>
      </c>
      <c r="EI24" s="840">
        <f t="shared" si="19"/>
        <v>0</v>
      </c>
      <c r="EJ24" s="840">
        <f t="shared" si="19"/>
        <v>0</v>
      </c>
      <c r="EK24" s="840">
        <f t="shared" si="19"/>
        <v>0</v>
      </c>
      <c r="EL24" s="840">
        <f t="shared" si="19"/>
        <v>0</v>
      </c>
      <c r="EM24" s="840">
        <f t="shared" si="19"/>
        <v>0</v>
      </c>
      <c r="EN24" s="840">
        <f t="shared" si="19"/>
        <v>0</v>
      </c>
      <c r="EO24" s="840">
        <f t="shared" si="19"/>
        <v>0</v>
      </c>
      <c r="EP24" s="840">
        <f t="shared" si="19"/>
        <v>0</v>
      </c>
      <c r="EQ24" s="840">
        <f t="shared" si="19"/>
        <v>0</v>
      </c>
      <c r="ER24" s="840">
        <f t="shared" si="15"/>
        <v>0</v>
      </c>
      <c r="ES24" s="840">
        <f t="shared" si="8"/>
        <v>0</v>
      </c>
      <c r="ET24" s="840">
        <f t="shared" si="8"/>
        <v>0</v>
      </c>
      <c r="EU24" s="840">
        <f t="shared" si="8"/>
        <v>0</v>
      </c>
      <c r="EV24" s="840">
        <f t="shared" si="8"/>
        <v>0</v>
      </c>
      <c r="EW24" s="840">
        <f t="shared" si="8"/>
        <v>0</v>
      </c>
      <c r="EX24" s="840">
        <f t="shared" si="8"/>
        <v>0</v>
      </c>
      <c r="EY24" s="840">
        <f t="shared" si="8"/>
        <v>0</v>
      </c>
      <c r="EZ24" s="842">
        <f t="shared" si="20"/>
        <v>0</v>
      </c>
      <c r="FA24" s="842">
        <f t="shared" si="20"/>
        <v>0</v>
      </c>
      <c r="FB24" s="842">
        <f t="shared" si="20"/>
        <v>0</v>
      </c>
      <c r="FC24" s="842">
        <f t="shared" si="20"/>
        <v>0</v>
      </c>
      <c r="FD24" s="842">
        <f t="shared" si="20"/>
        <v>0</v>
      </c>
      <c r="FE24" s="842">
        <f t="shared" si="20"/>
        <v>0</v>
      </c>
      <c r="FF24" s="842">
        <f t="shared" si="20"/>
        <v>0</v>
      </c>
      <c r="FG24" s="842">
        <f t="shared" si="20"/>
        <v>0</v>
      </c>
      <c r="FH24" s="842">
        <f t="shared" si="20"/>
        <v>0</v>
      </c>
      <c r="FI24" s="842">
        <f t="shared" si="20"/>
        <v>0</v>
      </c>
      <c r="FJ24" s="842">
        <f t="shared" si="20"/>
        <v>0</v>
      </c>
      <c r="FK24" s="842">
        <f t="shared" si="20"/>
        <v>0</v>
      </c>
      <c r="FL24" s="842">
        <f t="shared" si="20"/>
        <v>0</v>
      </c>
      <c r="FM24" s="842">
        <f t="shared" si="20"/>
        <v>0</v>
      </c>
      <c r="FN24" s="842">
        <f t="shared" si="20"/>
        <v>0</v>
      </c>
      <c r="FO24" s="842">
        <f t="shared" si="16"/>
        <v>0</v>
      </c>
      <c r="FP24" s="842">
        <f t="shared" si="10"/>
        <v>0</v>
      </c>
      <c r="FQ24" s="842">
        <f t="shared" si="10"/>
        <v>0</v>
      </c>
      <c r="FR24" s="842">
        <f t="shared" si="10"/>
        <v>0</v>
      </c>
      <c r="FS24" s="842">
        <f t="shared" si="10"/>
        <v>0</v>
      </c>
      <c r="FT24" s="842">
        <f t="shared" si="10"/>
        <v>0</v>
      </c>
      <c r="FU24" s="842">
        <f t="shared" si="10"/>
        <v>0</v>
      </c>
      <c r="FV24" s="842">
        <f t="shared" si="10"/>
        <v>0</v>
      </c>
      <c r="FW24" s="843">
        <v>37.299999999999997</v>
      </c>
      <c r="FX24" s="788" t="s">
        <v>179</v>
      </c>
      <c r="FY24" s="843">
        <v>2.0899999999999998E-2</v>
      </c>
      <c r="FZ24" s="844" t="s">
        <v>2232</v>
      </c>
    </row>
    <row r="25" spans="3:186" ht="23.25" customHeight="1">
      <c r="C25" s="1487"/>
      <c r="D25" s="1485" t="s">
        <v>29</v>
      </c>
      <c r="E25" s="1485"/>
      <c r="F25" s="1485"/>
      <c r="G25" s="849" t="s">
        <v>2242</v>
      </c>
      <c r="H25" s="839"/>
      <c r="I25" s="839"/>
      <c r="J25" s="839"/>
      <c r="K25" s="839"/>
      <c r="L25" s="840">
        <f>'４．ガス単位換算_～R6工場現場'!AG42</f>
        <v>0</v>
      </c>
      <c r="M25" s="840">
        <f>'４．ガス単位換算_～R6工場現場'!AH42</f>
        <v>0</v>
      </c>
      <c r="N25" s="840">
        <f>'４．ガス単位換算_～R6工場現場'!AI42</f>
        <v>0</v>
      </c>
      <c r="O25" s="840">
        <f>'４．ガス単位換算_～R6工場現場'!AJ42</f>
        <v>0</v>
      </c>
      <c r="P25" s="840">
        <f>'４．ガス単位換算_～R6工場現場'!AK42</f>
        <v>0</v>
      </c>
      <c r="Q25" s="840">
        <f>'４．ガス単位換算_～R6工場現場'!AL42</f>
        <v>0</v>
      </c>
      <c r="R25" s="840">
        <f>'４．ガス単位換算_～R6工場現場'!AM42</f>
        <v>0</v>
      </c>
      <c r="S25" s="840">
        <f>'４．ガス単位換算_～R6工場現場'!AN42</f>
        <v>0</v>
      </c>
      <c r="T25" s="840">
        <f>'４．ガス単位換算_～R6工場現場'!AO42</f>
        <v>0</v>
      </c>
      <c r="U25" s="840">
        <f>'４．ガス単位換算_～R6工場現場'!AP42</f>
        <v>0</v>
      </c>
      <c r="V25" s="840">
        <f>'４．ガス単位換算_～R6工場現場'!AQ42</f>
        <v>0</v>
      </c>
      <c r="W25" s="840">
        <f>'４．ガス単位換算_～R6工場現場'!AR42</f>
        <v>0</v>
      </c>
      <c r="X25" s="840">
        <f>'４．ガス単位換算_～R6工場現場'!AS42</f>
        <v>0</v>
      </c>
      <c r="Y25" s="840">
        <f>'４．ガス単位換算_～R6工場現場'!AT42</f>
        <v>0</v>
      </c>
      <c r="Z25" s="840">
        <f>'４．ガス単位換算_～R6工場現場'!AU42</f>
        <v>0</v>
      </c>
      <c r="AA25" s="840">
        <f>'４．ガス単位換算_～R6工場現場'!AV42</f>
        <v>0</v>
      </c>
      <c r="AB25" s="840">
        <f>'４．ガス単位換算_～R6工場現場'!AW42</f>
        <v>0</v>
      </c>
      <c r="AC25" s="840">
        <f>'４．ガス単位換算_～R6工場現場'!AX42</f>
        <v>0</v>
      </c>
      <c r="AD25" s="840">
        <f>'４．ガス単位換算_～R6工場現場'!AY42</f>
        <v>0</v>
      </c>
      <c r="AE25" s="840">
        <f>'４．ガス単位換算_～R6工場現場'!AZ42</f>
        <v>0</v>
      </c>
      <c r="AF25" s="840">
        <f>'４．ガス単位換算_～R6工場現場'!BA42</f>
        <v>0</v>
      </c>
      <c r="AG25" s="840">
        <f>'４．ガス単位換算_～R6工場現場'!BB42</f>
        <v>0</v>
      </c>
      <c r="AH25" s="840">
        <f>'４．ガス単位換算_～R6工場現場'!BC42</f>
        <v>0</v>
      </c>
      <c r="AI25" s="839"/>
      <c r="AJ25" s="839"/>
      <c r="AK25" s="839"/>
      <c r="AL25" s="839"/>
      <c r="AM25" s="839"/>
      <c r="AN25" s="839"/>
      <c r="AO25" s="839"/>
      <c r="AP25" s="839"/>
      <c r="AQ25" s="839"/>
      <c r="AR25" s="839"/>
      <c r="AS25" s="839"/>
      <c r="AT25" s="839"/>
      <c r="AU25" s="839"/>
      <c r="AV25" s="839"/>
      <c r="AW25" s="839"/>
      <c r="AX25" s="839"/>
      <c r="AY25" s="839"/>
      <c r="AZ25" s="839"/>
      <c r="BA25" s="839"/>
      <c r="BB25" s="839"/>
      <c r="BC25" s="839"/>
      <c r="BD25" s="839"/>
      <c r="BE25" s="839"/>
      <c r="BF25" s="839"/>
      <c r="BG25" s="839"/>
      <c r="BH25" s="839"/>
      <c r="BI25" s="839"/>
      <c r="BJ25" s="840">
        <f t="shared" si="17"/>
        <v>0</v>
      </c>
      <c r="BK25" s="840">
        <f t="shared" si="17"/>
        <v>0</v>
      </c>
      <c r="BL25" s="840">
        <f t="shared" si="17"/>
        <v>0</v>
      </c>
      <c r="BM25" s="840">
        <f t="shared" si="17"/>
        <v>0</v>
      </c>
      <c r="BN25" s="840">
        <f t="shared" si="17"/>
        <v>0</v>
      </c>
      <c r="BO25" s="840">
        <f t="shared" si="17"/>
        <v>0</v>
      </c>
      <c r="BP25" s="840">
        <f t="shared" si="17"/>
        <v>0</v>
      </c>
      <c r="BQ25" s="840">
        <f t="shared" si="17"/>
        <v>0</v>
      </c>
      <c r="BR25" s="840">
        <f t="shared" si="17"/>
        <v>0</v>
      </c>
      <c r="BS25" s="840">
        <f t="shared" si="17"/>
        <v>0</v>
      </c>
      <c r="BT25" s="840">
        <f t="shared" si="17"/>
        <v>0</v>
      </c>
      <c r="BU25" s="840">
        <f t="shared" si="17"/>
        <v>0</v>
      </c>
      <c r="BV25" s="840">
        <f t="shared" si="17"/>
        <v>0</v>
      </c>
      <c r="BW25" s="840">
        <f t="shared" si="17"/>
        <v>0</v>
      </c>
      <c r="BX25" s="840">
        <f t="shared" si="17"/>
        <v>0</v>
      </c>
      <c r="BY25" s="840">
        <f t="shared" si="12"/>
        <v>0</v>
      </c>
      <c r="BZ25" s="840">
        <f t="shared" si="1"/>
        <v>0</v>
      </c>
      <c r="CA25" s="840">
        <f t="shared" si="1"/>
        <v>0</v>
      </c>
      <c r="CB25" s="840">
        <f t="shared" si="1"/>
        <v>0</v>
      </c>
      <c r="CC25" s="840">
        <f t="shared" si="1"/>
        <v>0</v>
      </c>
      <c r="CD25" s="840">
        <f t="shared" si="1"/>
        <v>0</v>
      </c>
      <c r="CE25" s="840">
        <f t="shared" si="1"/>
        <v>0</v>
      </c>
      <c r="CF25" s="840">
        <f t="shared" si="1"/>
        <v>0</v>
      </c>
      <c r="CG25" s="840">
        <f t="shared" si="2"/>
        <v>1</v>
      </c>
      <c r="CH25" s="847" t="s">
        <v>2235</v>
      </c>
      <c r="CI25" s="840">
        <f t="shared" si="11"/>
        <v>0</v>
      </c>
      <c r="CJ25" s="840">
        <f t="shared" si="11"/>
        <v>0</v>
      </c>
      <c r="CK25" s="840">
        <f t="shared" si="11"/>
        <v>0</v>
      </c>
      <c r="CL25" s="840">
        <f t="shared" si="11"/>
        <v>0</v>
      </c>
      <c r="CM25" s="840">
        <f t="shared" si="11"/>
        <v>0</v>
      </c>
      <c r="CN25" s="840">
        <f t="shared" si="11"/>
        <v>0</v>
      </c>
      <c r="CO25" s="840">
        <f t="shared" si="11"/>
        <v>0</v>
      </c>
      <c r="CP25" s="840">
        <f t="shared" si="11"/>
        <v>0</v>
      </c>
      <c r="CQ25" s="840">
        <f t="shared" si="11"/>
        <v>0</v>
      </c>
      <c r="CR25" s="840">
        <f t="shared" si="11"/>
        <v>0</v>
      </c>
      <c r="CS25" s="840">
        <f t="shared" si="11"/>
        <v>0</v>
      </c>
      <c r="CT25" s="840">
        <f t="shared" si="11"/>
        <v>0</v>
      </c>
      <c r="CU25" s="840">
        <f t="shared" si="11"/>
        <v>0</v>
      </c>
      <c r="CV25" s="840">
        <f t="shared" si="11"/>
        <v>0</v>
      </c>
      <c r="CW25" s="840">
        <f t="shared" si="11"/>
        <v>0</v>
      </c>
      <c r="CX25" s="840">
        <f t="shared" si="11"/>
        <v>0</v>
      </c>
      <c r="CY25" s="840">
        <f t="shared" si="13"/>
        <v>0</v>
      </c>
      <c r="CZ25" s="840">
        <f t="shared" si="13"/>
        <v>0</v>
      </c>
      <c r="DA25" s="840">
        <f t="shared" si="13"/>
        <v>0</v>
      </c>
      <c r="DB25" s="840">
        <f t="shared" si="13"/>
        <v>0</v>
      </c>
      <c r="DC25" s="840">
        <f t="shared" si="13"/>
        <v>0</v>
      </c>
      <c r="DD25" s="840">
        <f t="shared" si="13"/>
        <v>0</v>
      </c>
      <c r="DE25" s="840">
        <f t="shared" si="13"/>
        <v>0</v>
      </c>
      <c r="DF25" s="840">
        <f t="shared" si="18"/>
        <v>0</v>
      </c>
      <c r="DG25" s="840">
        <f t="shared" si="18"/>
        <v>0</v>
      </c>
      <c r="DH25" s="840">
        <f t="shared" si="18"/>
        <v>0</v>
      </c>
      <c r="DI25" s="840">
        <f t="shared" si="18"/>
        <v>0</v>
      </c>
      <c r="DJ25" s="840">
        <f t="shared" si="18"/>
        <v>0</v>
      </c>
      <c r="DK25" s="840">
        <f t="shared" si="18"/>
        <v>0</v>
      </c>
      <c r="DL25" s="840">
        <f t="shared" si="18"/>
        <v>0</v>
      </c>
      <c r="DM25" s="840">
        <f t="shared" si="18"/>
        <v>0</v>
      </c>
      <c r="DN25" s="840">
        <f t="shared" si="18"/>
        <v>0</v>
      </c>
      <c r="DO25" s="840">
        <f t="shared" si="18"/>
        <v>0</v>
      </c>
      <c r="DP25" s="840">
        <f t="shared" si="18"/>
        <v>0</v>
      </c>
      <c r="DQ25" s="840">
        <f t="shared" si="18"/>
        <v>0</v>
      </c>
      <c r="DR25" s="840">
        <f t="shared" si="18"/>
        <v>0</v>
      </c>
      <c r="DS25" s="840">
        <f t="shared" si="18"/>
        <v>0</v>
      </c>
      <c r="DT25" s="840">
        <f t="shared" si="18"/>
        <v>0</v>
      </c>
      <c r="DU25" s="840">
        <f t="shared" si="14"/>
        <v>0</v>
      </c>
      <c r="DV25" s="840">
        <f t="shared" si="6"/>
        <v>0</v>
      </c>
      <c r="DW25" s="840">
        <f t="shared" si="6"/>
        <v>0</v>
      </c>
      <c r="DX25" s="840">
        <f t="shared" si="6"/>
        <v>0</v>
      </c>
      <c r="DY25" s="840">
        <f t="shared" si="6"/>
        <v>0</v>
      </c>
      <c r="DZ25" s="840">
        <f t="shared" si="6"/>
        <v>0</v>
      </c>
      <c r="EA25" s="840">
        <f t="shared" si="6"/>
        <v>0</v>
      </c>
      <c r="EB25" s="840">
        <f t="shared" si="6"/>
        <v>0</v>
      </c>
      <c r="EC25" s="840">
        <f t="shared" si="19"/>
        <v>0</v>
      </c>
      <c r="ED25" s="840">
        <f t="shared" si="19"/>
        <v>0</v>
      </c>
      <c r="EE25" s="840">
        <f t="shared" si="19"/>
        <v>0</v>
      </c>
      <c r="EF25" s="840">
        <f t="shared" si="19"/>
        <v>0</v>
      </c>
      <c r="EG25" s="840">
        <f t="shared" si="19"/>
        <v>0</v>
      </c>
      <c r="EH25" s="840">
        <f t="shared" si="19"/>
        <v>0</v>
      </c>
      <c r="EI25" s="840">
        <f t="shared" si="19"/>
        <v>0</v>
      </c>
      <c r="EJ25" s="840">
        <f t="shared" si="19"/>
        <v>0</v>
      </c>
      <c r="EK25" s="840">
        <f t="shared" si="19"/>
        <v>0</v>
      </c>
      <c r="EL25" s="840">
        <f t="shared" si="19"/>
        <v>0</v>
      </c>
      <c r="EM25" s="840">
        <f t="shared" si="19"/>
        <v>0</v>
      </c>
      <c r="EN25" s="840">
        <f t="shared" si="19"/>
        <v>0</v>
      </c>
      <c r="EO25" s="840">
        <f t="shared" si="19"/>
        <v>0</v>
      </c>
      <c r="EP25" s="840">
        <f t="shared" si="19"/>
        <v>0</v>
      </c>
      <c r="EQ25" s="840">
        <f t="shared" si="19"/>
        <v>0</v>
      </c>
      <c r="ER25" s="840">
        <f t="shared" si="15"/>
        <v>0</v>
      </c>
      <c r="ES25" s="840">
        <f t="shared" si="8"/>
        <v>0</v>
      </c>
      <c r="ET25" s="840">
        <f t="shared" si="8"/>
        <v>0</v>
      </c>
      <c r="EU25" s="840">
        <f t="shared" si="8"/>
        <v>0</v>
      </c>
      <c r="EV25" s="840">
        <f t="shared" si="8"/>
        <v>0</v>
      </c>
      <c r="EW25" s="840">
        <f t="shared" si="8"/>
        <v>0</v>
      </c>
      <c r="EX25" s="840">
        <f t="shared" si="8"/>
        <v>0</v>
      </c>
      <c r="EY25" s="840">
        <f t="shared" si="8"/>
        <v>0</v>
      </c>
      <c r="EZ25" s="842">
        <f t="shared" si="20"/>
        <v>0</v>
      </c>
      <c r="FA25" s="842">
        <f t="shared" si="20"/>
        <v>0</v>
      </c>
      <c r="FB25" s="842">
        <f t="shared" si="20"/>
        <v>0</v>
      </c>
      <c r="FC25" s="842">
        <f t="shared" si="20"/>
        <v>0</v>
      </c>
      <c r="FD25" s="842">
        <f t="shared" si="20"/>
        <v>0</v>
      </c>
      <c r="FE25" s="842">
        <f t="shared" si="20"/>
        <v>0</v>
      </c>
      <c r="FF25" s="842">
        <f t="shared" si="20"/>
        <v>0</v>
      </c>
      <c r="FG25" s="842">
        <f t="shared" si="20"/>
        <v>0</v>
      </c>
      <c r="FH25" s="842">
        <f t="shared" si="20"/>
        <v>0</v>
      </c>
      <c r="FI25" s="842">
        <f t="shared" si="20"/>
        <v>0</v>
      </c>
      <c r="FJ25" s="842">
        <f t="shared" si="20"/>
        <v>0</v>
      </c>
      <c r="FK25" s="842">
        <f t="shared" si="20"/>
        <v>0</v>
      </c>
      <c r="FL25" s="842">
        <f t="shared" si="20"/>
        <v>0</v>
      </c>
      <c r="FM25" s="842">
        <f t="shared" si="20"/>
        <v>0</v>
      </c>
      <c r="FN25" s="842">
        <f t="shared" si="20"/>
        <v>0</v>
      </c>
      <c r="FO25" s="842">
        <f t="shared" si="16"/>
        <v>0</v>
      </c>
      <c r="FP25" s="842">
        <f t="shared" si="10"/>
        <v>0</v>
      </c>
      <c r="FQ25" s="842">
        <f t="shared" si="10"/>
        <v>0</v>
      </c>
      <c r="FR25" s="842">
        <f t="shared" si="10"/>
        <v>0</v>
      </c>
      <c r="FS25" s="842">
        <f t="shared" si="10"/>
        <v>0</v>
      </c>
      <c r="FT25" s="842">
        <f t="shared" si="10"/>
        <v>0</v>
      </c>
      <c r="FU25" s="842">
        <f t="shared" si="10"/>
        <v>0</v>
      </c>
      <c r="FV25" s="842">
        <f t="shared" si="10"/>
        <v>0</v>
      </c>
      <c r="FW25" s="843">
        <v>21.1</v>
      </c>
      <c r="FX25" s="848" t="s">
        <v>2236</v>
      </c>
      <c r="FY25" s="843">
        <v>1.0999999999999999E-2</v>
      </c>
      <c r="FZ25" s="844" t="s">
        <v>2232</v>
      </c>
    </row>
    <row r="26" spans="3:186" ht="23.25" customHeight="1">
      <c r="C26" s="1487"/>
      <c r="D26" s="1485" t="s">
        <v>1637</v>
      </c>
      <c r="E26" s="1485"/>
      <c r="F26" s="1485"/>
      <c r="G26" s="849" t="s">
        <v>2242</v>
      </c>
      <c r="H26" s="839"/>
      <c r="I26" s="839"/>
      <c r="J26" s="839"/>
      <c r="K26" s="839"/>
      <c r="L26" s="840">
        <f>'４．ガス単位換算_～R6工場現場'!AG45</f>
        <v>0</v>
      </c>
      <c r="M26" s="840">
        <f>'４．ガス単位換算_～R6工場現場'!AH45</f>
        <v>0</v>
      </c>
      <c r="N26" s="840">
        <f>'４．ガス単位換算_～R6工場現場'!AI45</f>
        <v>0</v>
      </c>
      <c r="O26" s="840">
        <f>'４．ガス単位換算_～R6工場現場'!AJ45</f>
        <v>0</v>
      </c>
      <c r="P26" s="840">
        <f>'４．ガス単位換算_～R6工場現場'!AK45</f>
        <v>0</v>
      </c>
      <c r="Q26" s="840">
        <f>'４．ガス単位換算_～R6工場現場'!AL45</f>
        <v>0</v>
      </c>
      <c r="R26" s="840">
        <f>'４．ガス単位換算_～R6工場現場'!AM45</f>
        <v>0</v>
      </c>
      <c r="S26" s="840">
        <f>'４．ガス単位換算_～R6工場現場'!AN45</f>
        <v>0</v>
      </c>
      <c r="T26" s="840">
        <f>'４．ガス単位換算_～R6工場現場'!AO45</f>
        <v>0</v>
      </c>
      <c r="U26" s="840">
        <f>'４．ガス単位換算_～R6工場現場'!AP45</f>
        <v>0</v>
      </c>
      <c r="V26" s="840">
        <f>'４．ガス単位換算_～R6工場現場'!AQ45</f>
        <v>0</v>
      </c>
      <c r="W26" s="840">
        <f>'４．ガス単位換算_～R6工場現場'!AR45</f>
        <v>0</v>
      </c>
      <c r="X26" s="840">
        <f>'４．ガス単位換算_～R6工場現場'!AS45</f>
        <v>0</v>
      </c>
      <c r="Y26" s="840">
        <f>'４．ガス単位換算_～R6工場現場'!AT45</f>
        <v>0</v>
      </c>
      <c r="Z26" s="840">
        <f>'４．ガス単位換算_～R6工場現場'!AU45</f>
        <v>0</v>
      </c>
      <c r="AA26" s="840">
        <f>'４．ガス単位換算_～R6工場現場'!AV45</f>
        <v>0</v>
      </c>
      <c r="AB26" s="840">
        <f>'４．ガス単位換算_～R6工場現場'!AW45</f>
        <v>0</v>
      </c>
      <c r="AC26" s="840">
        <f>'４．ガス単位換算_～R6工場現場'!AX45</f>
        <v>0</v>
      </c>
      <c r="AD26" s="840">
        <f>'４．ガス単位換算_～R6工場現場'!AY45</f>
        <v>0</v>
      </c>
      <c r="AE26" s="840">
        <f>'４．ガス単位換算_～R6工場現場'!AZ45</f>
        <v>0</v>
      </c>
      <c r="AF26" s="840">
        <f>'４．ガス単位換算_～R6工場現場'!BA45</f>
        <v>0</v>
      </c>
      <c r="AG26" s="840">
        <f>'４．ガス単位換算_～R6工場現場'!BB45</f>
        <v>0</v>
      </c>
      <c r="AH26" s="840">
        <f>'４．ガス単位換算_～R6工場現場'!BC45</f>
        <v>0</v>
      </c>
      <c r="AI26" s="839"/>
      <c r="AJ26" s="839"/>
      <c r="AK26" s="839"/>
      <c r="AL26" s="839"/>
      <c r="AM26" s="839"/>
      <c r="AN26" s="839"/>
      <c r="AO26" s="839"/>
      <c r="AP26" s="839"/>
      <c r="AQ26" s="839"/>
      <c r="AR26" s="839"/>
      <c r="AS26" s="839"/>
      <c r="AT26" s="839"/>
      <c r="AU26" s="839"/>
      <c r="AV26" s="839"/>
      <c r="AW26" s="839"/>
      <c r="AX26" s="839"/>
      <c r="AY26" s="839"/>
      <c r="AZ26" s="839"/>
      <c r="BA26" s="839"/>
      <c r="BB26" s="839"/>
      <c r="BC26" s="839"/>
      <c r="BD26" s="839"/>
      <c r="BE26" s="839"/>
      <c r="BF26" s="839"/>
      <c r="BG26" s="839"/>
      <c r="BH26" s="839"/>
      <c r="BI26" s="839"/>
      <c r="BJ26" s="840">
        <f t="shared" si="17"/>
        <v>0</v>
      </c>
      <c r="BK26" s="840">
        <f t="shared" si="17"/>
        <v>0</v>
      </c>
      <c r="BL26" s="840">
        <f t="shared" si="17"/>
        <v>0</v>
      </c>
      <c r="BM26" s="840">
        <f t="shared" si="17"/>
        <v>0</v>
      </c>
      <c r="BN26" s="840">
        <f t="shared" si="17"/>
        <v>0</v>
      </c>
      <c r="BO26" s="840">
        <f t="shared" si="17"/>
        <v>0</v>
      </c>
      <c r="BP26" s="840">
        <f t="shared" si="17"/>
        <v>0</v>
      </c>
      <c r="BQ26" s="840">
        <f t="shared" si="17"/>
        <v>0</v>
      </c>
      <c r="BR26" s="840">
        <f t="shared" si="17"/>
        <v>0</v>
      </c>
      <c r="BS26" s="840">
        <f t="shared" si="17"/>
        <v>0</v>
      </c>
      <c r="BT26" s="840">
        <f t="shared" si="17"/>
        <v>0</v>
      </c>
      <c r="BU26" s="840">
        <f t="shared" si="17"/>
        <v>0</v>
      </c>
      <c r="BV26" s="840">
        <f t="shared" si="17"/>
        <v>0</v>
      </c>
      <c r="BW26" s="840">
        <f t="shared" si="17"/>
        <v>0</v>
      </c>
      <c r="BX26" s="840">
        <f t="shared" si="17"/>
        <v>0</v>
      </c>
      <c r="BY26" s="840">
        <f t="shared" si="12"/>
        <v>0</v>
      </c>
      <c r="BZ26" s="840">
        <f t="shared" si="1"/>
        <v>0</v>
      </c>
      <c r="CA26" s="840">
        <f t="shared" si="1"/>
        <v>0</v>
      </c>
      <c r="CB26" s="840">
        <f t="shared" si="1"/>
        <v>0</v>
      </c>
      <c r="CC26" s="840">
        <f t="shared" si="1"/>
        <v>0</v>
      </c>
      <c r="CD26" s="840">
        <f t="shared" si="1"/>
        <v>0</v>
      </c>
      <c r="CE26" s="840">
        <f t="shared" si="1"/>
        <v>0</v>
      </c>
      <c r="CF26" s="840">
        <f t="shared" si="1"/>
        <v>0</v>
      </c>
      <c r="CG26" s="840">
        <f t="shared" si="2"/>
        <v>1</v>
      </c>
      <c r="CH26" s="847" t="s">
        <v>2235</v>
      </c>
      <c r="CI26" s="840">
        <f t="shared" si="11"/>
        <v>0</v>
      </c>
      <c r="CJ26" s="840">
        <f t="shared" si="11"/>
        <v>0</v>
      </c>
      <c r="CK26" s="840">
        <f t="shared" si="11"/>
        <v>0</v>
      </c>
      <c r="CL26" s="840">
        <f t="shared" si="11"/>
        <v>0</v>
      </c>
      <c r="CM26" s="840">
        <f t="shared" si="11"/>
        <v>0</v>
      </c>
      <c r="CN26" s="840">
        <f t="shared" si="11"/>
        <v>0</v>
      </c>
      <c r="CO26" s="840">
        <f t="shared" si="11"/>
        <v>0</v>
      </c>
      <c r="CP26" s="840">
        <f t="shared" si="11"/>
        <v>0</v>
      </c>
      <c r="CQ26" s="840">
        <f t="shared" si="11"/>
        <v>0</v>
      </c>
      <c r="CR26" s="840">
        <f t="shared" si="11"/>
        <v>0</v>
      </c>
      <c r="CS26" s="840">
        <f t="shared" si="11"/>
        <v>0</v>
      </c>
      <c r="CT26" s="840">
        <f t="shared" si="11"/>
        <v>0</v>
      </c>
      <c r="CU26" s="840">
        <f t="shared" si="11"/>
        <v>0</v>
      </c>
      <c r="CV26" s="840">
        <f t="shared" si="11"/>
        <v>0</v>
      </c>
      <c r="CW26" s="840">
        <f t="shared" si="11"/>
        <v>0</v>
      </c>
      <c r="CX26" s="840">
        <f t="shared" si="11"/>
        <v>0</v>
      </c>
      <c r="CY26" s="840">
        <f t="shared" si="13"/>
        <v>0</v>
      </c>
      <c r="CZ26" s="840">
        <f t="shared" si="13"/>
        <v>0</v>
      </c>
      <c r="DA26" s="840">
        <f t="shared" si="13"/>
        <v>0</v>
      </c>
      <c r="DB26" s="840">
        <f t="shared" si="13"/>
        <v>0</v>
      </c>
      <c r="DC26" s="840">
        <f t="shared" si="13"/>
        <v>0</v>
      </c>
      <c r="DD26" s="840">
        <f t="shared" si="13"/>
        <v>0</v>
      </c>
      <c r="DE26" s="840">
        <f t="shared" si="13"/>
        <v>0</v>
      </c>
      <c r="DF26" s="840">
        <f t="shared" si="18"/>
        <v>0</v>
      </c>
      <c r="DG26" s="840">
        <f t="shared" si="18"/>
        <v>0</v>
      </c>
      <c r="DH26" s="840">
        <f t="shared" si="18"/>
        <v>0</v>
      </c>
      <c r="DI26" s="840">
        <f t="shared" si="18"/>
        <v>0</v>
      </c>
      <c r="DJ26" s="840">
        <f t="shared" si="18"/>
        <v>0</v>
      </c>
      <c r="DK26" s="840">
        <f t="shared" si="18"/>
        <v>0</v>
      </c>
      <c r="DL26" s="840">
        <f t="shared" si="18"/>
        <v>0</v>
      </c>
      <c r="DM26" s="840">
        <f t="shared" si="18"/>
        <v>0</v>
      </c>
      <c r="DN26" s="840">
        <f t="shared" si="18"/>
        <v>0</v>
      </c>
      <c r="DO26" s="840">
        <f t="shared" si="18"/>
        <v>0</v>
      </c>
      <c r="DP26" s="840">
        <f t="shared" si="18"/>
        <v>0</v>
      </c>
      <c r="DQ26" s="840">
        <f t="shared" si="18"/>
        <v>0</v>
      </c>
      <c r="DR26" s="840">
        <f t="shared" si="18"/>
        <v>0</v>
      </c>
      <c r="DS26" s="840">
        <f t="shared" si="18"/>
        <v>0</v>
      </c>
      <c r="DT26" s="840">
        <f t="shared" si="18"/>
        <v>0</v>
      </c>
      <c r="DU26" s="840">
        <f t="shared" si="14"/>
        <v>0</v>
      </c>
      <c r="DV26" s="840">
        <f t="shared" si="6"/>
        <v>0</v>
      </c>
      <c r="DW26" s="840">
        <f t="shared" si="6"/>
        <v>0</v>
      </c>
      <c r="DX26" s="840">
        <f t="shared" si="6"/>
        <v>0</v>
      </c>
      <c r="DY26" s="840">
        <f t="shared" si="6"/>
        <v>0</v>
      </c>
      <c r="DZ26" s="840">
        <f t="shared" si="6"/>
        <v>0</v>
      </c>
      <c r="EA26" s="840">
        <f t="shared" si="6"/>
        <v>0</v>
      </c>
      <c r="EB26" s="840">
        <f t="shared" si="6"/>
        <v>0</v>
      </c>
      <c r="EC26" s="840">
        <f t="shared" si="19"/>
        <v>0</v>
      </c>
      <c r="ED26" s="840">
        <f t="shared" si="19"/>
        <v>0</v>
      </c>
      <c r="EE26" s="840">
        <f t="shared" si="19"/>
        <v>0</v>
      </c>
      <c r="EF26" s="840">
        <f t="shared" si="19"/>
        <v>0</v>
      </c>
      <c r="EG26" s="840">
        <f t="shared" si="19"/>
        <v>0</v>
      </c>
      <c r="EH26" s="840">
        <f t="shared" si="19"/>
        <v>0</v>
      </c>
      <c r="EI26" s="840">
        <f t="shared" si="19"/>
        <v>0</v>
      </c>
      <c r="EJ26" s="840">
        <f t="shared" si="19"/>
        <v>0</v>
      </c>
      <c r="EK26" s="840">
        <f t="shared" si="19"/>
        <v>0</v>
      </c>
      <c r="EL26" s="840">
        <f t="shared" si="19"/>
        <v>0</v>
      </c>
      <c r="EM26" s="840">
        <f t="shared" si="19"/>
        <v>0</v>
      </c>
      <c r="EN26" s="840">
        <f t="shared" si="19"/>
        <v>0</v>
      </c>
      <c r="EO26" s="840">
        <f t="shared" si="19"/>
        <v>0</v>
      </c>
      <c r="EP26" s="840">
        <f t="shared" si="19"/>
        <v>0</v>
      </c>
      <c r="EQ26" s="840">
        <f t="shared" si="19"/>
        <v>0</v>
      </c>
      <c r="ER26" s="840">
        <f t="shared" si="15"/>
        <v>0</v>
      </c>
      <c r="ES26" s="840">
        <f t="shared" si="8"/>
        <v>0</v>
      </c>
      <c r="ET26" s="840">
        <f t="shared" si="8"/>
        <v>0</v>
      </c>
      <c r="EU26" s="840">
        <f t="shared" si="8"/>
        <v>0</v>
      </c>
      <c r="EV26" s="840">
        <f t="shared" si="8"/>
        <v>0</v>
      </c>
      <c r="EW26" s="840">
        <f t="shared" si="8"/>
        <v>0</v>
      </c>
      <c r="EX26" s="840">
        <f t="shared" si="8"/>
        <v>0</v>
      </c>
      <c r="EY26" s="840">
        <f t="shared" si="8"/>
        <v>0</v>
      </c>
      <c r="EZ26" s="842">
        <f t="shared" si="20"/>
        <v>0</v>
      </c>
      <c r="FA26" s="842">
        <f t="shared" si="20"/>
        <v>0</v>
      </c>
      <c r="FB26" s="842">
        <f t="shared" si="20"/>
        <v>0</v>
      </c>
      <c r="FC26" s="842">
        <f t="shared" si="20"/>
        <v>0</v>
      </c>
      <c r="FD26" s="842">
        <f t="shared" si="20"/>
        <v>0</v>
      </c>
      <c r="FE26" s="842">
        <f t="shared" si="20"/>
        <v>0</v>
      </c>
      <c r="FF26" s="842">
        <f t="shared" si="20"/>
        <v>0</v>
      </c>
      <c r="FG26" s="842">
        <f t="shared" si="20"/>
        <v>0</v>
      </c>
      <c r="FH26" s="842">
        <f t="shared" si="20"/>
        <v>0</v>
      </c>
      <c r="FI26" s="842">
        <f t="shared" si="20"/>
        <v>0</v>
      </c>
      <c r="FJ26" s="842">
        <f t="shared" si="20"/>
        <v>0</v>
      </c>
      <c r="FK26" s="842">
        <f t="shared" si="20"/>
        <v>0</v>
      </c>
      <c r="FL26" s="842">
        <f t="shared" si="20"/>
        <v>0</v>
      </c>
      <c r="FM26" s="842">
        <f t="shared" si="20"/>
        <v>0</v>
      </c>
      <c r="FN26" s="842">
        <f t="shared" si="20"/>
        <v>0</v>
      </c>
      <c r="FO26" s="842">
        <f t="shared" si="16"/>
        <v>0</v>
      </c>
      <c r="FP26" s="842">
        <f t="shared" si="10"/>
        <v>0</v>
      </c>
      <c r="FQ26" s="842">
        <f t="shared" si="10"/>
        <v>0</v>
      </c>
      <c r="FR26" s="842">
        <f t="shared" si="10"/>
        <v>0</v>
      </c>
      <c r="FS26" s="842">
        <f t="shared" si="10"/>
        <v>0</v>
      </c>
      <c r="FT26" s="842">
        <f t="shared" si="10"/>
        <v>0</v>
      </c>
      <c r="FU26" s="842">
        <f t="shared" si="10"/>
        <v>0</v>
      </c>
      <c r="FV26" s="842">
        <f t="shared" si="10"/>
        <v>0</v>
      </c>
      <c r="FW26" s="843">
        <v>3.41</v>
      </c>
      <c r="FX26" s="848" t="s">
        <v>2236</v>
      </c>
      <c r="FY26" s="851">
        <v>2.63E-2</v>
      </c>
      <c r="FZ26" s="844" t="s">
        <v>2232</v>
      </c>
    </row>
    <row r="27" spans="3:186" ht="23.25" customHeight="1">
      <c r="C27" s="1487"/>
      <c r="D27" s="1485" t="s">
        <v>30</v>
      </c>
      <c r="E27" s="1485"/>
      <c r="F27" s="1485"/>
      <c r="G27" s="849" t="s">
        <v>2242</v>
      </c>
      <c r="H27" s="839"/>
      <c r="I27" s="839"/>
      <c r="J27" s="839"/>
      <c r="K27" s="839"/>
      <c r="L27" s="840">
        <f>'４．ガス単位換算_～R6工場現場'!AG48</f>
        <v>0</v>
      </c>
      <c r="M27" s="840">
        <f>'４．ガス単位換算_～R6工場現場'!AH48</f>
        <v>0</v>
      </c>
      <c r="N27" s="840">
        <f>'４．ガス単位換算_～R6工場現場'!AI48</f>
        <v>0</v>
      </c>
      <c r="O27" s="840">
        <f>'４．ガス単位換算_～R6工場現場'!AJ48</f>
        <v>0</v>
      </c>
      <c r="P27" s="840">
        <f>'４．ガス単位換算_～R6工場現場'!AK48</f>
        <v>0</v>
      </c>
      <c r="Q27" s="840">
        <f>'４．ガス単位換算_～R6工場現場'!AL48</f>
        <v>0</v>
      </c>
      <c r="R27" s="840">
        <f>'４．ガス単位換算_～R6工場現場'!AM48</f>
        <v>0</v>
      </c>
      <c r="S27" s="840">
        <f>'４．ガス単位換算_～R6工場現場'!AN48</f>
        <v>0</v>
      </c>
      <c r="T27" s="840">
        <f>'４．ガス単位換算_～R6工場現場'!AO48</f>
        <v>0</v>
      </c>
      <c r="U27" s="840">
        <f>'４．ガス単位換算_～R6工場現場'!AP48</f>
        <v>0</v>
      </c>
      <c r="V27" s="840">
        <f>'４．ガス単位換算_～R6工場現場'!AQ48</f>
        <v>0</v>
      </c>
      <c r="W27" s="840">
        <f>'４．ガス単位換算_～R6工場現場'!AR48</f>
        <v>0</v>
      </c>
      <c r="X27" s="840">
        <f>'４．ガス単位換算_～R6工場現場'!AS48</f>
        <v>0</v>
      </c>
      <c r="Y27" s="840">
        <f>'４．ガス単位換算_～R6工場現場'!AT48</f>
        <v>0</v>
      </c>
      <c r="Z27" s="840">
        <f>'４．ガス単位換算_～R6工場現場'!AU48</f>
        <v>0</v>
      </c>
      <c r="AA27" s="840">
        <f>'４．ガス単位換算_～R6工場現場'!AV48</f>
        <v>0</v>
      </c>
      <c r="AB27" s="840">
        <f>'４．ガス単位換算_～R6工場現場'!AW48</f>
        <v>0</v>
      </c>
      <c r="AC27" s="840">
        <f>'４．ガス単位換算_～R6工場現場'!AX48</f>
        <v>0</v>
      </c>
      <c r="AD27" s="840">
        <f>'４．ガス単位換算_～R6工場現場'!AY48</f>
        <v>0</v>
      </c>
      <c r="AE27" s="840">
        <f>'４．ガス単位換算_～R6工場現場'!AZ48</f>
        <v>0</v>
      </c>
      <c r="AF27" s="840">
        <f>'４．ガス単位換算_～R6工場現場'!BA48</f>
        <v>0</v>
      </c>
      <c r="AG27" s="840">
        <f>'４．ガス単位換算_～R6工場現場'!BB48</f>
        <v>0</v>
      </c>
      <c r="AH27" s="840">
        <f>'４．ガス単位換算_～R6工場現場'!BC48</f>
        <v>0</v>
      </c>
      <c r="AI27" s="839"/>
      <c r="AJ27" s="839"/>
      <c r="AK27" s="839"/>
      <c r="AL27" s="839"/>
      <c r="AM27" s="839"/>
      <c r="AN27" s="839"/>
      <c r="AO27" s="839"/>
      <c r="AP27" s="839"/>
      <c r="AQ27" s="839"/>
      <c r="AR27" s="839"/>
      <c r="AS27" s="839"/>
      <c r="AT27" s="839"/>
      <c r="AU27" s="839"/>
      <c r="AV27" s="839"/>
      <c r="AW27" s="839"/>
      <c r="AX27" s="839"/>
      <c r="AY27" s="839"/>
      <c r="AZ27" s="839"/>
      <c r="BA27" s="839"/>
      <c r="BB27" s="839"/>
      <c r="BC27" s="839"/>
      <c r="BD27" s="839"/>
      <c r="BE27" s="839"/>
      <c r="BF27" s="839"/>
      <c r="BG27" s="839"/>
      <c r="BH27" s="839"/>
      <c r="BI27" s="839"/>
      <c r="BJ27" s="840">
        <f t="shared" si="17"/>
        <v>0</v>
      </c>
      <c r="BK27" s="840">
        <f t="shared" si="17"/>
        <v>0</v>
      </c>
      <c r="BL27" s="840">
        <f t="shared" si="17"/>
        <v>0</v>
      </c>
      <c r="BM27" s="840">
        <f t="shared" si="17"/>
        <v>0</v>
      </c>
      <c r="BN27" s="840">
        <f t="shared" si="17"/>
        <v>0</v>
      </c>
      <c r="BO27" s="840">
        <f t="shared" si="17"/>
        <v>0</v>
      </c>
      <c r="BP27" s="840">
        <f t="shared" si="17"/>
        <v>0</v>
      </c>
      <c r="BQ27" s="840">
        <f t="shared" si="17"/>
        <v>0</v>
      </c>
      <c r="BR27" s="840">
        <f t="shared" si="17"/>
        <v>0</v>
      </c>
      <c r="BS27" s="840">
        <f t="shared" si="17"/>
        <v>0</v>
      </c>
      <c r="BT27" s="840">
        <f t="shared" si="17"/>
        <v>0</v>
      </c>
      <c r="BU27" s="840">
        <f t="shared" si="17"/>
        <v>0</v>
      </c>
      <c r="BV27" s="840">
        <f t="shared" si="17"/>
        <v>0</v>
      </c>
      <c r="BW27" s="840">
        <f t="shared" si="17"/>
        <v>0</v>
      </c>
      <c r="BX27" s="840">
        <f t="shared" si="17"/>
        <v>0</v>
      </c>
      <c r="BY27" s="840">
        <f t="shared" si="12"/>
        <v>0</v>
      </c>
      <c r="BZ27" s="840">
        <f t="shared" si="1"/>
        <v>0</v>
      </c>
      <c r="CA27" s="840">
        <f t="shared" si="1"/>
        <v>0</v>
      </c>
      <c r="CB27" s="840">
        <f t="shared" si="1"/>
        <v>0</v>
      </c>
      <c r="CC27" s="840">
        <f t="shared" si="1"/>
        <v>0</v>
      </c>
      <c r="CD27" s="840">
        <f t="shared" si="1"/>
        <v>0</v>
      </c>
      <c r="CE27" s="840">
        <f t="shared" si="1"/>
        <v>0</v>
      </c>
      <c r="CF27" s="840">
        <f t="shared" si="1"/>
        <v>0</v>
      </c>
      <c r="CG27" s="840">
        <f t="shared" si="2"/>
        <v>1</v>
      </c>
      <c r="CH27" s="847" t="s">
        <v>2235</v>
      </c>
      <c r="CI27" s="840">
        <f t="shared" si="11"/>
        <v>0</v>
      </c>
      <c r="CJ27" s="840">
        <f t="shared" si="11"/>
        <v>0</v>
      </c>
      <c r="CK27" s="840">
        <f t="shared" si="11"/>
        <v>0</v>
      </c>
      <c r="CL27" s="840">
        <f t="shared" si="11"/>
        <v>0</v>
      </c>
      <c r="CM27" s="840">
        <f t="shared" si="11"/>
        <v>0</v>
      </c>
      <c r="CN27" s="840">
        <f t="shared" si="11"/>
        <v>0</v>
      </c>
      <c r="CO27" s="840">
        <f t="shared" si="11"/>
        <v>0</v>
      </c>
      <c r="CP27" s="840">
        <f t="shared" si="11"/>
        <v>0</v>
      </c>
      <c r="CQ27" s="840">
        <f t="shared" si="11"/>
        <v>0</v>
      </c>
      <c r="CR27" s="840">
        <f t="shared" si="11"/>
        <v>0</v>
      </c>
      <c r="CS27" s="840">
        <f t="shared" si="11"/>
        <v>0</v>
      </c>
      <c r="CT27" s="840">
        <f t="shared" si="11"/>
        <v>0</v>
      </c>
      <c r="CU27" s="840">
        <f t="shared" si="11"/>
        <v>0</v>
      </c>
      <c r="CV27" s="840">
        <f t="shared" si="11"/>
        <v>0</v>
      </c>
      <c r="CW27" s="840">
        <f t="shared" si="11"/>
        <v>0</v>
      </c>
      <c r="CX27" s="840">
        <f t="shared" si="11"/>
        <v>0</v>
      </c>
      <c r="CY27" s="840">
        <f t="shared" si="13"/>
        <v>0</v>
      </c>
      <c r="CZ27" s="840">
        <f t="shared" si="13"/>
        <v>0</v>
      </c>
      <c r="DA27" s="840">
        <f t="shared" si="13"/>
        <v>0</v>
      </c>
      <c r="DB27" s="840">
        <f t="shared" si="13"/>
        <v>0</v>
      </c>
      <c r="DC27" s="840">
        <f t="shared" si="13"/>
        <v>0</v>
      </c>
      <c r="DD27" s="840">
        <f t="shared" si="13"/>
        <v>0</v>
      </c>
      <c r="DE27" s="840">
        <f t="shared" si="13"/>
        <v>0</v>
      </c>
      <c r="DF27" s="840">
        <f t="shared" si="18"/>
        <v>0</v>
      </c>
      <c r="DG27" s="840">
        <f t="shared" si="18"/>
        <v>0</v>
      </c>
      <c r="DH27" s="840">
        <f t="shared" si="18"/>
        <v>0</v>
      </c>
      <c r="DI27" s="840">
        <f t="shared" si="18"/>
        <v>0</v>
      </c>
      <c r="DJ27" s="840">
        <f t="shared" si="18"/>
        <v>0</v>
      </c>
      <c r="DK27" s="840">
        <f t="shared" si="18"/>
        <v>0</v>
      </c>
      <c r="DL27" s="840">
        <f t="shared" si="18"/>
        <v>0</v>
      </c>
      <c r="DM27" s="840">
        <f t="shared" si="18"/>
        <v>0</v>
      </c>
      <c r="DN27" s="840">
        <f t="shared" si="18"/>
        <v>0</v>
      </c>
      <c r="DO27" s="840">
        <f t="shared" si="18"/>
        <v>0</v>
      </c>
      <c r="DP27" s="840">
        <f t="shared" si="18"/>
        <v>0</v>
      </c>
      <c r="DQ27" s="840">
        <f t="shared" si="18"/>
        <v>0</v>
      </c>
      <c r="DR27" s="840">
        <f t="shared" si="18"/>
        <v>0</v>
      </c>
      <c r="DS27" s="840">
        <f t="shared" si="18"/>
        <v>0</v>
      </c>
      <c r="DT27" s="840">
        <f t="shared" si="18"/>
        <v>0</v>
      </c>
      <c r="DU27" s="840">
        <f t="shared" si="14"/>
        <v>0</v>
      </c>
      <c r="DV27" s="840">
        <f t="shared" si="6"/>
        <v>0</v>
      </c>
      <c r="DW27" s="840">
        <f t="shared" si="6"/>
        <v>0</v>
      </c>
      <c r="DX27" s="840">
        <f t="shared" si="6"/>
        <v>0</v>
      </c>
      <c r="DY27" s="840">
        <f t="shared" si="6"/>
        <v>0</v>
      </c>
      <c r="DZ27" s="840">
        <f t="shared" si="6"/>
        <v>0</v>
      </c>
      <c r="EA27" s="840">
        <f t="shared" si="6"/>
        <v>0</v>
      </c>
      <c r="EB27" s="840">
        <f t="shared" si="6"/>
        <v>0</v>
      </c>
      <c r="EC27" s="840">
        <f t="shared" si="19"/>
        <v>0</v>
      </c>
      <c r="ED27" s="840">
        <f t="shared" si="19"/>
        <v>0</v>
      </c>
      <c r="EE27" s="840">
        <f t="shared" si="19"/>
        <v>0</v>
      </c>
      <c r="EF27" s="840">
        <f t="shared" si="19"/>
        <v>0</v>
      </c>
      <c r="EG27" s="840">
        <f t="shared" si="19"/>
        <v>0</v>
      </c>
      <c r="EH27" s="840">
        <f t="shared" si="19"/>
        <v>0</v>
      </c>
      <c r="EI27" s="840">
        <f t="shared" si="19"/>
        <v>0</v>
      </c>
      <c r="EJ27" s="840">
        <f t="shared" si="19"/>
        <v>0</v>
      </c>
      <c r="EK27" s="840">
        <f t="shared" si="19"/>
        <v>0</v>
      </c>
      <c r="EL27" s="840">
        <f t="shared" si="19"/>
        <v>0</v>
      </c>
      <c r="EM27" s="840">
        <f t="shared" si="19"/>
        <v>0</v>
      </c>
      <c r="EN27" s="840">
        <f t="shared" si="19"/>
        <v>0</v>
      </c>
      <c r="EO27" s="840">
        <f t="shared" si="19"/>
        <v>0</v>
      </c>
      <c r="EP27" s="840">
        <f t="shared" si="19"/>
        <v>0</v>
      </c>
      <c r="EQ27" s="840">
        <f t="shared" si="19"/>
        <v>0</v>
      </c>
      <c r="ER27" s="840">
        <f t="shared" si="15"/>
        <v>0</v>
      </c>
      <c r="ES27" s="840">
        <f t="shared" si="8"/>
        <v>0</v>
      </c>
      <c r="ET27" s="840">
        <f t="shared" si="8"/>
        <v>0</v>
      </c>
      <c r="EU27" s="840">
        <f t="shared" si="8"/>
        <v>0</v>
      </c>
      <c r="EV27" s="840">
        <f t="shared" si="8"/>
        <v>0</v>
      </c>
      <c r="EW27" s="840">
        <f t="shared" si="8"/>
        <v>0</v>
      </c>
      <c r="EX27" s="840">
        <f t="shared" si="8"/>
        <v>0</v>
      </c>
      <c r="EY27" s="840">
        <f t="shared" si="8"/>
        <v>0</v>
      </c>
      <c r="EZ27" s="842">
        <f t="shared" si="20"/>
        <v>0</v>
      </c>
      <c r="FA27" s="842">
        <f t="shared" si="20"/>
        <v>0</v>
      </c>
      <c r="FB27" s="842">
        <f t="shared" si="20"/>
        <v>0</v>
      </c>
      <c r="FC27" s="842">
        <f t="shared" si="20"/>
        <v>0</v>
      </c>
      <c r="FD27" s="842">
        <f t="shared" si="20"/>
        <v>0</v>
      </c>
      <c r="FE27" s="842">
        <f t="shared" si="20"/>
        <v>0</v>
      </c>
      <c r="FF27" s="842">
        <f t="shared" si="20"/>
        <v>0</v>
      </c>
      <c r="FG27" s="842">
        <f t="shared" si="20"/>
        <v>0</v>
      </c>
      <c r="FH27" s="842">
        <f t="shared" si="20"/>
        <v>0</v>
      </c>
      <c r="FI27" s="842">
        <f t="shared" si="20"/>
        <v>0</v>
      </c>
      <c r="FJ27" s="842">
        <f t="shared" si="20"/>
        <v>0</v>
      </c>
      <c r="FK27" s="842">
        <f t="shared" si="20"/>
        <v>0</v>
      </c>
      <c r="FL27" s="842">
        <f t="shared" si="20"/>
        <v>0</v>
      </c>
      <c r="FM27" s="842">
        <f t="shared" si="20"/>
        <v>0</v>
      </c>
      <c r="FN27" s="842">
        <f t="shared" si="20"/>
        <v>0</v>
      </c>
      <c r="FO27" s="842">
        <f t="shared" si="16"/>
        <v>0</v>
      </c>
      <c r="FP27" s="842">
        <f t="shared" si="10"/>
        <v>0</v>
      </c>
      <c r="FQ27" s="842">
        <f t="shared" si="10"/>
        <v>0</v>
      </c>
      <c r="FR27" s="842">
        <f t="shared" si="10"/>
        <v>0</v>
      </c>
      <c r="FS27" s="842">
        <f t="shared" si="10"/>
        <v>0</v>
      </c>
      <c r="FT27" s="842">
        <f t="shared" si="10"/>
        <v>0</v>
      </c>
      <c r="FU27" s="842">
        <f t="shared" si="10"/>
        <v>0</v>
      </c>
      <c r="FV27" s="842">
        <f t="shared" si="10"/>
        <v>0</v>
      </c>
      <c r="FW27" s="843">
        <v>8.41</v>
      </c>
      <c r="FX27" s="848" t="s">
        <v>2236</v>
      </c>
      <c r="FY27" s="843">
        <v>3.8399999999999997E-2</v>
      </c>
      <c r="FZ27" s="844" t="s">
        <v>2232</v>
      </c>
    </row>
    <row r="28" spans="3:186" ht="23.25" customHeight="1">
      <c r="C28" s="1487"/>
      <c r="D28" s="1485" t="s">
        <v>31</v>
      </c>
      <c r="E28" s="1424" t="s">
        <v>2243</v>
      </c>
      <c r="F28" s="781" t="s">
        <v>2152</v>
      </c>
      <c r="G28" s="849" t="s">
        <v>2242</v>
      </c>
      <c r="H28" s="839"/>
      <c r="I28" s="839"/>
      <c r="J28" s="839"/>
      <c r="K28" s="839"/>
      <c r="L28" s="852"/>
      <c r="M28" s="852"/>
      <c r="N28" s="852"/>
      <c r="O28" s="840">
        <f>'４．ガス単位換算_～R6工場現場'!AJ9</f>
        <v>0</v>
      </c>
      <c r="P28" s="840">
        <f>'４．ガス単位換算_～R6工場現場'!AK9</f>
        <v>0</v>
      </c>
      <c r="Q28" s="840">
        <f>'４．ガス単位換算_～R6工場現場'!AL9</f>
        <v>0</v>
      </c>
      <c r="R28" s="840">
        <f>'４．ガス単位換算_～R6工場現場'!AM9</f>
        <v>0</v>
      </c>
      <c r="S28" s="840">
        <f>'４．ガス単位換算_～R6工場現場'!AN9</f>
        <v>0</v>
      </c>
      <c r="T28" s="840">
        <f>'４．ガス単位換算_～R6工場現場'!AO9</f>
        <v>0</v>
      </c>
      <c r="U28" s="840">
        <f>'４．ガス単位換算_～R6工場現場'!AP9</f>
        <v>0</v>
      </c>
      <c r="V28" s="840">
        <f>'４．ガス単位換算_～R6工場現場'!AQ9</f>
        <v>0</v>
      </c>
      <c r="W28" s="840">
        <f>'４．ガス単位換算_～R6工場現場'!AR9</f>
        <v>0</v>
      </c>
      <c r="X28" s="840">
        <f>'４．ガス単位換算_～R6工場現場'!AS9</f>
        <v>0</v>
      </c>
      <c r="Y28" s="840">
        <f>'４．ガス単位換算_～R6工場現場'!AT9</f>
        <v>0</v>
      </c>
      <c r="Z28" s="840">
        <f>'４．ガス単位換算_～R6工場現場'!AU9</f>
        <v>0</v>
      </c>
      <c r="AA28" s="840">
        <f>'４．ガス単位換算_～R6工場現場'!AV9</f>
        <v>0</v>
      </c>
      <c r="AB28" s="840">
        <f>'４．ガス単位換算_～R6工場現場'!AW9</f>
        <v>0</v>
      </c>
      <c r="AC28" s="840">
        <f>'４．ガス単位換算_～R6工場現場'!AX9</f>
        <v>0</v>
      </c>
      <c r="AD28" s="840">
        <f>'４．ガス単位換算_～R6工場現場'!AY9</f>
        <v>0</v>
      </c>
      <c r="AE28" s="840">
        <f>'４．ガス単位換算_～R6工場現場'!AZ9</f>
        <v>0</v>
      </c>
      <c r="AF28" s="840">
        <f>'４．ガス単位換算_～R6工場現場'!BA9</f>
        <v>0</v>
      </c>
      <c r="AG28" s="840">
        <f>'４．ガス単位換算_～R6工場現場'!BB9</f>
        <v>0</v>
      </c>
      <c r="AH28" s="840">
        <f>'４．ガス単位換算_～R6工場現場'!BC9</f>
        <v>0</v>
      </c>
      <c r="AI28" s="839"/>
      <c r="AJ28" s="839"/>
      <c r="AK28" s="839"/>
      <c r="AL28" s="839"/>
      <c r="AM28" s="852"/>
      <c r="AN28" s="852"/>
      <c r="AO28" s="852"/>
      <c r="AP28" s="839"/>
      <c r="AQ28" s="839"/>
      <c r="AR28" s="839"/>
      <c r="AS28" s="839"/>
      <c r="AT28" s="839"/>
      <c r="AU28" s="839"/>
      <c r="AV28" s="839"/>
      <c r="AW28" s="839"/>
      <c r="AX28" s="839"/>
      <c r="AY28" s="839"/>
      <c r="AZ28" s="839"/>
      <c r="BA28" s="839"/>
      <c r="BB28" s="839"/>
      <c r="BC28" s="839"/>
      <c r="BD28" s="839"/>
      <c r="BE28" s="839"/>
      <c r="BF28" s="839"/>
      <c r="BG28" s="839"/>
      <c r="BH28" s="839"/>
      <c r="BI28" s="839"/>
      <c r="BJ28" s="840">
        <f t="shared" si="17"/>
        <v>0</v>
      </c>
      <c r="BK28" s="840">
        <f t="shared" si="17"/>
        <v>0</v>
      </c>
      <c r="BL28" s="840">
        <f t="shared" si="17"/>
        <v>0</v>
      </c>
      <c r="BM28" s="840">
        <f t="shared" si="17"/>
        <v>0</v>
      </c>
      <c r="BN28" s="840">
        <f t="shared" si="17"/>
        <v>0</v>
      </c>
      <c r="BO28" s="840">
        <f t="shared" si="17"/>
        <v>0</v>
      </c>
      <c r="BP28" s="840">
        <f t="shared" si="17"/>
        <v>0</v>
      </c>
      <c r="BQ28" s="840">
        <f t="shared" si="17"/>
        <v>0</v>
      </c>
      <c r="BR28" s="840">
        <f t="shared" si="17"/>
        <v>0</v>
      </c>
      <c r="BS28" s="840">
        <f t="shared" si="17"/>
        <v>0</v>
      </c>
      <c r="BT28" s="840">
        <f t="shared" si="17"/>
        <v>0</v>
      </c>
      <c r="BU28" s="840">
        <f t="shared" si="17"/>
        <v>0</v>
      </c>
      <c r="BV28" s="840">
        <f t="shared" si="17"/>
        <v>0</v>
      </c>
      <c r="BW28" s="840">
        <f t="shared" si="17"/>
        <v>0</v>
      </c>
      <c r="BX28" s="840">
        <f t="shared" si="17"/>
        <v>0</v>
      </c>
      <c r="BY28" s="840">
        <f t="shared" si="12"/>
        <v>0</v>
      </c>
      <c r="BZ28" s="840">
        <f t="shared" si="1"/>
        <v>0</v>
      </c>
      <c r="CA28" s="840">
        <f t="shared" si="1"/>
        <v>0</v>
      </c>
      <c r="CB28" s="840">
        <f t="shared" si="1"/>
        <v>0</v>
      </c>
      <c r="CC28" s="840">
        <f t="shared" si="1"/>
        <v>0</v>
      </c>
      <c r="CD28" s="840">
        <f t="shared" si="1"/>
        <v>0</v>
      </c>
      <c r="CE28" s="840">
        <f t="shared" si="1"/>
        <v>0</v>
      </c>
      <c r="CF28" s="840">
        <f t="shared" si="1"/>
        <v>0</v>
      </c>
      <c r="CG28" s="840">
        <f t="shared" si="2"/>
        <v>1</v>
      </c>
      <c r="CH28" s="847" t="s">
        <v>2235</v>
      </c>
      <c r="CI28" s="840">
        <f t="shared" si="11"/>
        <v>0</v>
      </c>
      <c r="CJ28" s="840">
        <f t="shared" si="11"/>
        <v>0</v>
      </c>
      <c r="CK28" s="840">
        <f t="shared" si="11"/>
        <v>0</v>
      </c>
      <c r="CL28" s="840">
        <f t="shared" si="11"/>
        <v>0</v>
      </c>
      <c r="CM28" s="840">
        <f t="shared" si="11"/>
        <v>0</v>
      </c>
      <c r="CN28" s="840">
        <f t="shared" si="11"/>
        <v>0</v>
      </c>
      <c r="CO28" s="840">
        <f t="shared" si="11"/>
        <v>0</v>
      </c>
      <c r="CP28" s="840">
        <f t="shared" si="11"/>
        <v>0</v>
      </c>
      <c r="CQ28" s="840">
        <f t="shared" si="11"/>
        <v>0</v>
      </c>
      <c r="CR28" s="840">
        <f t="shared" si="11"/>
        <v>0</v>
      </c>
      <c r="CS28" s="840">
        <f t="shared" si="11"/>
        <v>0</v>
      </c>
      <c r="CT28" s="840">
        <f t="shared" si="11"/>
        <v>0</v>
      </c>
      <c r="CU28" s="840">
        <f t="shared" si="11"/>
        <v>0</v>
      </c>
      <c r="CV28" s="840">
        <f t="shared" si="11"/>
        <v>0</v>
      </c>
      <c r="CW28" s="840">
        <f t="shared" si="11"/>
        <v>0</v>
      </c>
      <c r="CX28" s="840">
        <f t="shared" si="11"/>
        <v>0</v>
      </c>
      <c r="CY28" s="840">
        <f t="shared" si="13"/>
        <v>0</v>
      </c>
      <c r="CZ28" s="840">
        <f t="shared" si="13"/>
        <v>0</v>
      </c>
      <c r="DA28" s="840">
        <f t="shared" si="13"/>
        <v>0</v>
      </c>
      <c r="DB28" s="840">
        <f t="shared" si="13"/>
        <v>0</v>
      </c>
      <c r="DC28" s="840">
        <f t="shared" si="13"/>
        <v>0</v>
      </c>
      <c r="DD28" s="840">
        <f t="shared" si="13"/>
        <v>0</v>
      </c>
      <c r="DE28" s="840">
        <f t="shared" si="13"/>
        <v>0</v>
      </c>
      <c r="DF28" s="840">
        <f t="shared" si="18"/>
        <v>0</v>
      </c>
      <c r="DG28" s="840">
        <f t="shared" si="18"/>
        <v>0</v>
      </c>
      <c r="DH28" s="840">
        <f t="shared" si="18"/>
        <v>0</v>
      </c>
      <c r="DI28" s="840">
        <f t="shared" si="18"/>
        <v>0</v>
      </c>
      <c r="DJ28" s="840">
        <f t="shared" si="18"/>
        <v>0</v>
      </c>
      <c r="DK28" s="840">
        <f t="shared" si="18"/>
        <v>0</v>
      </c>
      <c r="DL28" s="840">
        <f t="shared" si="18"/>
        <v>0</v>
      </c>
      <c r="DM28" s="840">
        <f t="shared" si="18"/>
        <v>0</v>
      </c>
      <c r="DN28" s="840">
        <f t="shared" si="18"/>
        <v>0</v>
      </c>
      <c r="DO28" s="840">
        <f t="shared" si="18"/>
        <v>0</v>
      </c>
      <c r="DP28" s="840">
        <f t="shared" si="18"/>
        <v>0</v>
      </c>
      <c r="DQ28" s="840">
        <f t="shared" si="18"/>
        <v>0</v>
      </c>
      <c r="DR28" s="840">
        <f t="shared" si="18"/>
        <v>0</v>
      </c>
      <c r="DS28" s="840">
        <f t="shared" si="18"/>
        <v>0</v>
      </c>
      <c r="DT28" s="840">
        <f t="shared" si="18"/>
        <v>0</v>
      </c>
      <c r="DU28" s="840">
        <f t="shared" si="14"/>
        <v>0</v>
      </c>
      <c r="DV28" s="840">
        <f t="shared" si="6"/>
        <v>0</v>
      </c>
      <c r="DW28" s="840">
        <f t="shared" si="6"/>
        <v>0</v>
      </c>
      <c r="DX28" s="840">
        <f t="shared" si="6"/>
        <v>0</v>
      </c>
      <c r="DY28" s="840">
        <f t="shared" si="6"/>
        <v>0</v>
      </c>
      <c r="DZ28" s="840">
        <f t="shared" si="6"/>
        <v>0</v>
      </c>
      <c r="EA28" s="840">
        <f t="shared" si="6"/>
        <v>0</v>
      </c>
      <c r="EB28" s="840">
        <f t="shared" si="6"/>
        <v>0</v>
      </c>
      <c r="EC28" s="840">
        <f t="shared" si="19"/>
        <v>0</v>
      </c>
      <c r="ED28" s="840">
        <f t="shared" si="19"/>
        <v>0</v>
      </c>
      <c r="EE28" s="840">
        <f t="shared" si="19"/>
        <v>0</v>
      </c>
      <c r="EF28" s="840">
        <f t="shared" si="19"/>
        <v>0</v>
      </c>
      <c r="EG28" s="840">
        <f t="shared" si="19"/>
        <v>0</v>
      </c>
      <c r="EH28" s="840">
        <f t="shared" si="19"/>
        <v>0</v>
      </c>
      <c r="EI28" s="840">
        <f t="shared" si="19"/>
        <v>0</v>
      </c>
      <c r="EJ28" s="840">
        <f t="shared" si="19"/>
        <v>0</v>
      </c>
      <c r="EK28" s="840">
        <f t="shared" si="19"/>
        <v>0</v>
      </c>
      <c r="EL28" s="840">
        <f t="shared" si="19"/>
        <v>0</v>
      </c>
      <c r="EM28" s="840">
        <f t="shared" si="19"/>
        <v>0</v>
      </c>
      <c r="EN28" s="840">
        <f t="shared" si="19"/>
        <v>0</v>
      </c>
      <c r="EO28" s="840">
        <f t="shared" si="19"/>
        <v>0</v>
      </c>
      <c r="EP28" s="840">
        <f t="shared" si="19"/>
        <v>0</v>
      </c>
      <c r="EQ28" s="840">
        <f t="shared" si="19"/>
        <v>0</v>
      </c>
      <c r="ER28" s="840">
        <f t="shared" si="15"/>
        <v>0</v>
      </c>
      <c r="ES28" s="840">
        <f t="shared" si="8"/>
        <v>0</v>
      </c>
      <c r="ET28" s="840">
        <f t="shared" si="8"/>
        <v>0</v>
      </c>
      <c r="EU28" s="840">
        <f t="shared" si="8"/>
        <v>0</v>
      </c>
      <c r="EV28" s="840">
        <f t="shared" si="8"/>
        <v>0</v>
      </c>
      <c r="EW28" s="840">
        <f t="shared" si="8"/>
        <v>0</v>
      </c>
      <c r="EX28" s="840">
        <f t="shared" si="8"/>
        <v>0</v>
      </c>
      <c r="EY28" s="840">
        <f t="shared" si="8"/>
        <v>0</v>
      </c>
      <c r="EZ28" s="842">
        <f t="shared" si="20"/>
        <v>0</v>
      </c>
      <c r="FA28" s="842">
        <f t="shared" si="20"/>
        <v>0</v>
      </c>
      <c r="FB28" s="842">
        <f t="shared" si="20"/>
        <v>0</v>
      </c>
      <c r="FC28" s="842">
        <f t="shared" si="20"/>
        <v>0</v>
      </c>
      <c r="FD28" s="842">
        <f t="shared" si="20"/>
        <v>0</v>
      </c>
      <c r="FE28" s="842">
        <f t="shared" si="20"/>
        <v>0</v>
      </c>
      <c r="FF28" s="842">
        <f t="shared" si="20"/>
        <v>0</v>
      </c>
      <c r="FG28" s="842">
        <f t="shared" si="20"/>
        <v>0</v>
      </c>
      <c r="FH28" s="842">
        <f t="shared" si="20"/>
        <v>0</v>
      </c>
      <c r="FI28" s="842">
        <f t="shared" si="20"/>
        <v>0</v>
      </c>
      <c r="FJ28" s="842">
        <f t="shared" si="20"/>
        <v>0</v>
      </c>
      <c r="FK28" s="842">
        <f t="shared" si="20"/>
        <v>0</v>
      </c>
      <c r="FL28" s="842">
        <f t="shared" si="20"/>
        <v>0</v>
      </c>
      <c r="FM28" s="842">
        <f t="shared" si="20"/>
        <v>0</v>
      </c>
      <c r="FN28" s="842">
        <f t="shared" si="20"/>
        <v>0</v>
      </c>
      <c r="FO28" s="842">
        <f t="shared" si="16"/>
        <v>0</v>
      </c>
      <c r="FP28" s="842">
        <f t="shared" si="10"/>
        <v>0</v>
      </c>
      <c r="FQ28" s="842">
        <f t="shared" si="10"/>
        <v>0</v>
      </c>
      <c r="FR28" s="842">
        <f t="shared" si="10"/>
        <v>0</v>
      </c>
      <c r="FS28" s="842">
        <f t="shared" si="10"/>
        <v>0</v>
      </c>
      <c r="FT28" s="842">
        <f t="shared" si="10"/>
        <v>0</v>
      </c>
      <c r="FU28" s="842">
        <f t="shared" si="10"/>
        <v>0</v>
      </c>
      <c r="FV28" s="842">
        <f t="shared" si="10"/>
        <v>0</v>
      </c>
      <c r="FW28" s="843">
        <v>45</v>
      </c>
      <c r="FX28" s="848" t="s">
        <v>2236</v>
      </c>
      <c r="FY28" s="843">
        <v>1.3599999999999999E-2</v>
      </c>
      <c r="FZ28" s="844" t="s">
        <v>2232</v>
      </c>
    </row>
    <row r="29" spans="3:186" ht="23.25" customHeight="1">
      <c r="C29" s="1487"/>
      <c r="D29" s="1476"/>
      <c r="E29" s="1425"/>
      <c r="F29" s="781" t="s">
        <v>2157</v>
      </c>
      <c r="G29" s="849" t="s">
        <v>2242</v>
      </c>
      <c r="H29" s="839"/>
      <c r="I29" s="839"/>
      <c r="J29" s="839"/>
      <c r="K29" s="839"/>
      <c r="L29" s="840">
        <f>'４．ガス単位換算_～R6工場現場'!AG12</f>
        <v>0</v>
      </c>
      <c r="M29" s="840">
        <f>'４．ガス単位換算_～R6工場現場'!AH12</f>
        <v>0</v>
      </c>
      <c r="N29" s="840">
        <f>'４．ガス単位換算_～R6工場現場'!AI12</f>
        <v>0</v>
      </c>
      <c r="O29" s="840">
        <f>'４．ガス単位換算_～R6工場現場'!AJ12</f>
        <v>0</v>
      </c>
      <c r="P29" s="840">
        <f>'４．ガス単位換算_～R6工場現場'!AK12</f>
        <v>0</v>
      </c>
      <c r="Q29" s="840">
        <f>'４．ガス単位換算_～R6工場現場'!AL12</f>
        <v>0</v>
      </c>
      <c r="R29" s="840">
        <f>'４．ガス単位換算_～R6工場現場'!AM12</f>
        <v>0</v>
      </c>
      <c r="S29" s="840">
        <f>'４．ガス単位換算_～R6工場現場'!AN12</f>
        <v>0</v>
      </c>
      <c r="T29" s="840">
        <f>'４．ガス単位換算_～R6工場現場'!AO12</f>
        <v>0</v>
      </c>
      <c r="U29" s="840">
        <f>'４．ガス単位換算_～R6工場現場'!AP12</f>
        <v>0</v>
      </c>
      <c r="V29" s="840">
        <f>'４．ガス単位換算_～R6工場現場'!AQ12</f>
        <v>0</v>
      </c>
      <c r="W29" s="840">
        <f>'４．ガス単位換算_～R6工場現場'!AR12</f>
        <v>0</v>
      </c>
      <c r="X29" s="840">
        <f>'４．ガス単位換算_～R6工場現場'!AS12</f>
        <v>0</v>
      </c>
      <c r="Y29" s="840">
        <f>'４．ガス単位換算_～R6工場現場'!AT12</f>
        <v>0</v>
      </c>
      <c r="Z29" s="840">
        <f>'４．ガス単位換算_～R6工場現場'!AU12</f>
        <v>0</v>
      </c>
      <c r="AA29" s="840">
        <f>'４．ガス単位換算_～R6工場現場'!AV12</f>
        <v>0</v>
      </c>
      <c r="AB29" s="840">
        <f>'４．ガス単位換算_～R6工場現場'!AW12</f>
        <v>0</v>
      </c>
      <c r="AC29" s="840">
        <f>'４．ガス単位換算_～R6工場現場'!AX12</f>
        <v>0</v>
      </c>
      <c r="AD29" s="840">
        <f>'４．ガス単位換算_～R6工場現場'!AY12</f>
        <v>0</v>
      </c>
      <c r="AE29" s="840">
        <f>'４．ガス単位換算_～R6工場現場'!AZ12</f>
        <v>0</v>
      </c>
      <c r="AF29" s="840">
        <f>'４．ガス単位換算_～R6工場現場'!BA12</f>
        <v>0</v>
      </c>
      <c r="AG29" s="840">
        <f>'４．ガス単位換算_～R6工場現場'!BB12</f>
        <v>0</v>
      </c>
      <c r="AH29" s="840">
        <f>'４．ガス単位換算_～R6工場現場'!BC12</f>
        <v>0</v>
      </c>
      <c r="AI29" s="839"/>
      <c r="AJ29" s="839"/>
      <c r="AK29" s="839"/>
      <c r="AL29" s="839"/>
      <c r="AM29" s="839"/>
      <c r="AN29" s="839"/>
      <c r="AO29" s="839"/>
      <c r="AP29" s="839"/>
      <c r="AQ29" s="839"/>
      <c r="AR29" s="839"/>
      <c r="AS29" s="839"/>
      <c r="AT29" s="839"/>
      <c r="AU29" s="839"/>
      <c r="AV29" s="839"/>
      <c r="AW29" s="839"/>
      <c r="AX29" s="839"/>
      <c r="AY29" s="839"/>
      <c r="AZ29" s="839"/>
      <c r="BA29" s="839"/>
      <c r="BB29" s="839"/>
      <c r="BC29" s="839"/>
      <c r="BD29" s="839"/>
      <c r="BE29" s="839"/>
      <c r="BF29" s="839"/>
      <c r="BG29" s="839"/>
      <c r="BH29" s="839"/>
      <c r="BI29" s="839"/>
      <c r="BJ29" s="840">
        <f t="shared" si="17"/>
        <v>0</v>
      </c>
      <c r="BK29" s="840">
        <f t="shared" si="17"/>
        <v>0</v>
      </c>
      <c r="BL29" s="840">
        <f t="shared" si="17"/>
        <v>0</v>
      </c>
      <c r="BM29" s="840">
        <f t="shared" si="17"/>
        <v>0</v>
      </c>
      <c r="BN29" s="840">
        <f t="shared" si="17"/>
        <v>0</v>
      </c>
      <c r="BO29" s="840">
        <f t="shared" si="17"/>
        <v>0</v>
      </c>
      <c r="BP29" s="840">
        <f t="shared" si="17"/>
        <v>0</v>
      </c>
      <c r="BQ29" s="840">
        <f t="shared" si="17"/>
        <v>0</v>
      </c>
      <c r="BR29" s="840">
        <f t="shared" si="17"/>
        <v>0</v>
      </c>
      <c r="BS29" s="840">
        <f t="shared" si="17"/>
        <v>0</v>
      </c>
      <c r="BT29" s="840">
        <f t="shared" si="17"/>
        <v>0</v>
      </c>
      <c r="BU29" s="840">
        <f t="shared" si="17"/>
        <v>0</v>
      </c>
      <c r="BV29" s="840">
        <f t="shared" si="17"/>
        <v>0</v>
      </c>
      <c r="BW29" s="840">
        <f t="shared" si="17"/>
        <v>0</v>
      </c>
      <c r="BX29" s="840">
        <f t="shared" si="17"/>
        <v>0</v>
      </c>
      <c r="BY29" s="840">
        <f t="shared" si="12"/>
        <v>0</v>
      </c>
      <c r="BZ29" s="840">
        <f t="shared" si="1"/>
        <v>0</v>
      </c>
      <c r="CA29" s="840">
        <f t="shared" si="1"/>
        <v>0</v>
      </c>
      <c r="CB29" s="840">
        <f t="shared" si="1"/>
        <v>0</v>
      </c>
      <c r="CC29" s="840">
        <f t="shared" si="1"/>
        <v>0</v>
      </c>
      <c r="CD29" s="840">
        <f t="shared" si="1"/>
        <v>0</v>
      </c>
      <c r="CE29" s="840">
        <f t="shared" si="1"/>
        <v>0</v>
      </c>
      <c r="CF29" s="840">
        <f t="shared" si="1"/>
        <v>0</v>
      </c>
      <c r="CG29" s="840">
        <f t="shared" si="2"/>
        <v>1</v>
      </c>
      <c r="CH29" s="847" t="s">
        <v>2235</v>
      </c>
      <c r="CI29" s="840">
        <f t="shared" si="11"/>
        <v>0</v>
      </c>
      <c r="CJ29" s="840">
        <f t="shared" si="11"/>
        <v>0</v>
      </c>
      <c r="CK29" s="840">
        <f t="shared" si="11"/>
        <v>0</v>
      </c>
      <c r="CL29" s="840">
        <f t="shared" si="11"/>
        <v>0</v>
      </c>
      <c r="CM29" s="840">
        <f t="shared" si="11"/>
        <v>0</v>
      </c>
      <c r="CN29" s="840">
        <f t="shared" si="11"/>
        <v>0</v>
      </c>
      <c r="CO29" s="840">
        <f t="shared" si="11"/>
        <v>0</v>
      </c>
      <c r="CP29" s="840">
        <f t="shared" si="11"/>
        <v>0</v>
      </c>
      <c r="CQ29" s="840">
        <f t="shared" si="11"/>
        <v>0</v>
      </c>
      <c r="CR29" s="840">
        <f t="shared" si="11"/>
        <v>0</v>
      </c>
      <c r="CS29" s="840">
        <f t="shared" si="11"/>
        <v>0</v>
      </c>
      <c r="CT29" s="840">
        <f t="shared" si="11"/>
        <v>0</v>
      </c>
      <c r="CU29" s="840">
        <f t="shared" si="11"/>
        <v>0</v>
      </c>
      <c r="CV29" s="840">
        <f t="shared" si="11"/>
        <v>0</v>
      </c>
      <c r="CW29" s="840">
        <f t="shared" si="11"/>
        <v>0</v>
      </c>
      <c r="CX29" s="840">
        <f t="shared" si="11"/>
        <v>0</v>
      </c>
      <c r="CY29" s="840">
        <f t="shared" si="13"/>
        <v>0</v>
      </c>
      <c r="CZ29" s="840">
        <f t="shared" si="13"/>
        <v>0</v>
      </c>
      <c r="DA29" s="840">
        <f t="shared" si="13"/>
        <v>0</v>
      </c>
      <c r="DB29" s="840">
        <f t="shared" si="13"/>
        <v>0</v>
      </c>
      <c r="DC29" s="840">
        <f t="shared" si="13"/>
        <v>0</v>
      </c>
      <c r="DD29" s="840">
        <f t="shared" si="13"/>
        <v>0</v>
      </c>
      <c r="DE29" s="840">
        <f t="shared" si="13"/>
        <v>0</v>
      </c>
      <c r="DF29" s="840">
        <f t="shared" si="18"/>
        <v>0</v>
      </c>
      <c r="DG29" s="840">
        <f t="shared" si="18"/>
        <v>0</v>
      </c>
      <c r="DH29" s="840">
        <f t="shared" si="18"/>
        <v>0</v>
      </c>
      <c r="DI29" s="840">
        <f t="shared" si="18"/>
        <v>0</v>
      </c>
      <c r="DJ29" s="840">
        <f t="shared" si="18"/>
        <v>0</v>
      </c>
      <c r="DK29" s="840">
        <f t="shared" si="18"/>
        <v>0</v>
      </c>
      <c r="DL29" s="840">
        <f t="shared" si="18"/>
        <v>0</v>
      </c>
      <c r="DM29" s="840">
        <f t="shared" si="18"/>
        <v>0</v>
      </c>
      <c r="DN29" s="840">
        <f t="shared" si="18"/>
        <v>0</v>
      </c>
      <c r="DO29" s="840">
        <f t="shared" si="18"/>
        <v>0</v>
      </c>
      <c r="DP29" s="840">
        <f t="shared" si="18"/>
        <v>0</v>
      </c>
      <c r="DQ29" s="840">
        <f t="shared" si="18"/>
        <v>0</v>
      </c>
      <c r="DR29" s="840">
        <f t="shared" si="18"/>
        <v>0</v>
      </c>
      <c r="DS29" s="840">
        <f t="shared" si="18"/>
        <v>0</v>
      </c>
      <c r="DT29" s="840">
        <f t="shared" si="18"/>
        <v>0</v>
      </c>
      <c r="DU29" s="840">
        <f t="shared" si="14"/>
        <v>0</v>
      </c>
      <c r="DV29" s="840">
        <f t="shared" si="6"/>
        <v>0</v>
      </c>
      <c r="DW29" s="840">
        <f t="shared" si="6"/>
        <v>0</v>
      </c>
      <c r="DX29" s="840">
        <f t="shared" si="6"/>
        <v>0</v>
      </c>
      <c r="DY29" s="840">
        <f t="shared" si="6"/>
        <v>0</v>
      </c>
      <c r="DZ29" s="840">
        <f t="shared" si="6"/>
        <v>0</v>
      </c>
      <c r="EA29" s="840">
        <f t="shared" si="6"/>
        <v>0</v>
      </c>
      <c r="EB29" s="840">
        <f t="shared" si="6"/>
        <v>0</v>
      </c>
      <c r="EC29" s="840">
        <f t="shared" si="19"/>
        <v>0</v>
      </c>
      <c r="ED29" s="840">
        <f t="shared" si="19"/>
        <v>0</v>
      </c>
      <c r="EE29" s="840">
        <f t="shared" si="19"/>
        <v>0</v>
      </c>
      <c r="EF29" s="840">
        <f t="shared" si="19"/>
        <v>0</v>
      </c>
      <c r="EG29" s="840">
        <f t="shared" si="19"/>
        <v>0</v>
      </c>
      <c r="EH29" s="840">
        <f t="shared" si="19"/>
        <v>0</v>
      </c>
      <c r="EI29" s="840">
        <f t="shared" si="19"/>
        <v>0</v>
      </c>
      <c r="EJ29" s="840">
        <f t="shared" si="19"/>
        <v>0</v>
      </c>
      <c r="EK29" s="840">
        <f t="shared" si="19"/>
        <v>0</v>
      </c>
      <c r="EL29" s="840">
        <f t="shared" si="19"/>
        <v>0</v>
      </c>
      <c r="EM29" s="840">
        <f t="shared" si="19"/>
        <v>0</v>
      </c>
      <c r="EN29" s="840">
        <f t="shared" si="19"/>
        <v>0</v>
      </c>
      <c r="EO29" s="840">
        <f t="shared" si="19"/>
        <v>0</v>
      </c>
      <c r="EP29" s="840">
        <f t="shared" si="19"/>
        <v>0</v>
      </c>
      <c r="EQ29" s="840">
        <f t="shared" si="19"/>
        <v>0</v>
      </c>
      <c r="ER29" s="840">
        <f t="shared" si="15"/>
        <v>0</v>
      </c>
      <c r="ES29" s="840">
        <f t="shared" si="8"/>
        <v>0</v>
      </c>
      <c r="ET29" s="840">
        <f t="shared" si="8"/>
        <v>0</v>
      </c>
      <c r="EU29" s="840">
        <f t="shared" si="8"/>
        <v>0</v>
      </c>
      <c r="EV29" s="840">
        <f t="shared" si="8"/>
        <v>0</v>
      </c>
      <c r="EW29" s="840">
        <f t="shared" si="8"/>
        <v>0</v>
      </c>
      <c r="EX29" s="840">
        <f t="shared" si="8"/>
        <v>0</v>
      </c>
      <c r="EY29" s="840">
        <f t="shared" si="8"/>
        <v>0</v>
      </c>
      <c r="EZ29" s="842">
        <f t="shared" si="20"/>
        <v>0</v>
      </c>
      <c r="FA29" s="842">
        <f t="shared" si="20"/>
        <v>0</v>
      </c>
      <c r="FB29" s="842">
        <f t="shared" si="20"/>
        <v>0</v>
      </c>
      <c r="FC29" s="842">
        <f t="shared" si="20"/>
        <v>0</v>
      </c>
      <c r="FD29" s="842">
        <f t="shared" si="20"/>
        <v>0</v>
      </c>
      <c r="FE29" s="842">
        <f t="shared" si="20"/>
        <v>0</v>
      </c>
      <c r="FF29" s="842">
        <f t="shared" si="20"/>
        <v>0</v>
      </c>
      <c r="FG29" s="842">
        <f t="shared" si="20"/>
        <v>0</v>
      </c>
      <c r="FH29" s="842">
        <f t="shared" si="20"/>
        <v>0</v>
      </c>
      <c r="FI29" s="842">
        <f t="shared" si="20"/>
        <v>0</v>
      </c>
      <c r="FJ29" s="842">
        <f t="shared" si="20"/>
        <v>0</v>
      </c>
      <c r="FK29" s="842">
        <f t="shared" si="20"/>
        <v>0</v>
      </c>
      <c r="FL29" s="842">
        <f t="shared" si="20"/>
        <v>0</v>
      </c>
      <c r="FM29" s="842">
        <f t="shared" si="20"/>
        <v>0</v>
      </c>
      <c r="FN29" s="842">
        <f t="shared" si="20"/>
        <v>0</v>
      </c>
      <c r="FO29" s="842">
        <f t="shared" si="16"/>
        <v>0</v>
      </c>
      <c r="FP29" s="842">
        <f t="shared" si="10"/>
        <v>0</v>
      </c>
      <c r="FQ29" s="842">
        <f t="shared" si="10"/>
        <v>0</v>
      </c>
      <c r="FR29" s="842">
        <f t="shared" si="10"/>
        <v>0</v>
      </c>
      <c r="FS29" s="842">
        <f t="shared" si="10"/>
        <v>0</v>
      </c>
      <c r="FT29" s="842">
        <f t="shared" si="10"/>
        <v>0</v>
      </c>
      <c r="FU29" s="842">
        <f t="shared" si="10"/>
        <v>0</v>
      </c>
      <c r="FV29" s="842">
        <f t="shared" si="10"/>
        <v>0</v>
      </c>
      <c r="FW29" s="843">
        <v>43.12</v>
      </c>
      <c r="FX29" s="848" t="s">
        <v>2236</v>
      </c>
      <c r="FY29" s="843">
        <v>1.3599999999999999E-2</v>
      </c>
      <c r="FZ29" s="844" t="s">
        <v>2232</v>
      </c>
    </row>
    <row r="30" spans="3:186" ht="23.25" customHeight="1">
      <c r="C30" s="1487"/>
      <c r="D30" s="1476"/>
      <c r="E30" s="1425"/>
      <c r="F30" s="781" t="s">
        <v>2159</v>
      </c>
      <c r="G30" s="849" t="s">
        <v>2242</v>
      </c>
      <c r="H30" s="839"/>
      <c r="I30" s="839"/>
      <c r="J30" s="839"/>
      <c r="K30" s="839"/>
      <c r="L30" s="840">
        <f>'４．ガス単位換算_～R6工場現場'!AG15</f>
        <v>0</v>
      </c>
      <c r="M30" s="840">
        <f>'４．ガス単位換算_～R6工場現場'!AH15</f>
        <v>0</v>
      </c>
      <c r="N30" s="840">
        <f>'４．ガス単位換算_～R6工場現場'!AI15</f>
        <v>0</v>
      </c>
      <c r="O30" s="840">
        <f>'４．ガス単位換算_～R6工場現場'!AJ15</f>
        <v>0</v>
      </c>
      <c r="P30" s="840">
        <f>'４．ガス単位換算_～R6工場現場'!AK15</f>
        <v>0</v>
      </c>
      <c r="Q30" s="840">
        <f>'４．ガス単位換算_～R6工場現場'!AL15</f>
        <v>0</v>
      </c>
      <c r="R30" s="840">
        <f>'４．ガス単位換算_～R6工場現場'!AM15</f>
        <v>0</v>
      </c>
      <c r="S30" s="840">
        <f>'４．ガス単位換算_～R6工場現場'!AN15</f>
        <v>0</v>
      </c>
      <c r="T30" s="840">
        <f>'４．ガス単位換算_～R6工場現場'!AO15</f>
        <v>0</v>
      </c>
      <c r="U30" s="840">
        <f>'４．ガス単位換算_～R6工場現場'!AP15</f>
        <v>0</v>
      </c>
      <c r="V30" s="840">
        <f>'４．ガス単位換算_～R6工場現場'!AQ15</f>
        <v>0</v>
      </c>
      <c r="W30" s="840">
        <f>'４．ガス単位換算_～R6工場現場'!AR15</f>
        <v>0</v>
      </c>
      <c r="X30" s="840">
        <f>'４．ガス単位換算_～R6工場現場'!AS15</f>
        <v>0</v>
      </c>
      <c r="Y30" s="840">
        <f>'４．ガス単位換算_～R6工場現場'!AT15</f>
        <v>0</v>
      </c>
      <c r="Z30" s="840">
        <f>'４．ガス単位換算_～R6工場現場'!AU15</f>
        <v>0</v>
      </c>
      <c r="AA30" s="840">
        <f>'４．ガス単位換算_～R6工場現場'!AV15</f>
        <v>0</v>
      </c>
      <c r="AB30" s="840">
        <f>'４．ガス単位換算_～R6工場現場'!AW15</f>
        <v>0</v>
      </c>
      <c r="AC30" s="840">
        <f>'４．ガス単位換算_～R6工場現場'!AX15</f>
        <v>0</v>
      </c>
      <c r="AD30" s="840">
        <f>'４．ガス単位換算_～R6工場現場'!AY15</f>
        <v>0</v>
      </c>
      <c r="AE30" s="840">
        <f>'４．ガス単位換算_～R6工場現場'!AZ15</f>
        <v>0</v>
      </c>
      <c r="AF30" s="840">
        <f>'４．ガス単位換算_～R6工場現場'!BA15</f>
        <v>0</v>
      </c>
      <c r="AG30" s="840">
        <f>'４．ガス単位換算_～R6工場現場'!BB15</f>
        <v>0</v>
      </c>
      <c r="AH30" s="840">
        <f>'４．ガス単位換算_～R6工場現場'!BC15</f>
        <v>0</v>
      </c>
      <c r="AI30" s="839"/>
      <c r="AJ30" s="839"/>
      <c r="AK30" s="839"/>
      <c r="AL30" s="839"/>
      <c r="AM30" s="839"/>
      <c r="AN30" s="839"/>
      <c r="AO30" s="839"/>
      <c r="AP30" s="839"/>
      <c r="AQ30" s="839"/>
      <c r="AR30" s="839"/>
      <c r="AS30" s="839"/>
      <c r="AT30" s="839"/>
      <c r="AU30" s="839"/>
      <c r="AV30" s="839"/>
      <c r="AW30" s="839"/>
      <c r="AX30" s="839"/>
      <c r="AY30" s="839"/>
      <c r="AZ30" s="839"/>
      <c r="BA30" s="839"/>
      <c r="BB30" s="839"/>
      <c r="BC30" s="839"/>
      <c r="BD30" s="839"/>
      <c r="BE30" s="839"/>
      <c r="BF30" s="839"/>
      <c r="BG30" s="839"/>
      <c r="BH30" s="839"/>
      <c r="BI30" s="839"/>
      <c r="BJ30" s="840">
        <f t="shared" si="17"/>
        <v>0</v>
      </c>
      <c r="BK30" s="840">
        <f t="shared" si="17"/>
        <v>0</v>
      </c>
      <c r="BL30" s="840">
        <f t="shared" si="17"/>
        <v>0</v>
      </c>
      <c r="BM30" s="840">
        <f t="shared" si="17"/>
        <v>0</v>
      </c>
      <c r="BN30" s="840">
        <f t="shared" si="17"/>
        <v>0</v>
      </c>
      <c r="BO30" s="840">
        <f t="shared" si="17"/>
        <v>0</v>
      </c>
      <c r="BP30" s="840">
        <f t="shared" si="17"/>
        <v>0</v>
      </c>
      <c r="BQ30" s="840">
        <f t="shared" si="17"/>
        <v>0</v>
      </c>
      <c r="BR30" s="840">
        <f t="shared" si="17"/>
        <v>0</v>
      </c>
      <c r="BS30" s="840">
        <f t="shared" si="17"/>
        <v>0</v>
      </c>
      <c r="BT30" s="840">
        <f t="shared" si="17"/>
        <v>0</v>
      </c>
      <c r="BU30" s="840">
        <f t="shared" si="17"/>
        <v>0</v>
      </c>
      <c r="BV30" s="840">
        <f t="shared" si="17"/>
        <v>0</v>
      </c>
      <c r="BW30" s="840">
        <f t="shared" si="17"/>
        <v>0</v>
      </c>
      <c r="BX30" s="840">
        <f t="shared" si="17"/>
        <v>0</v>
      </c>
      <c r="BY30" s="840">
        <f t="shared" si="12"/>
        <v>0</v>
      </c>
      <c r="BZ30" s="840">
        <f t="shared" si="1"/>
        <v>0</v>
      </c>
      <c r="CA30" s="840">
        <f t="shared" si="1"/>
        <v>0</v>
      </c>
      <c r="CB30" s="840">
        <f t="shared" si="1"/>
        <v>0</v>
      </c>
      <c r="CC30" s="840">
        <f t="shared" si="1"/>
        <v>0</v>
      </c>
      <c r="CD30" s="840">
        <f t="shared" si="1"/>
        <v>0</v>
      </c>
      <c r="CE30" s="840">
        <f t="shared" si="1"/>
        <v>0</v>
      </c>
      <c r="CF30" s="840">
        <f t="shared" si="1"/>
        <v>0</v>
      </c>
      <c r="CG30" s="840">
        <f t="shared" si="2"/>
        <v>1</v>
      </c>
      <c r="CH30" s="847" t="s">
        <v>2235</v>
      </c>
      <c r="CI30" s="840">
        <f t="shared" si="11"/>
        <v>0</v>
      </c>
      <c r="CJ30" s="840">
        <f t="shared" si="11"/>
        <v>0</v>
      </c>
      <c r="CK30" s="840">
        <f t="shared" si="11"/>
        <v>0</v>
      </c>
      <c r="CL30" s="840">
        <f t="shared" si="11"/>
        <v>0</v>
      </c>
      <c r="CM30" s="840">
        <f t="shared" si="11"/>
        <v>0</v>
      </c>
      <c r="CN30" s="840">
        <f t="shared" si="11"/>
        <v>0</v>
      </c>
      <c r="CO30" s="840">
        <f t="shared" si="11"/>
        <v>0</v>
      </c>
      <c r="CP30" s="840">
        <f t="shared" si="11"/>
        <v>0</v>
      </c>
      <c r="CQ30" s="840">
        <f t="shared" si="11"/>
        <v>0</v>
      </c>
      <c r="CR30" s="840">
        <f t="shared" si="11"/>
        <v>0</v>
      </c>
      <c r="CS30" s="840">
        <f t="shared" si="11"/>
        <v>0</v>
      </c>
      <c r="CT30" s="840">
        <f t="shared" si="11"/>
        <v>0</v>
      </c>
      <c r="CU30" s="840">
        <f t="shared" si="11"/>
        <v>0</v>
      </c>
      <c r="CV30" s="840">
        <f t="shared" si="11"/>
        <v>0</v>
      </c>
      <c r="CW30" s="840">
        <f t="shared" si="11"/>
        <v>0</v>
      </c>
      <c r="CX30" s="840">
        <f t="shared" si="11"/>
        <v>0</v>
      </c>
      <c r="CY30" s="840">
        <f t="shared" si="13"/>
        <v>0</v>
      </c>
      <c r="CZ30" s="840">
        <f t="shared" si="13"/>
        <v>0</v>
      </c>
      <c r="DA30" s="840">
        <f t="shared" si="13"/>
        <v>0</v>
      </c>
      <c r="DB30" s="840">
        <f t="shared" si="13"/>
        <v>0</v>
      </c>
      <c r="DC30" s="840">
        <f t="shared" si="13"/>
        <v>0</v>
      </c>
      <c r="DD30" s="840">
        <f t="shared" si="13"/>
        <v>0</v>
      </c>
      <c r="DE30" s="840">
        <f t="shared" si="13"/>
        <v>0</v>
      </c>
      <c r="DF30" s="840">
        <f t="shared" si="18"/>
        <v>0</v>
      </c>
      <c r="DG30" s="840">
        <f t="shared" si="18"/>
        <v>0</v>
      </c>
      <c r="DH30" s="840">
        <f t="shared" si="18"/>
        <v>0</v>
      </c>
      <c r="DI30" s="840">
        <f t="shared" si="18"/>
        <v>0</v>
      </c>
      <c r="DJ30" s="840">
        <f t="shared" si="18"/>
        <v>0</v>
      </c>
      <c r="DK30" s="840">
        <f t="shared" si="18"/>
        <v>0</v>
      </c>
      <c r="DL30" s="840">
        <f t="shared" si="18"/>
        <v>0</v>
      </c>
      <c r="DM30" s="840">
        <f t="shared" si="18"/>
        <v>0</v>
      </c>
      <c r="DN30" s="840">
        <f t="shared" si="18"/>
        <v>0</v>
      </c>
      <c r="DO30" s="840">
        <f t="shared" si="18"/>
        <v>0</v>
      </c>
      <c r="DP30" s="840">
        <f t="shared" si="18"/>
        <v>0</v>
      </c>
      <c r="DQ30" s="840">
        <f t="shared" si="18"/>
        <v>0</v>
      </c>
      <c r="DR30" s="840">
        <f t="shared" si="18"/>
        <v>0</v>
      </c>
      <c r="DS30" s="840">
        <f t="shared" si="18"/>
        <v>0</v>
      </c>
      <c r="DT30" s="840">
        <f t="shared" si="18"/>
        <v>0</v>
      </c>
      <c r="DU30" s="840">
        <f t="shared" si="14"/>
        <v>0</v>
      </c>
      <c r="DV30" s="840">
        <f t="shared" si="6"/>
        <v>0</v>
      </c>
      <c r="DW30" s="840">
        <f t="shared" si="6"/>
        <v>0</v>
      </c>
      <c r="DX30" s="840">
        <f t="shared" si="6"/>
        <v>0</v>
      </c>
      <c r="DY30" s="840">
        <f t="shared" si="6"/>
        <v>0</v>
      </c>
      <c r="DZ30" s="840">
        <f t="shared" si="6"/>
        <v>0</v>
      </c>
      <c r="EA30" s="840">
        <f t="shared" si="6"/>
        <v>0</v>
      </c>
      <c r="EB30" s="840">
        <f t="shared" si="6"/>
        <v>0</v>
      </c>
      <c r="EC30" s="840">
        <f t="shared" si="19"/>
        <v>0</v>
      </c>
      <c r="ED30" s="840">
        <f t="shared" si="19"/>
        <v>0</v>
      </c>
      <c r="EE30" s="840">
        <f t="shared" si="19"/>
        <v>0</v>
      </c>
      <c r="EF30" s="840">
        <f t="shared" si="19"/>
        <v>0</v>
      </c>
      <c r="EG30" s="840">
        <f t="shared" si="19"/>
        <v>0</v>
      </c>
      <c r="EH30" s="840">
        <f t="shared" si="19"/>
        <v>0</v>
      </c>
      <c r="EI30" s="840">
        <f t="shared" si="19"/>
        <v>0</v>
      </c>
      <c r="EJ30" s="840">
        <f t="shared" si="19"/>
        <v>0</v>
      </c>
      <c r="EK30" s="840">
        <f t="shared" si="19"/>
        <v>0</v>
      </c>
      <c r="EL30" s="840">
        <f t="shared" si="19"/>
        <v>0</v>
      </c>
      <c r="EM30" s="840">
        <f t="shared" si="19"/>
        <v>0</v>
      </c>
      <c r="EN30" s="840">
        <f t="shared" si="19"/>
        <v>0</v>
      </c>
      <c r="EO30" s="840">
        <f t="shared" si="19"/>
        <v>0</v>
      </c>
      <c r="EP30" s="840">
        <f t="shared" si="19"/>
        <v>0</v>
      </c>
      <c r="EQ30" s="840">
        <f t="shared" si="19"/>
        <v>0</v>
      </c>
      <c r="ER30" s="840">
        <f t="shared" si="15"/>
        <v>0</v>
      </c>
      <c r="ES30" s="840">
        <f t="shared" si="8"/>
        <v>0</v>
      </c>
      <c r="ET30" s="840">
        <f t="shared" si="8"/>
        <v>0</v>
      </c>
      <c r="EU30" s="840">
        <f t="shared" si="8"/>
        <v>0</v>
      </c>
      <c r="EV30" s="840">
        <f t="shared" si="8"/>
        <v>0</v>
      </c>
      <c r="EW30" s="840">
        <f t="shared" si="8"/>
        <v>0</v>
      </c>
      <c r="EX30" s="840">
        <f t="shared" si="8"/>
        <v>0</v>
      </c>
      <c r="EY30" s="840">
        <f t="shared" si="8"/>
        <v>0</v>
      </c>
      <c r="EZ30" s="842">
        <f t="shared" si="20"/>
        <v>0</v>
      </c>
      <c r="FA30" s="842">
        <f t="shared" si="20"/>
        <v>0</v>
      </c>
      <c r="FB30" s="842">
        <f t="shared" si="20"/>
        <v>0</v>
      </c>
      <c r="FC30" s="842">
        <f t="shared" si="20"/>
        <v>0</v>
      </c>
      <c r="FD30" s="842">
        <f t="shared" si="20"/>
        <v>0</v>
      </c>
      <c r="FE30" s="842">
        <f t="shared" si="20"/>
        <v>0</v>
      </c>
      <c r="FF30" s="842">
        <f t="shared" si="20"/>
        <v>0</v>
      </c>
      <c r="FG30" s="842">
        <f t="shared" si="20"/>
        <v>0</v>
      </c>
      <c r="FH30" s="842">
        <f t="shared" si="20"/>
        <v>0</v>
      </c>
      <c r="FI30" s="842">
        <f t="shared" si="20"/>
        <v>0</v>
      </c>
      <c r="FJ30" s="842">
        <f t="shared" si="20"/>
        <v>0</v>
      </c>
      <c r="FK30" s="842">
        <f t="shared" si="20"/>
        <v>0</v>
      </c>
      <c r="FL30" s="842">
        <f t="shared" si="20"/>
        <v>0</v>
      </c>
      <c r="FM30" s="842">
        <f t="shared" si="20"/>
        <v>0</v>
      </c>
      <c r="FN30" s="842">
        <f t="shared" si="20"/>
        <v>0</v>
      </c>
      <c r="FO30" s="842">
        <f t="shared" si="16"/>
        <v>0</v>
      </c>
      <c r="FP30" s="842">
        <f t="shared" si="10"/>
        <v>0</v>
      </c>
      <c r="FQ30" s="842">
        <f t="shared" si="10"/>
        <v>0</v>
      </c>
      <c r="FR30" s="842">
        <f t="shared" si="10"/>
        <v>0</v>
      </c>
      <c r="FS30" s="842">
        <f t="shared" si="10"/>
        <v>0</v>
      </c>
      <c r="FT30" s="842">
        <f t="shared" si="10"/>
        <v>0</v>
      </c>
      <c r="FU30" s="842">
        <f t="shared" si="10"/>
        <v>0</v>
      </c>
      <c r="FV30" s="842">
        <f t="shared" si="10"/>
        <v>0</v>
      </c>
      <c r="FW30" s="843">
        <v>46.04</v>
      </c>
      <c r="FX30" s="848" t="s">
        <v>2236</v>
      </c>
      <c r="FY30" s="843">
        <v>1.3599999999999999E-2</v>
      </c>
      <c r="FZ30" s="844" t="s">
        <v>2232</v>
      </c>
    </row>
    <row r="31" spans="3:186" ht="23.25" customHeight="1">
      <c r="C31" s="1487"/>
      <c r="D31" s="1476"/>
      <c r="E31" s="1425"/>
      <c r="F31" s="781" t="s">
        <v>2160</v>
      </c>
      <c r="G31" s="849" t="s">
        <v>2242</v>
      </c>
      <c r="H31" s="839"/>
      <c r="I31" s="839"/>
      <c r="J31" s="839"/>
      <c r="K31" s="839"/>
      <c r="L31" s="840">
        <f>'４．ガス単位換算_～R6工場現場'!AG18</f>
        <v>0</v>
      </c>
      <c r="M31" s="840">
        <f>'４．ガス単位換算_～R6工場現場'!AH18</f>
        <v>0</v>
      </c>
      <c r="N31" s="840">
        <f>'４．ガス単位換算_～R6工場現場'!AI18</f>
        <v>0</v>
      </c>
      <c r="O31" s="840">
        <f>'４．ガス単位換算_～R6工場現場'!AJ18</f>
        <v>0</v>
      </c>
      <c r="P31" s="840">
        <f>'４．ガス単位換算_～R6工場現場'!AK18</f>
        <v>0</v>
      </c>
      <c r="Q31" s="840">
        <f>'４．ガス単位換算_～R6工場現場'!AL18</f>
        <v>0</v>
      </c>
      <c r="R31" s="840">
        <f>'４．ガス単位換算_～R6工場現場'!AM18</f>
        <v>0</v>
      </c>
      <c r="S31" s="840">
        <f>'４．ガス単位換算_～R6工場現場'!AN18</f>
        <v>0</v>
      </c>
      <c r="T31" s="840">
        <f>'４．ガス単位換算_～R6工場現場'!AO18</f>
        <v>0</v>
      </c>
      <c r="U31" s="840">
        <f>'４．ガス単位換算_～R6工場現場'!AP18</f>
        <v>0</v>
      </c>
      <c r="V31" s="840">
        <f>'４．ガス単位換算_～R6工場現場'!AQ18</f>
        <v>0</v>
      </c>
      <c r="W31" s="840">
        <f>'４．ガス単位換算_～R6工場現場'!AR18</f>
        <v>0</v>
      </c>
      <c r="X31" s="840">
        <f>'４．ガス単位換算_～R6工場現場'!AS18</f>
        <v>0</v>
      </c>
      <c r="Y31" s="840">
        <f>'４．ガス単位換算_～R6工場現場'!AT18</f>
        <v>0</v>
      </c>
      <c r="Z31" s="840">
        <f>'４．ガス単位換算_～R6工場現場'!AU18</f>
        <v>0</v>
      </c>
      <c r="AA31" s="840">
        <f>'４．ガス単位換算_～R6工場現場'!AV18</f>
        <v>0</v>
      </c>
      <c r="AB31" s="840">
        <f>'４．ガス単位換算_～R6工場現場'!AW18</f>
        <v>0</v>
      </c>
      <c r="AC31" s="840">
        <f>'４．ガス単位換算_～R6工場現場'!AX18</f>
        <v>0</v>
      </c>
      <c r="AD31" s="840">
        <f>'４．ガス単位換算_～R6工場現場'!AY18</f>
        <v>0</v>
      </c>
      <c r="AE31" s="840">
        <f>'４．ガス単位換算_～R6工場現場'!AZ18</f>
        <v>0</v>
      </c>
      <c r="AF31" s="840">
        <f>'４．ガス単位換算_～R6工場現場'!BA18</f>
        <v>0</v>
      </c>
      <c r="AG31" s="840">
        <f>'４．ガス単位換算_～R6工場現場'!BB18</f>
        <v>0</v>
      </c>
      <c r="AH31" s="840">
        <f>'４．ガス単位換算_～R6工場現場'!BC18</f>
        <v>0</v>
      </c>
      <c r="AI31" s="839"/>
      <c r="AJ31" s="839"/>
      <c r="AK31" s="839"/>
      <c r="AL31" s="839"/>
      <c r="AM31" s="839"/>
      <c r="AN31" s="839"/>
      <c r="AO31" s="839"/>
      <c r="AP31" s="839"/>
      <c r="AQ31" s="839"/>
      <c r="AR31" s="839"/>
      <c r="AS31" s="839"/>
      <c r="AT31" s="839"/>
      <c r="AU31" s="839"/>
      <c r="AV31" s="839"/>
      <c r="AW31" s="839"/>
      <c r="AX31" s="839"/>
      <c r="AY31" s="839"/>
      <c r="AZ31" s="839"/>
      <c r="BA31" s="839"/>
      <c r="BB31" s="839"/>
      <c r="BC31" s="839"/>
      <c r="BD31" s="839"/>
      <c r="BE31" s="839"/>
      <c r="BF31" s="839"/>
      <c r="BG31" s="839"/>
      <c r="BH31" s="839"/>
      <c r="BI31" s="839"/>
      <c r="BJ31" s="840">
        <f t="shared" si="17"/>
        <v>0</v>
      </c>
      <c r="BK31" s="840">
        <f t="shared" si="17"/>
        <v>0</v>
      </c>
      <c r="BL31" s="840">
        <f t="shared" si="17"/>
        <v>0</v>
      </c>
      <c r="BM31" s="840">
        <f t="shared" si="17"/>
        <v>0</v>
      </c>
      <c r="BN31" s="840">
        <f t="shared" si="17"/>
        <v>0</v>
      </c>
      <c r="BO31" s="840">
        <f t="shared" si="17"/>
        <v>0</v>
      </c>
      <c r="BP31" s="840">
        <f t="shared" si="17"/>
        <v>0</v>
      </c>
      <c r="BQ31" s="840">
        <f t="shared" si="17"/>
        <v>0</v>
      </c>
      <c r="BR31" s="840">
        <f t="shared" si="17"/>
        <v>0</v>
      </c>
      <c r="BS31" s="840">
        <f t="shared" si="17"/>
        <v>0</v>
      </c>
      <c r="BT31" s="840">
        <f t="shared" si="17"/>
        <v>0</v>
      </c>
      <c r="BU31" s="840">
        <f t="shared" si="17"/>
        <v>0</v>
      </c>
      <c r="BV31" s="840">
        <f t="shared" si="17"/>
        <v>0</v>
      </c>
      <c r="BW31" s="840">
        <f t="shared" si="17"/>
        <v>0</v>
      </c>
      <c r="BX31" s="840">
        <f t="shared" si="17"/>
        <v>0</v>
      </c>
      <c r="BY31" s="840">
        <f t="shared" si="12"/>
        <v>0</v>
      </c>
      <c r="BZ31" s="840">
        <f t="shared" si="1"/>
        <v>0</v>
      </c>
      <c r="CA31" s="840">
        <f t="shared" si="1"/>
        <v>0</v>
      </c>
      <c r="CB31" s="840">
        <f t="shared" si="1"/>
        <v>0</v>
      </c>
      <c r="CC31" s="840">
        <f t="shared" si="1"/>
        <v>0</v>
      </c>
      <c r="CD31" s="840">
        <f t="shared" si="1"/>
        <v>0</v>
      </c>
      <c r="CE31" s="840">
        <f t="shared" si="1"/>
        <v>0</v>
      </c>
      <c r="CF31" s="840">
        <f t="shared" si="1"/>
        <v>0</v>
      </c>
      <c r="CG31" s="840">
        <f t="shared" si="2"/>
        <v>1</v>
      </c>
      <c r="CH31" s="847" t="s">
        <v>2235</v>
      </c>
      <c r="CI31" s="840">
        <f t="shared" si="11"/>
        <v>0</v>
      </c>
      <c r="CJ31" s="840">
        <f t="shared" si="11"/>
        <v>0</v>
      </c>
      <c r="CK31" s="840">
        <f t="shared" si="11"/>
        <v>0</v>
      </c>
      <c r="CL31" s="840">
        <f t="shared" si="11"/>
        <v>0</v>
      </c>
      <c r="CM31" s="840">
        <f t="shared" si="11"/>
        <v>0</v>
      </c>
      <c r="CN31" s="840">
        <f t="shared" si="11"/>
        <v>0</v>
      </c>
      <c r="CO31" s="840">
        <f t="shared" si="11"/>
        <v>0</v>
      </c>
      <c r="CP31" s="840">
        <f t="shared" si="11"/>
        <v>0</v>
      </c>
      <c r="CQ31" s="840">
        <f t="shared" si="11"/>
        <v>0</v>
      </c>
      <c r="CR31" s="840">
        <f t="shared" si="11"/>
        <v>0</v>
      </c>
      <c r="CS31" s="840">
        <f t="shared" si="11"/>
        <v>0</v>
      </c>
      <c r="CT31" s="840">
        <f t="shared" si="11"/>
        <v>0</v>
      </c>
      <c r="CU31" s="840">
        <f t="shared" si="11"/>
        <v>0</v>
      </c>
      <c r="CV31" s="840">
        <f t="shared" si="11"/>
        <v>0</v>
      </c>
      <c r="CW31" s="840">
        <f t="shared" si="11"/>
        <v>0</v>
      </c>
      <c r="CX31" s="840">
        <f t="shared" si="11"/>
        <v>0</v>
      </c>
      <c r="CY31" s="840">
        <f t="shared" si="13"/>
        <v>0</v>
      </c>
      <c r="CZ31" s="840">
        <f t="shared" si="13"/>
        <v>0</v>
      </c>
      <c r="DA31" s="840">
        <f t="shared" si="13"/>
        <v>0</v>
      </c>
      <c r="DB31" s="840">
        <f t="shared" si="13"/>
        <v>0</v>
      </c>
      <c r="DC31" s="840">
        <f t="shared" si="13"/>
        <v>0</v>
      </c>
      <c r="DD31" s="840">
        <f t="shared" si="13"/>
        <v>0</v>
      </c>
      <c r="DE31" s="840">
        <f t="shared" si="13"/>
        <v>0</v>
      </c>
      <c r="DF31" s="840">
        <f t="shared" si="18"/>
        <v>0</v>
      </c>
      <c r="DG31" s="840">
        <f t="shared" si="18"/>
        <v>0</v>
      </c>
      <c r="DH31" s="840">
        <f t="shared" si="18"/>
        <v>0</v>
      </c>
      <c r="DI31" s="840">
        <f t="shared" si="18"/>
        <v>0</v>
      </c>
      <c r="DJ31" s="840">
        <f t="shared" si="18"/>
        <v>0</v>
      </c>
      <c r="DK31" s="840">
        <f t="shared" si="18"/>
        <v>0</v>
      </c>
      <c r="DL31" s="840">
        <f t="shared" si="18"/>
        <v>0</v>
      </c>
      <c r="DM31" s="840">
        <f t="shared" si="18"/>
        <v>0</v>
      </c>
      <c r="DN31" s="840">
        <f t="shared" si="18"/>
        <v>0</v>
      </c>
      <c r="DO31" s="840">
        <f t="shared" si="18"/>
        <v>0</v>
      </c>
      <c r="DP31" s="840">
        <f t="shared" si="18"/>
        <v>0</v>
      </c>
      <c r="DQ31" s="840">
        <f t="shared" si="18"/>
        <v>0</v>
      </c>
      <c r="DR31" s="840">
        <f t="shared" si="18"/>
        <v>0</v>
      </c>
      <c r="DS31" s="840">
        <f t="shared" si="18"/>
        <v>0</v>
      </c>
      <c r="DT31" s="840">
        <f t="shared" si="18"/>
        <v>0</v>
      </c>
      <c r="DU31" s="840">
        <f t="shared" si="14"/>
        <v>0</v>
      </c>
      <c r="DV31" s="840">
        <f t="shared" si="6"/>
        <v>0</v>
      </c>
      <c r="DW31" s="840">
        <f t="shared" si="6"/>
        <v>0</v>
      </c>
      <c r="DX31" s="840">
        <f t="shared" si="6"/>
        <v>0</v>
      </c>
      <c r="DY31" s="840">
        <f t="shared" si="6"/>
        <v>0</v>
      </c>
      <c r="DZ31" s="840">
        <f t="shared" si="6"/>
        <v>0</v>
      </c>
      <c r="EA31" s="840">
        <f t="shared" si="6"/>
        <v>0</v>
      </c>
      <c r="EB31" s="840">
        <f t="shared" si="6"/>
        <v>0</v>
      </c>
      <c r="EC31" s="840">
        <f t="shared" si="19"/>
        <v>0</v>
      </c>
      <c r="ED31" s="840">
        <f t="shared" si="19"/>
        <v>0</v>
      </c>
      <c r="EE31" s="840">
        <f t="shared" si="19"/>
        <v>0</v>
      </c>
      <c r="EF31" s="840">
        <f t="shared" si="19"/>
        <v>0</v>
      </c>
      <c r="EG31" s="840">
        <f t="shared" si="19"/>
        <v>0</v>
      </c>
      <c r="EH31" s="840">
        <f t="shared" si="19"/>
        <v>0</v>
      </c>
      <c r="EI31" s="840">
        <f t="shared" si="19"/>
        <v>0</v>
      </c>
      <c r="EJ31" s="840">
        <f t="shared" si="19"/>
        <v>0</v>
      </c>
      <c r="EK31" s="840">
        <f t="shared" si="19"/>
        <v>0</v>
      </c>
      <c r="EL31" s="840">
        <f t="shared" si="19"/>
        <v>0</v>
      </c>
      <c r="EM31" s="840">
        <f t="shared" si="19"/>
        <v>0</v>
      </c>
      <c r="EN31" s="840">
        <f t="shared" si="19"/>
        <v>0</v>
      </c>
      <c r="EO31" s="840">
        <f t="shared" si="19"/>
        <v>0</v>
      </c>
      <c r="EP31" s="840">
        <f t="shared" si="19"/>
        <v>0</v>
      </c>
      <c r="EQ31" s="840">
        <f t="shared" si="19"/>
        <v>0</v>
      </c>
      <c r="ER31" s="840">
        <f t="shared" si="15"/>
        <v>0</v>
      </c>
      <c r="ES31" s="840">
        <f t="shared" si="8"/>
        <v>0</v>
      </c>
      <c r="ET31" s="840">
        <f t="shared" si="8"/>
        <v>0</v>
      </c>
      <c r="EU31" s="840">
        <f t="shared" si="8"/>
        <v>0</v>
      </c>
      <c r="EV31" s="840">
        <f t="shared" si="8"/>
        <v>0</v>
      </c>
      <c r="EW31" s="840">
        <f t="shared" si="8"/>
        <v>0</v>
      </c>
      <c r="EX31" s="840">
        <f t="shared" si="8"/>
        <v>0</v>
      </c>
      <c r="EY31" s="840">
        <f t="shared" si="8"/>
        <v>0</v>
      </c>
      <c r="EZ31" s="842">
        <f t="shared" si="20"/>
        <v>0</v>
      </c>
      <c r="FA31" s="842">
        <f t="shared" si="20"/>
        <v>0</v>
      </c>
      <c r="FB31" s="842">
        <f t="shared" si="20"/>
        <v>0</v>
      </c>
      <c r="FC31" s="842">
        <f t="shared" si="20"/>
        <v>0</v>
      </c>
      <c r="FD31" s="842">
        <f t="shared" si="20"/>
        <v>0</v>
      </c>
      <c r="FE31" s="842">
        <f t="shared" si="20"/>
        <v>0</v>
      </c>
      <c r="FF31" s="842">
        <f t="shared" si="20"/>
        <v>0</v>
      </c>
      <c r="FG31" s="842">
        <f t="shared" si="20"/>
        <v>0</v>
      </c>
      <c r="FH31" s="842">
        <f t="shared" si="20"/>
        <v>0</v>
      </c>
      <c r="FI31" s="842">
        <f t="shared" si="20"/>
        <v>0</v>
      </c>
      <c r="FJ31" s="842">
        <f t="shared" si="20"/>
        <v>0</v>
      </c>
      <c r="FK31" s="842">
        <f t="shared" si="20"/>
        <v>0</v>
      </c>
      <c r="FL31" s="842">
        <f t="shared" si="20"/>
        <v>0</v>
      </c>
      <c r="FM31" s="842">
        <f t="shared" si="20"/>
        <v>0</v>
      </c>
      <c r="FN31" s="842">
        <f t="shared" si="20"/>
        <v>0</v>
      </c>
      <c r="FO31" s="842">
        <f t="shared" si="16"/>
        <v>0</v>
      </c>
      <c r="FP31" s="842">
        <f t="shared" si="10"/>
        <v>0</v>
      </c>
      <c r="FQ31" s="842">
        <f t="shared" si="10"/>
        <v>0</v>
      </c>
      <c r="FR31" s="842">
        <f t="shared" si="10"/>
        <v>0</v>
      </c>
      <c r="FS31" s="842">
        <f t="shared" si="10"/>
        <v>0</v>
      </c>
      <c r="FT31" s="842">
        <f t="shared" si="10"/>
        <v>0</v>
      </c>
      <c r="FU31" s="842">
        <f t="shared" si="10"/>
        <v>0</v>
      </c>
      <c r="FV31" s="842">
        <f t="shared" si="10"/>
        <v>0</v>
      </c>
      <c r="FW31" s="843">
        <v>41.86</v>
      </c>
      <c r="FX31" s="848" t="s">
        <v>2236</v>
      </c>
      <c r="FY31" s="843">
        <v>1.3599999999999999E-2</v>
      </c>
      <c r="FZ31" s="844" t="s">
        <v>2232</v>
      </c>
    </row>
    <row r="32" spans="3:186" ht="23.25" customHeight="1">
      <c r="C32" s="1487"/>
      <c r="D32" s="1476"/>
      <c r="E32" s="1426"/>
      <c r="F32" s="781" t="s">
        <v>2161</v>
      </c>
      <c r="G32" s="849" t="s">
        <v>2242</v>
      </c>
      <c r="H32" s="839"/>
      <c r="I32" s="839"/>
      <c r="J32" s="839"/>
      <c r="K32" s="839"/>
      <c r="L32" s="840">
        <f>'４．ガス単位換算_～R6工場現場'!AG21</f>
        <v>0</v>
      </c>
      <c r="M32" s="840">
        <f>'４．ガス単位換算_～R6工場現場'!AH21</f>
        <v>0</v>
      </c>
      <c r="N32" s="840">
        <f>'４．ガス単位換算_～R6工場現場'!AI21</f>
        <v>0</v>
      </c>
      <c r="O32" s="840">
        <f>'４．ガス単位換算_～R6工場現場'!AJ21</f>
        <v>0</v>
      </c>
      <c r="P32" s="840">
        <f>'４．ガス単位換算_～R6工場現場'!AK21</f>
        <v>0</v>
      </c>
      <c r="Q32" s="840">
        <f>'４．ガス単位換算_～R6工場現場'!AL21</f>
        <v>0</v>
      </c>
      <c r="R32" s="840">
        <f>'４．ガス単位換算_～R6工場現場'!AM21</f>
        <v>0</v>
      </c>
      <c r="S32" s="840">
        <f>'４．ガス単位換算_～R6工場現場'!AN21</f>
        <v>0</v>
      </c>
      <c r="T32" s="840">
        <f>'４．ガス単位換算_～R6工場現場'!AO21</f>
        <v>0</v>
      </c>
      <c r="U32" s="840">
        <f>'４．ガス単位換算_～R6工場現場'!AP21</f>
        <v>0</v>
      </c>
      <c r="V32" s="840">
        <f>'４．ガス単位換算_～R6工場現場'!AQ21</f>
        <v>0</v>
      </c>
      <c r="W32" s="840">
        <f>'４．ガス単位換算_～R6工場現場'!AR21</f>
        <v>0</v>
      </c>
      <c r="X32" s="840">
        <f>'４．ガス単位換算_～R6工場現場'!AS21</f>
        <v>0</v>
      </c>
      <c r="Y32" s="840">
        <f>'４．ガス単位換算_～R6工場現場'!AT21</f>
        <v>0</v>
      </c>
      <c r="Z32" s="840">
        <f>'４．ガス単位換算_～R6工場現場'!AU21</f>
        <v>0</v>
      </c>
      <c r="AA32" s="840">
        <f>'４．ガス単位換算_～R6工場現場'!AV21</f>
        <v>0</v>
      </c>
      <c r="AB32" s="840">
        <f>'４．ガス単位換算_～R6工場現場'!AW21</f>
        <v>0</v>
      </c>
      <c r="AC32" s="840">
        <f>'４．ガス単位換算_～R6工場現場'!AX21</f>
        <v>0</v>
      </c>
      <c r="AD32" s="840">
        <f>'４．ガス単位換算_～R6工場現場'!AY21</f>
        <v>0</v>
      </c>
      <c r="AE32" s="840">
        <f>'４．ガス単位換算_～R6工場現場'!AZ21</f>
        <v>0</v>
      </c>
      <c r="AF32" s="840">
        <f>'４．ガス単位換算_～R6工場現場'!BA21</f>
        <v>0</v>
      </c>
      <c r="AG32" s="840">
        <f>'４．ガス単位換算_～R6工場現場'!BB21</f>
        <v>0</v>
      </c>
      <c r="AH32" s="840">
        <f>'４．ガス単位換算_～R6工場現場'!BC21</f>
        <v>0</v>
      </c>
      <c r="AI32" s="839"/>
      <c r="AJ32" s="839"/>
      <c r="AK32" s="839"/>
      <c r="AL32" s="839"/>
      <c r="AM32" s="839"/>
      <c r="AN32" s="839"/>
      <c r="AO32" s="839"/>
      <c r="AP32" s="839"/>
      <c r="AQ32" s="839"/>
      <c r="AR32" s="839"/>
      <c r="AS32" s="839"/>
      <c r="AT32" s="839"/>
      <c r="AU32" s="839"/>
      <c r="AV32" s="839"/>
      <c r="AW32" s="839"/>
      <c r="AX32" s="839"/>
      <c r="AY32" s="839"/>
      <c r="AZ32" s="839"/>
      <c r="BA32" s="839"/>
      <c r="BB32" s="839"/>
      <c r="BC32" s="839"/>
      <c r="BD32" s="839"/>
      <c r="BE32" s="839"/>
      <c r="BF32" s="839"/>
      <c r="BG32" s="839"/>
      <c r="BH32" s="839"/>
      <c r="BI32" s="839"/>
      <c r="BJ32" s="840">
        <f t="shared" si="17"/>
        <v>0</v>
      </c>
      <c r="BK32" s="840">
        <f t="shared" si="17"/>
        <v>0</v>
      </c>
      <c r="BL32" s="840">
        <f t="shared" si="17"/>
        <v>0</v>
      </c>
      <c r="BM32" s="840">
        <f t="shared" si="17"/>
        <v>0</v>
      </c>
      <c r="BN32" s="840">
        <f t="shared" si="17"/>
        <v>0</v>
      </c>
      <c r="BO32" s="840">
        <f t="shared" si="17"/>
        <v>0</v>
      </c>
      <c r="BP32" s="840">
        <f t="shared" si="17"/>
        <v>0</v>
      </c>
      <c r="BQ32" s="840">
        <f t="shared" si="17"/>
        <v>0</v>
      </c>
      <c r="BR32" s="840">
        <f t="shared" si="17"/>
        <v>0</v>
      </c>
      <c r="BS32" s="840">
        <f t="shared" si="17"/>
        <v>0</v>
      </c>
      <c r="BT32" s="840">
        <f t="shared" si="17"/>
        <v>0</v>
      </c>
      <c r="BU32" s="840">
        <f t="shared" si="17"/>
        <v>0</v>
      </c>
      <c r="BV32" s="840">
        <f t="shared" si="17"/>
        <v>0</v>
      </c>
      <c r="BW32" s="840">
        <f t="shared" si="17"/>
        <v>0</v>
      </c>
      <c r="BX32" s="840">
        <f t="shared" si="17"/>
        <v>0</v>
      </c>
      <c r="BY32" s="840">
        <f t="shared" si="12"/>
        <v>0</v>
      </c>
      <c r="BZ32" s="840">
        <f t="shared" si="1"/>
        <v>0</v>
      </c>
      <c r="CA32" s="840">
        <f t="shared" si="1"/>
        <v>0</v>
      </c>
      <c r="CB32" s="840">
        <f t="shared" si="1"/>
        <v>0</v>
      </c>
      <c r="CC32" s="840">
        <f t="shared" si="1"/>
        <v>0</v>
      </c>
      <c r="CD32" s="840">
        <f t="shared" si="1"/>
        <v>0</v>
      </c>
      <c r="CE32" s="840">
        <f t="shared" si="1"/>
        <v>0</v>
      </c>
      <c r="CF32" s="840">
        <f t="shared" si="1"/>
        <v>0</v>
      </c>
      <c r="CG32" s="840">
        <f t="shared" si="2"/>
        <v>1</v>
      </c>
      <c r="CH32" s="847" t="s">
        <v>2235</v>
      </c>
      <c r="CI32" s="840">
        <f t="shared" si="11"/>
        <v>0</v>
      </c>
      <c r="CJ32" s="840">
        <f t="shared" si="11"/>
        <v>0</v>
      </c>
      <c r="CK32" s="840">
        <f t="shared" si="11"/>
        <v>0</v>
      </c>
      <c r="CL32" s="840">
        <f t="shared" si="11"/>
        <v>0</v>
      </c>
      <c r="CM32" s="840">
        <f t="shared" si="11"/>
        <v>0</v>
      </c>
      <c r="CN32" s="840">
        <f t="shared" si="11"/>
        <v>0</v>
      </c>
      <c r="CO32" s="840">
        <f t="shared" si="11"/>
        <v>0</v>
      </c>
      <c r="CP32" s="840">
        <f t="shared" si="11"/>
        <v>0</v>
      </c>
      <c r="CQ32" s="840">
        <f t="shared" si="11"/>
        <v>0</v>
      </c>
      <c r="CR32" s="840">
        <f t="shared" si="11"/>
        <v>0</v>
      </c>
      <c r="CS32" s="840">
        <f t="shared" si="11"/>
        <v>0</v>
      </c>
      <c r="CT32" s="840">
        <f t="shared" si="11"/>
        <v>0</v>
      </c>
      <c r="CU32" s="840">
        <f t="shared" si="11"/>
        <v>0</v>
      </c>
      <c r="CV32" s="840">
        <f t="shared" si="11"/>
        <v>0</v>
      </c>
      <c r="CW32" s="840">
        <f t="shared" si="11"/>
        <v>0</v>
      </c>
      <c r="CX32" s="840">
        <f t="shared" si="11"/>
        <v>0</v>
      </c>
      <c r="CY32" s="840">
        <f t="shared" si="13"/>
        <v>0</v>
      </c>
      <c r="CZ32" s="840">
        <f t="shared" si="13"/>
        <v>0</v>
      </c>
      <c r="DA32" s="840">
        <f t="shared" si="13"/>
        <v>0</v>
      </c>
      <c r="DB32" s="840">
        <f t="shared" si="13"/>
        <v>0</v>
      </c>
      <c r="DC32" s="840">
        <f t="shared" si="13"/>
        <v>0</v>
      </c>
      <c r="DD32" s="840">
        <f t="shared" si="13"/>
        <v>0</v>
      </c>
      <c r="DE32" s="840">
        <f t="shared" si="13"/>
        <v>0</v>
      </c>
      <c r="DF32" s="840">
        <f t="shared" si="18"/>
        <v>0</v>
      </c>
      <c r="DG32" s="840">
        <f t="shared" si="18"/>
        <v>0</v>
      </c>
      <c r="DH32" s="840">
        <f t="shared" si="18"/>
        <v>0</v>
      </c>
      <c r="DI32" s="840">
        <f t="shared" si="18"/>
        <v>0</v>
      </c>
      <c r="DJ32" s="840">
        <f t="shared" si="18"/>
        <v>0</v>
      </c>
      <c r="DK32" s="840">
        <f t="shared" si="18"/>
        <v>0</v>
      </c>
      <c r="DL32" s="840">
        <f t="shared" si="18"/>
        <v>0</v>
      </c>
      <c r="DM32" s="840">
        <f t="shared" si="18"/>
        <v>0</v>
      </c>
      <c r="DN32" s="840">
        <f t="shared" si="18"/>
        <v>0</v>
      </c>
      <c r="DO32" s="840">
        <f t="shared" si="18"/>
        <v>0</v>
      </c>
      <c r="DP32" s="840">
        <f t="shared" si="18"/>
        <v>0</v>
      </c>
      <c r="DQ32" s="840">
        <f t="shared" si="18"/>
        <v>0</v>
      </c>
      <c r="DR32" s="840">
        <f t="shared" si="18"/>
        <v>0</v>
      </c>
      <c r="DS32" s="840">
        <f t="shared" si="18"/>
        <v>0</v>
      </c>
      <c r="DT32" s="840">
        <f t="shared" si="18"/>
        <v>0</v>
      </c>
      <c r="DU32" s="840">
        <f t="shared" si="14"/>
        <v>0</v>
      </c>
      <c r="DV32" s="840">
        <f t="shared" si="6"/>
        <v>0</v>
      </c>
      <c r="DW32" s="840">
        <f t="shared" si="6"/>
        <v>0</v>
      </c>
      <c r="DX32" s="840">
        <f t="shared" si="6"/>
        <v>0</v>
      </c>
      <c r="DY32" s="840">
        <f t="shared" si="6"/>
        <v>0</v>
      </c>
      <c r="DZ32" s="840">
        <f t="shared" si="6"/>
        <v>0</v>
      </c>
      <c r="EA32" s="840">
        <f t="shared" si="6"/>
        <v>0</v>
      </c>
      <c r="EB32" s="840">
        <f t="shared" si="6"/>
        <v>0</v>
      </c>
      <c r="EC32" s="840">
        <f t="shared" si="19"/>
        <v>0</v>
      </c>
      <c r="ED32" s="840">
        <f t="shared" si="19"/>
        <v>0</v>
      </c>
      <c r="EE32" s="840">
        <f t="shared" si="19"/>
        <v>0</v>
      </c>
      <c r="EF32" s="840">
        <f t="shared" si="19"/>
        <v>0</v>
      </c>
      <c r="EG32" s="840">
        <f t="shared" si="19"/>
        <v>0</v>
      </c>
      <c r="EH32" s="840">
        <f t="shared" si="19"/>
        <v>0</v>
      </c>
      <c r="EI32" s="840">
        <f t="shared" si="19"/>
        <v>0</v>
      </c>
      <c r="EJ32" s="840">
        <f t="shared" si="19"/>
        <v>0</v>
      </c>
      <c r="EK32" s="840">
        <f t="shared" si="19"/>
        <v>0</v>
      </c>
      <c r="EL32" s="840">
        <f t="shared" si="19"/>
        <v>0</v>
      </c>
      <c r="EM32" s="840">
        <f t="shared" si="19"/>
        <v>0</v>
      </c>
      <c r="EN32" s="840">
        <f t="shared" si="19"/>
        <v>0</v>
      </c>
      <c r="EO32" s="840">
        <f t="shared" si="19"/>
        <v>0</v>
      </c>
      <c r="EP32" s="840">
        <f t="shared" si="19"/>
        <v>0</v>
      </c>
      <c r="EQ32" s="840">
        <f t="shared" si="19"/>
        <v>0</v>
      </c>
      <c r="ER32" s="840">
        <f t="shared" si="15"/>
        <v>0</v>
      </c>
      <c r="ES32" s="840">
        <f t="shared" si="8"/>
        <v>0</v>
      </c>
      <c r="ET32" s="840">
        <f t="shared" si="8"/>
        <v>0</v>
      </c>
      <c r="EU32" s="840">
        <f t="shared" si="8"/>
        <v>0</v>
      </c>
      <c r="EV32" s="840">
        <f t="shared" si="8"/>
        <v>0</v>
      </c>
      <c r="EW32" s="840">
        <f t="shared" si="8"/>
        <v>0</v>
      </c>
      <c r="EX32" s="840">
        <f t="shared" si="8"/>
        <v>0</v>
      </c>
      <c r="EY32" s="840">
        <f t="shared" si="8"/>
        <v>0</v>
      </c>
      <c r="EZ32" s="842">
        <f t="shared" si="20"/>
        <v>0</v>
      </c>
      <c r="FA32" s="842">
        <f t="shared" si="20"/>
        <v>0</v>
      </c>
      <c r="FB32" s="842">
        <f t="shared" si="20"/>
        <v>0</v>
      </c>
      <c r="FC32" s="842">
        <f t="shared" si="20"/>
        <v>0</v>
      </c>
      <c r="FD32" s="842">
        <f t="shared" si="20"/>
        <v>0</v>
      </c>
      <c r="FE32" s="842">
        <f t="shared" si="20"/>
        <v>0</v>
      </c>
      <c r="FF32" s="842">
        <f t="shared" si="20"/>
        <v>0</v>
      </c>
      <c r="FG32" s="842">
        <f t="shared" si="20"/>
        <v>0</v>
      </c>
      <c r="FH32" s="842">
        <f t="shared" si="20"/>
        <v>0</v>
      </c>
      <c r="FI32" s="842">
        <f t="shared" si="20"/>
        <v>0</v>
      </c>
      <c r="FJ32" s="842">
        <f t="shared" si="20"/>
        <v>0</v>
      </c>
      <c r="FK32" s="842">
        <f t="shared" si="20"/>
        <v>0</v>
      </c>
      <c r="FL32" s="842">
        <f t="shared" si="20"/>
        <v>0</v>
      </c>
      <c r="FM32" s="842">
        <f t="shared" si="20"/>
        <v>0</v>
      </c>
      <c r="FN32" s="842">
        <f t="shared" si="20"/>
        <v>0</v>
      </c>
      <c r="FO32" s="842">
        <f t="shared" si="16"/>
        <v>0</v>
      </c>
      <c r="FP32" s="842">
        <f t="shared" si="10"/>
        <v>0</v>
      </c>
      <c r="FQ32" s="842">
        <f t="shared" si="10"/>
        <v>0</v>
      </c>
      <c r="FR32" s="842">
        <f t="shared" si="10"/>
        <v>0</v>
      </c>
      <c r="FS32" s="842">
        <f t="shared" si="10"/>
        <v>0</v>
      </c>
      <c r="FT32" s="842">
        <f t="shared" si="10"/>
        <v>0</v>
      </c>
      <c r="FU32" s="842">
        <f t="shared" si="10"/>
        <v>0</v>
      </c>
      <c r="FV32" s="842">
        <f t="shared" si="10"/>
        <v>0</v>
      </c>
      <c r="FW32" s="853">
        <v>29.3</v>
      </c>
      <c r="FX32" s="848" t="s">
        <v>2236</v>
      </c>
      <c r="FY32" s="843">
        <v>1.3599999999999999E-2</v>
      </c>
      <c r="FZ32" s="844" t="s">
        <v>12</v>
      </c>
    </row>
    <row r="33" spans="3:184" ht="23.25" customHeight="1">
      <c r="C33" s="1487"/>
      <c r="D33" s="1476"/>
      <c r="E33" s="1491"/>
      <c r="F33" s="1491"/>
      <c r="G33" s="854"/>
      <c r="H33" s="839"/>
      <c r="I33" s="839"/>
      <c r="J33" s="839"/>
      <c r="K33" s="839"/>
      <c r="L33" s="839"/>
      <c r="M33" s="839"/>
      <c r="N33" s="839"/>
      <c r="O33" s="839"/>
      <c r="P33" s="839"/>
      <c r="Q33" s="839"/>
      <c r="R33" s="839"/>
      <c r="S33" s="839"/>
      <c r="T33" s="839"/>
      <c r="U33" s="839"/>
      <c r="V33" s="839"/>
      <c r="W33" s="839"/>
      <c r="X33" s="839"/>
      <c r="Y33" s="839"/>
      <c r="Z33" s="839"/>
      <c r="AA33" s="839"/>
      <c r="AB33" s="839"/>
      <c r="AC33" s="839"/>
      <c r="AD33" s="839"/>
      <c r="AE33" s="839"/>
      <c r="AF33" s="839"/>
      <c r="AG33" s="839"/>
      <c r="AH33" s="839"/>
      <c r="AI33" s="839"/>
      <c r="AJ33" s="839"/>
      <c r="AK33" s="839"/>
      <c r="AL33" s="839"/>
      <c r="AM33" s="839"/>
      <c r="AN33" s="839"/>
      <c r="AO33" s="839"/>
      <c r="AP33" s="839"/>
      <c r="AQ33" s="839"/>
      <c r="AR33" s="839"/>
      <c r="AS33" s="839"/>
      <c r="AT33" s="839"/>
      <c r="AU33" s="839"/>
      <c r="AV33" s="839"/>
      <c r="AW33" s="839"/>
      <c r="AX33" s="839"/>
      <c r="AY33" s="839"/>
      <c r="AZ33" s="839"/>
      <c r="BA33" s="839"/>
      <c r="BB33" s="839"/>
      <c r="BC33" s="839"/>
      <c r="BD33" s="839"/>
      <c r="BE33" s="839"/>
      <c r="BF33" s="839"/>
      <c r="BG33" s="839"/>
      <c r="BH33" s="839"/>
      <c r="BI33" s="839"/>
      <c r="BJ33" s="840">
        <f t="shared" si="17"/>
        <v>0</v>
      </c>
      <c r="BK33" s="840">
        <f t="shared" si="17"/>
        <v>0</v>
      </c>
      <c r="BL33" s="840">
        <f t="shared" si="17"/>
        <v>0</v>
      </c>
      <c r="BM33" s="840">
        <f t="shared" si="17"/>
        <v>0</v>
      </c>
      <c r="BN33" s="840">
        <f t="shared" si="17"/>
        <v>0</v>
      </c>
      <c r="BO33" s="840">
        <f t="shared" si="17"/>
        <v>0</v>
      </c>
      <c r="BP33" s="840">
        <f t="shared" si="17"/>
        <v>0</v>
      </c>
      <c r="BQ33" s="840">
        <f t="shared" si="17"/>
        <v>0</v>
      </c>
      <c r="BR33" s="840">
        <f t="shared" si="17"/>
        <v>0</v>
      </c>
      <c r="BS33" s="840">
        <f t="shared" si="17"/>
        <v>0</v>
      </c>
      <c r="BT33" s="840">
        <f t="shared" si="17"/>
        <v>0</v>
      </c>
      <c r="BU33" s="840">
        <f t="shared" si="17"/>
        <v>0</v>
      </c>
      <c r="BV33" s="840">
        <f t="shared" si="17"/>
        <v>0</v>
      </c>
      <c r="BW33" s="840">
        <f t="shared" si="17"/>
        <v>0</v>
      </c>
      <c r="BX33" s="840">
        <f t="shared" si="17"/>
        <v>0</v>
      </c>
      <c r="BY33" s="840">
        <f t="shared" si="12"/>
        <v>0</v>
      </c>
      <c r="BZ33" s="840">
        <f t="shared" si="1"/>
        <v>0</v>
      </c>
      <c r="CA33" s="840">
        <f t="shared" si="1"/>
        <v>0</v>
      </c>
      <c r="CB33" s="840">
        <f t="shared" si="1"/>
        <v>0</v>
      </c>
      <c r="CC33" s="840">
        <f t="shared" si="1"/>
        <v>0</v>
      </c>
      <c r="CD33" s="840">
        <f t="shared" si="1"/>
        <v>0</v>
      </c>
      <c r="CE33" s="840">
        <f t="shared" si="1"/>
        <v>0</v>
      </c>
      <c r="CF33" s="840">
        <f t="shared" si="1"/>
        <v>0</v>
      </c>
      <c r="CG33" s="855" t="str">
        <f>IF(G33="","-",VLOOKUP($G33,$GB$6:$GC$15,2,FALSE))</f>
        <v>-</v>
      </c>
      <c r="CH33" s="841"/>
      <c r="CI33" s="840">
        <f t="shared" ref="CI33:CR34" si="21">ROUND(IF($E$33="",0,IF($G$33="",0,BJ33/単位補正５)),0)</f>
        <v>0</v>
      </c>
      <c r="CJ33" s="840">
        <f t="shared" si="21"/>
        <v>0</v>
      </c>
      <c r="CK33" s="840">
        <f t="shared" si="21"/>
        <v>0</v>
      </c>
      <c r="CL33" s="840">
        <f t="shared" si="21"/>
        <v>0</v>
      </c>
      <c r="CM33" s="840">
        <f t="shared" si="21"/>
        <v>0</v>
      </c>
      <c r="CN33" s="840">
        <f t="shared" si="21"/>
        <v>0</v>
      </c>
      <c r="CO33" s="840">
        <f t="shared" si="21"/>
        <v>0</v>
      </c>
      <c r="CP33" s="840">
        <f t="shared" si="21"/>
        <v>0</v>
      </c>
      <c r="CQ33" s="840">
        <f t="shared" si="21"/>
        <v>0</v>
      </c>
      <c r="CR33" s="840">
        <f t="shared" si="21"/>
        <v>0</v>
      </c>
      <c r="CS33" s="840">
        <f t="shared" ref="CS33:DB34" si="22">ROUND(IF($E$33="",0,IF($G$33="",0,BT33/単位補正５)),0)</f>
        <v>0</v>
      </c>
      <c r="CT33" s="840">
        <f t="shared" si="22"/>
        <v>0</v>
      </c>
      <c r="CU33" s="840">
        <f t="shared" si="22"/>
        <v>0</v>
      </c>
      <c r="CV33" s="840">
        <f t="shared" si="22"/>
        <v>0</v>
      </c>
      <c r="CW33" s="840">
        <f t="shared" si="22"/>
        <v>0</v>
      </c>
      <c r="CX33" s="840">
        <f t="shared" si="22"/>
        <v>0</v>
      </c>
      <c r="CY33" s="840">
        <f t="shared" si="22"/>
        <v>0</v>
      </c>
      <c r="CZ33" s="840">
        <f t="shared" si="22"/>
        <v>0</v>
      </c>
      <c r="DA33" s="840">
        <f t="shared" si="22"/>
        <v>0</v>
      </c>
      <c r="DB33" s="840">
        <f t="shared" si="22"/>
        <v>0</v>
      </c>
      <c r="DC33" s="840">
        <f t="shared" ref="DC33:DE34" si="23">ROUND(IF($E$33="",0,IF($G$33="",0,CD33/単位補正５)),0)</f>
        <v>0</v>
      </c>
      <c r="DD33" s="840">
        <f t="shared" si="23"/>
        <v>0</v>
      </c>
      <c r="DE33" s="840">
        <f t="shared" si="23"/>
        <v>0</v>
      </c>
      <c r="DF33" s="840">
        <f t="shared" si="18"/>
        <v>0</v>
      </c>
      <c r="DG33" s="840">
        <f t="shared" si="18"/>
        <v>0</v>
      </c>
      <c r="DH33" s="840">
        <f t="shared" si="18"/>
        <v>0</v>
      </c>
      <c r="DI33" s="840">
        <f t="shared" si="18"/>
        <v>0</v>
      </c>
      <c r="DJ33" s="840">
        <f t="shared" si="18"/>
        <v>0</v>
      </c>
      <c r="DK33" s="840">
        <f t="shared" si="18"/>
        <v>0</v>
      </c>
      <c r="DL33" s="840">
        <f t="shared" si="18"/>
        <v>0</v>
      </c>
      <c r="DM33" s="840">
        <f t="shared" si="18"/>
        <v>0</v>
      </c>
      <c r="DN33" s="840">
        <f t="shared" si="18"/>
        <v>0</v>
      </c>
      <c r="DO33" s="840">
        <f t="shared" si="18"/>
        <v>0</v>
      </c>
      <c r="DP33" s="840">
        <f t="shared" si="18"/>
        <v>0</v>
      </c>
      <c r="DQ33" s="840">
        <f t="shared" si="18"/>
        <v>0</v>
      </c>
      <c r="DR33" s="840">
        <f t="shared" si="18"/>
        <v>0</v>
      </c>
      <c r="DS33" s="840">
        <f t="shared" si="18"/>
        <v>0</v>
      </c>
      <c r="DT33" s="840">
        <f t="shared" si="18"/>
        <v>0</v>
      </c>
      <c r="DU33" s="840">
        <f t="shared" si="14"/>
        <v>0</v>
      </c>
      <c r="DV33" s="840">
        <f t="shared" si="6"/>
        <v>0</v>
      </c>
      <c r="DW33" s="840">
        <f t="shared" si="6"/>
        <v>0</v>
      </c>
      <c r="DX33" s="840">
        <f t="shared" si="6"/>
        <v>0</v>
      </c>
      <c r="DY33" s="840">
        <f t="shared" si="6"/>
        <v>0</v>
      </c>
      <c r="DZ33" s="840">
        <f t="shared" si="6"/>
        <v>0</v>
      </c>
      <c r="EA33" s="840">
        <f t="shared" si="6"/>
        <v>0</v>
      </c>
      <c r="EB33" s="840">
        <f t="shared" si="6"/>
        <v>0</v>
      </c>
      <c r="EC33" s="840">
        <f t="shared" si="19"/>
        <v>0</v>
      </c>
      <c r="ED33" s="840">
        <f t="shared" si="19"/>
        <v>0</v>
      </c>
      <c r="EE33" s="840">
        <f t="shared" si="19"/>
        <v>0</v>
      </c>
      <c r="EF33" s="840">
        <f t="shared" si="19"/>
        <v>0</v>
      </c>
      <c r="EG33" s="840">
        <f t="shared" si="19"/>
        <v>0</v>
      </c>
      <c r="EH33" s="840">
        <f t="shared" si="19"/>
        <v>0</v>
      </c>
      <c r="EI33" s="840">
        <f t="shared" si="19"/>
        <v>0</v>
      </c>
      <c r="EJ33" s="840">
        <f t="shared" si="19"/>
        <v>0</v>
      </c>
      <c r="EK33" s="840">
        <f t="shared" si="19"/>
        <v>0</v>
      </c>
      <c r="EL33" s="840">
        <f t="shared" si="19"/>
        <v>0</v>
      </c>
      <c r="EM33" s="840">
        <f t="shared" si="19"/>
        <v>0</v>
      </c>
      <c r="EN33" s="840">
        <f t="shared" si="19"/>
        <v>0</v>
      </c>
      <c r="EO33" s="840">
        <f t="shared" si="19"/>
        <v>0</v>
      </c>
      <c r="EP33" s="840">
        <f t="shared" si="19"/>
        <v>0</v>
      </c>
      <c r="EQ33" s="840">
        <f t="shared" si="19"/>
        <v>0</v>
      </c>
      <c r="ER33" s="840">
        <f t="shared" si="15"/>
        <v>0</v>
      </c>
      <c r="ES33" s="840">
        <f t="shared" si="8"/>
        <v>0</v>
      </c>
      <c r="ET33" s="840">
        <f t="shared" si="8"/>
        <v>0</v>
      </c>
      <c r="EU33" s="840">
        <f t="shared" si="8"/>
        <v>0</v>
      </c>
      <c r="EV33" s="840">
        <f t="shared" si="8"/>
        <v>0</v>
      </c>
      <c r="EW33" s="840">
        <f t="shared" si="8"/>
        <v>0</v>
      </c>
      <c r="EX33" s="840">
        <f t="shared" si="8"/>
        <v>0</v>
      </c>
      <c r="EY33" s="840">
        <f t="shared" si="8"/>
        <v>0</v>
      </c>
      <c r="EZ33" s="842">
        <f t="shared" si="20"/>
        <v>0</v>
      </c>
      <c r="FA33" s="842">
        <f t="shared" si="20"/>
        <v>0</v>
      </c>
      <c r="FB33" s="842">
        <f t="shared" si="20"/>
        <v>0</v>
      </c>
      <c r="FC33" s="842">
        <f t="shared" si="20"/>
        <v>0</v>
      </c>
      <c r="FD33" s="842">
        <f t="shared" si="20"/>
        <v>0</v>
      </c>
      <c r="FE33" s="842">
        <f t="shared" si="20"/>
        <v>0</v>
      </c>
      <c r="FF33" s="842">
        <f t="shared" si="20"/>
        <v>0</v>
      </c>
      <c r="FG33" s="842">
        <f t="shared" si="20"/>
        <v>0</v>
      </c>
      <c r="FH33" s="842">
        <f t="shared" si="20"/>
        <v>0</v>
      </c>
      <c r="FI33" s="842">
        <f t="shared" si="20"/>
        <v>0</v>
      </c>
      <c r="FJ33" s="842">
        <f t="shared" si="20"/>
        <v>0</v>
      </c>
      <c r="FK33" s="842">
        <f t="shared" si="20"/>
        <v>0</v>
      </c>
      <c r="FL33" s="842">
        <f t="shared" si="20"/>
        <v>0</v>
      </c>
      <c r="FM33" s="842">
        <f t="shared" si="20"/>
        <v>0</v>
      </c>
      <c r="FN33" s="842">
        <f t="shared" si="20"/>
        <v>0</v>
      </c>
      <c r="FO33" s="842">
        <f t="shared" si="16"/>
        <v>0</v>
      </c>
      <c r="FP33" s="842">
        <f t="shared" si="10"/>
        <v>0</v>
      </c>
      <c r="FQ33" s="842">
        <f t="shared" si="10"/>
        <v>0</v>
      </c>
      <c r="FR33" s="842">
        <f t="shared" si="10"/>
        <v>0</v>
      </c>
      <c r="FS33" s="842">
        <f t="shared" si="10"/>
        <v>0</v>
      </c>
      <c r="FT33" s="842">
        <f t="shared" si="10"/>
        <v>0</v>
      </c>
      <c r="FU33" s="842">
        <f t="shared" si="10"/>
        <v>0</v>
      </c>
      <c r="FV33" s="842">
        <f t="shared" si="10"/>
        <v>0</v>
      </c>
      <c r="FW33" s="839"/>
      <c r="FX33" s="856" t="str">
        <f>CONCATENATE("GJ/",GB33)</f>
        <v>GJ/</v>
      </c>
      <c r="FY33" s="839"/>
      <c r="FZ33" s="844" t="s">
        <v>12</v>
      </c>
      <c r="GB33" s="772" t="str">
        <f>IF(G33="","",IF(G33=$GB$6,$GB$7,IF(G33=$GB$8,$GB$9,IF(G33=$GB$10,$GB$11,IF(G33=$GB$12,$GB$13,G33)))))</f>
        <v/>
      </c>
    </row>
    <row r="34" spans="3:184" ht="23.25" customHeight="1">
      <c r="C34" s="1487"/>
      <c r="D34" s="1476"/>
      <c r="E34" s="1491"/>
      <c r="F34" s="1491"/>
      <c r="G34" s="854"/>
      <c r="H34" s="839"/>
      <c r="I34" s="839"/>
      <c r="J34" s="839"/>
      <c r="K34" s="839"/>
      <c r="L34" s="839"/>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839"/>
      <c r="AK34" s="839"/>
      <c r="AL34" s="839"/>
      <c r="AM34" s="839"/>
      <c r="AN34" s="839"/>
      <c r="AO34" s="839"/>
      <c r="AP34" s="839"/>
      <c r="AQ34" s="839"/>
      <c r="AR34" s="839"/>
      <c r="AS34" s="839"/>
      <c r="AT34" s="839"/>
      <c r="AU34" s="839"/>
      <c r="AV34" s="839"/>
      <c r="AW34" s="839"/>
      <c r="AX34" s="839"/>
      <c r="AY34" s="839"/>
      <c r="AZ34" s="839"/>
      <c r="BA34" s="839"/>
      <c r="BB34" s="839"/>
      <c r="BC34" s="839"/>
      <c r="BD34" s="839"/>
      <c r="BE34" s="839"/>
      <c r="BF34" s="839"/>
      <c r="BG34" s="839"/>
      <c r="BH34" s="839"/>
      <c r="BI34" s="839"/>
      <c r="BJ34" s="840">
        <f t="shared" si="17"/>
        <v>0</v>
      </c>
      <c r="BK34" s="840">
        <f t="shared" si="17"/>
        <v>0</v>
      </c>
      <c r="BL34" s="840">
        <f t="shared" si="17"/>
        <v>0</v>
      </c>
      <c r="BM34" s="840">
        <f t="shared" si="17"/>
        <v>0</v>
      </c>
      <c r="BN34" s="840">
        <f t="shared" si="17"/>
        <v>0</v>
      </c>
      <c r="BO34" s="840">
        <f t="shared" si="17"/>
        <v>0</v>
      </c>
      <c r="BP34" s="840">
        <f t="shared" si="17"/>
        <v>0</v>
      </c>
      <c r="BQ34" s="840">
        <f t="shared" si="17"/>
        <v>0</v>
      </c>
      <c r="BR34" s="840">
        <f t="shared" si="17"/>
        <v>0</v>
      </c>
      <c r="BS34" s="840">
        <f t="shared" si="17"/>
        <v>0</v>
      </c>
      <c r="BT34" s="840">
        <f t="shared" si="17"/>
        <v>0</v>
      </c>
      <c r="BU34" s="840">
        <f t="shared" si="17"/>
        <v>0</v>
      </c>
      <c r="BV34" s="840">
        <f t="shared" si="17"/>
        <v>0</v>
      </c>
      <c r="BW34" s="840">
        <f t="shared" si="17"/>
        <v>0</v>
      </c>
      <c r="BX34" s="840">
        <f t="shared" si="17"/>
        <v>0</v>
      </c>
      <c r="BY34" s="840">
        <f t="shared" si="12"/>
        <v>0</v>
      </c>
      <c r="BZ34" s="840">
        <f t="shared" si="1"/>
        <v>0</v>
      </c>
      <c r="CA34" s="840">
        <f t="shared" si="1"/>
        <v>0</v>
      </c>
      <c r="CB34" s="840">
        <f t="shared" si="1"/>
        <v>0</v>
      </c>
      <c r="CC34" s="840">
        <f t="shared" si="1"/>
        <v>0</v>
      </c>
      <c r="CD34" s="840">
        <f t="shared" si="1"/>
        <v>0</v>
      </c>
      <c r="CE34" s="840">
        <f t="shared" si="1"/>
        <v>0</v>
      </c>
      <c r="CF34" s="840">
        <f t="shared" si="1"/>
        <v>0</v>
      </c>
      <c r="CG34" s="855" t="str">
        <f>IF(G34="","-",VLOOKUP($G34,$GB$6:$GC$15,2,FALSE))</f>
        <v>-</v>
      </c>
      <c r="CH34" s="841"/>
      <c r="CI34" s="840">
        <f t="shared" si="21"/>
        <v>0</v>
      </c>
      <c r="CJ34" s="840">
        <f t="shared" si="21"/>
        <v>0</v>
      </c>
      <c r="CK34" s="840">
        <f t="shared" si="21"/>
        <v>0</v>
      </c>
      <c r="CL34" s="840">
        <f t="shared" si="21"/>
        <v>0</v>
      </c>
      <c r="CM34" s="840">
        <f t="shared" si="21"/>
        <v>0</v>
      </c>
      <c r="CN34" s="840">
        <f t="shared" si="21"/>
        <v>0</v>
      </c>
      <c r="CO34" s="840">
        <f t="shared" si="21"/>
        <v>0</v>
      </c>
      <c r="CP34" s="840">
        <f t="shared" si="21"/>
        <v>0</v>
      </c>
      <c r="CQ34" s="840">
        <f t="shared" si="21"/>
        <v>0</v>
      </c>
      <c r="CR34" s="840">
        <f t="shared" si="21"/>
        <v>0</v>
      </c>
      <c r="CS34" s="840">
        <f t="shared" si="22"/>
        <v>0</v>
      </c>
      <c r="CT34" s="840">
        <f t="shared" si="22"/>
        <v>0</v>
      </c>
      <c r="CU34" s="840">
        <f t="shared" si="22"/>
        <v>0</v>
      </c>
      <c r="CV34" s="840">
        <f t="shared" si="22"/>
        <v>0</v>
      </c>
      <c r="CW34" s="840">
        <f t="shared" si="22"/>
        <v>0</v>
      </c>
      <c r="CX34" s="840">
        <f t="shared" si="22"/>
        <v>0</v>
      </c>
      <c r="CY34" s="840">
        <f t="shared" si="22"/>
        <v>0</v>
      </c>
      <c r="CZ34" s="840">
        <f t="shared" si="22"/>
        <v>0</v>
      </c>
      <c r="DA34" s="840">
        <f t="shared" si="22"/>
        <v>0</v>
      </c>
      <c r="DB34" s="840">
        <f t="shared" si="22"/>
        <v>0</v>
      </c>
      <c r="DC34" s="840">
        <f t="shared" si="23"/>
        <v>0</v>
      </c>
      <c r="DD34" s="840">
        <f t="shared" si="23"/>
        <v>0</v>
      </c>
      <c r="DE34" s="840">
        <f t="shared" si="23"/>
        <v>0</v>
      </c>
      <c r="DF34" s="840">
        <f t="shared" si="18"/>
        <v>0</v>
      </c>
      <c r="DG34" s="840">
        <f t="shared" si="18"/>
        <v>0</v>
      </c>
      <c r="DH34" s="840">
        <f t="shared" si="18"/>
        <v>0</v>
      </c>
      <c r="DI34" s="840">
        <f t="shared" si="18"/>
        <v>0</v>
      </c>
      <c r="DJ34" s="840">
        <f t="shared" si="18"/>
        <v>0</v>
      </c>
      <c r="DK34" s="840">
        <f t="shared" si="18"/>
        <v>0</v>
      </c>
      <c r="DL34" s="840">
        <f t="shared" si="18"/>
        <v>0</v>
      </c>
      <c r="DM34" s="840">
        <f t="shared" si="18"/>
        <v>0</v>
      </c>
      <c r="DN34" s="840">
        <f t="shared" si="18"/>
        <v>0</v>
      </c>
      <c r="DO34" s="840">
        <f t="shared" si="18"/>
        <v>0</v>
      </c>
      <c r="DP34" s="840">
        <f t="shared" si="18"/>
        <v>0</v>
      </c>
      <c r="DQ34" s="840">
        <f t="shared" si="18"/>
        <v>0</v>
      </c>
      <c r="DR34" s="840">
        <f t="shared" si="18"/>
        <v>0</v>
      </c>
      <c r="DS34" s="840">
        <f t="shared" si="18"/>
        <v>0</v>
      </c>
      <c r="DT34" s="840">
        <f t="shared" si="18"/>
        <v>0</v>
      </c>
      <c r="DU34" s="840">
        <f t="shared" si="14"/>
        <v>0</v>
      </c>
      <c r="DV34" s="840">
        <f t="shared" si="6"/>
        <v>0</v>
      </c>
      <c r="DW34" s="840">
        <f t="shared" si="6"/>
        <v>0</v>
      </c>
      <c r="DX34" s="840">
        <f t="shared" si="6"/>
        <v>0</v>
      </c>
      <c r="DY34" s="840">
        <f t="shared" si="6"/>
        <v>0</v>
      </c>
      <c r="DZ34" s="840">
        <f t="shared" si="6"/>
        <v>0</v>
      </c>
      <c r="EA34" s="840">
        <f t="shared" si="6"/>
        <v>0</v>
      </c>
      <c r="EB34" s="840">
        <f t="shared" si="6"/>
        <v>0</v>
      </c>
      <c r="EC34" s="840">
        <f t="shared" si="19"/>
        <v>0</v>
      </c>
      <c r="ED34" s="840">
        <f t="shared" si="19"/>
        <v>0</v>
      </c>
      <c r="EE34" s="840">
        <f t="shared" si="19"/>
        <v>0</v>
      </c>
      <c r="EF34" s="840">
        <f t="shared" si="19"/>
        <v>0</v>
      </c>
      <c r="EG34" s="840">
        <f t="shared" si="19"/>
        <v>0</v>
      </c>
      <c r="EH34" s="840">
        <f t="shared" si="19"/>
        <v>0</v>
      </c>
      <c r="EI34" s="840">
        <f t="shared" si="19"/>
        <v>0</v>
      </c>
      <c r="EJ34" s="840">
        <f t="shared" si="19"/>
        <v>0</v>
      </c>
      <c r="EK34" s="840">
        <f t="shared" si="19"/>
        <v>0</v>
      </c>
      <c r="EL34" s="840">
        <f t="shared" si="19"/>
        <v>0</v>
      </c>
      <c r="EM34" s="840">
        <f t="shared" si="19"/>
        <v>0</v>
      </c>
      <c r="EN34" s="840">
        <f t="shared" si="19"/>
        <v>0</v>
      </c>
      <c r="EO34" s="840">
        <f t="shared" si="19"/>
        <v>0</v>
      </c>
      <c r="EP34" s="840">
        <f t="shared" si="19"/>
        <v>0</v>
      </c>
      <c r="EQ34" s="840">
        <f t="shared" si="19"/>
        <v>0</v>
      </c>
      <c r="ER34" s="840">
        <f t="shared" si="15"/>
        <v>0</v>
      </c>
      <c r="ES34" s="840">
        <f t="shared" si="8"/>
        <v>0</v>
      </c>
      <c r="ET34" s="840">
        <f t="shared" si="8"/>
        <v>0</v>
      </c>
      <c r="EU34" s="840">
        <f t="shared" si="8"/>
        <v>0</v>
      </c>
      <c r="EV34" s="840">
        <f t="shared" si="8"/>
        <v>0</v>
      </c>
      <c r="EW34" s="840">
        <f t="shared" si="8"/>
        <v>0</v>
      </c>
      <c r="EX34" s="840">
        <f t="shared" si="8"/>
        <v>0</v>
      </c>
      <c r="EY34" s="840">
        <f t="shared" si="8"/>
        <v>0</v>
      </c>
      <c r="EZ34" s="842">
        <f t="shared" si="20"/>
        <v>0</v>
      </c>
      <c r="FA34" s="842">
        <f t="shared" si="20"/>
        <v>0</v>
      </c>
      <c r="FB34" s="842">
        <f t="shared" si="20"/>
        <v>0</v>
      </c>
      <c r="FC34" s="842">
        <f t="shared" si="20"/>
        <v>0</v>
      </c>
      <c r="FD34" s="842">
        <f t="shared" si="20"/>
        <v>0</v>
      </c>
      <c r="FE34" s="842">
        <f t="shared" si="20"/>
        <v>0</v>
      </c>
      <c r="FF34" s="842">
        <f t="shared" si="20"/>
        <v>0</v>
      </c>
      <c r="FG34" s="842">
        <f t="shared" si="20"/>
        <v>0</v>
      </c>
      <c r="FH34" s="842">
        <f t="shared" si="20"/>
        <v>0</v>
      </c>
      <c r="FI34" s="842">
        <f t="shared" si="20"/>
        <v>0</v>
      </c>
      <c r="FJ34" s="842">
        <f t="shared" si="20"/>
        <v>0</v>
      </c>
      <c r="FK34" s="842">
        <f t="shared" si="20"/>
        <v>0</v>
      </c>
      <c r="FL34" s="842">
        <f t="shared" si="20"/>
        <v>0</v>
      </c>
      <c r="FM34" s="842">
        <f t="shared" si="20"/>
        <v>0</v>
      </c>
      <c r="FN34" s="842">
        <f t="shared" si="20"/>
        <v>0</v>
      </c>
      <c r="FO34" s="842">
        <f t="shared" si="16"/>
        <v>0</v>
      </c>
      <c r="FP34" s="842">
        <f t="shared" si="10"/>
        <v>0</v>
      </c>
      <c r="FQ34" s="842">
        <f t="shared" si="10"/>
        <v>0</v>
      </c>
      <c r="FR34" s="842">
        <f t="shared" si="10"/>
        <v>0</v>
      </c>
      <c r="FS34" s="842">
        <f t="shared" si="10"/>
        <v>0</v>
      </c>
      <c r="FT34" s="842">
        <f t="shared" si="10"/>
        <v>0</v>
      </c>
      <c r="FU34" s="842">
        <f t="shared" si="10"/>
        <v>0</v>
      </c>
      <c r="FV34" s="842">
        <f t="shared" si="10"/>
        <v>0</v>
      </c>
      <c r="FW34" s="839"/>
      <c r="FX34" s="856" t="str">
        <f>CONCATENATE("GJ/",GB34)</f>
        <v>GJ/</v>
      </c>
      <c r="FY34" s="839"/>
      <c r="FZ34" s="844" t="s">
        <v>12</v>
      </c>
      <c r="GB34" s="772" t="str">
        <f>IF(G34="","",IF(G34=$GB$6,$GB$7,IF(G34=$GB$8,$GB$9,IF(G34=$GB$10,$GB$11,IF(G34=$GB$12,$GB$13,G34)))))</f>
        <v/>
      </c>
    </row>
    <row r="35" spans="3:184" ht="23.25" customHeight="1">
      <c r="C35" s="1488"/>
      <c r="D35" s="1437" t="s">
        <v>2244</v>
      </c>
      <c r="E35" s="1438"/>
      <c r="F35" s="1439"/>
      <c r="G35" s="838"/>
      <c r="H35" s="839"/>
      <c r="I35" s="839"/>
      <c r="J35" s="839"/>
      <c r="K35" s="839"/>
      <c r="L35" s="839"/>
      <c r="M35" s="839"/>
      <c r="N35" s="839"/>
      <c r="O35" s="839"/>
      <c r="P35" s="839"/>
      <c r="Q35" s="839"/>
      <c r="R35" s="839"/>
      <c r="S35" s="839"/>
      <c r="T35" s="839"/>
      <c r="U35" s="839"/>
      <c r="V35" s="839"/>
      <c r="W35" s="839"/>
      <c r="X35" s="839"/>
      <c r="Y35" s="839"/>
      <c r="Z35" s="839"/>
      <c r="AA35" s="839"/>
      <c r="AB35" s="839"/>
      <c r="AC35" s="839"/>
      <c r="AD35" s="839"/>
      <c r="AE35" s="839"/>
      <c r="AF35" s="839"/>
      <c r="AG35" s="839"/>
      <c r="AH35" s="839"/>
      <c r="AI35" s="839"/>
      <c r="AJ35" s="839"/>
      <c r="AK35" s="839"/>
      <c r="AL35" s="839"/>
      <c r="AM35" s="839"/>
      <c r="AN35" s="839"/>
      <c r="AO35" s="839"/>
      <c r="AP35" s="839"/>
      <c r="AQ35" s="839"/>
      <c r="AR35" s="839"/>
      <c r="AS35" s="839"/>
      <c r="AT35" s="839"/>
      <c r="AU35" s="839"/>
      <c r="AV35" s="839"/>
      <c r="AW35" s="839"/>
      <c r="AX35" s="839"/>
      <c r="AY35" s="839"/>
      <c r="AZ35" s="839"/>
      <c r="BA35" s="839"/>
      <c r="BB35" s="839"/>
      <c r="BC35" s="839"/>
      <c r="BD35" s="839"/>
      <c r="BE35" s="839"/>
      <c r="BF35" s="839"/>
      <c r="BG35" s="839"/>
      <c r="BH35" s="839"/>
      <c r="BI35" s="839"/>
      <c r="BJ35" s="840"/>
      <c r="BK35" s="840"/>
      <c r="BL35" s="840"/>
      <c r="BM35" s="840"/>
      <c r="BN35" s="840"/>
      <c r="BO35" s="840"/>
      <c r="BP35" s="840"/>
      <c r="BQ35" s="840"/>
      <c r="BR35" s="840"/>
      <c r="BS35" s="840"/>
      <c r="BT35" s="840"/>
      <c r="BU35" s="840"/>
      <c r="BV35" s="840"/>
      <c r="BW35" s="840"/>
      <c r="BX35" s="840"/>
      <c r="BY35" s="840"/>
      <c r="BZ35" s="840"/>
      <c r="CA35" s="840"/>
      <c r="CB35" s="840"/>
      <c r="CC35" s="840"/>
      <c r="CD35" s="840"/>
      <c r="CE35" s="840"/>
      <c r="CF35" s="840"/>
      <c r="CG35" s="855"/>
      <c r="CH35" s="841"/>
      <c r="CI35" s="840"/>
      <c r="CJ35" s="840"/>
      <c r="CK35" s="840"/>
      <c r="CL35" s="840"/>
      <c r="CM35" s="840"/>
      <c r="CN35" s="840"/>
      <c r="CO35" s="840"/>
      <c r="CP35" s="840"/>
      <c r="CQ35" s="840"/>
      <c r="CR35" s="840"/>
      <c r="CS35" s="840"/>
      <c r="CT35" s="840"/>
      <c r="CU35" s="840"/>
      <c r="CV35" s="840"/>
      <c r="CW35" s="840"/>
      <c r="CX35" s="840"/>
      <c r="CY35" s="840"/>
      <c r="CZ35" s="840"/>
      <c r="DA35" s="840"/>
      <c r="DB35" s="840"/>
      <c r="DC35" s="840"/>
      <c r="DD35" s="840"/>
      <c r="DE35" s="840"/>
      <c r="DF35" s="839">
        <f t="shared" ref="DF35:ES35" si="24">SUBTOTAL(9,DF6:DF34)</f>
        <v>0</v>
      </c>
      <c r="DG35" s="839">
        <f t="shared" si="24"/>
        <v>0</v>
      </c>
      <c r="DH35" s="839">
        <f t="shared" si="24"/>
        <v>0</v>
      </c>
      <c r="DI35" s="839">
        <f t="shared" si="24"/>
        <v>0</v>
      </c>
      <c r="DJ35" s="839">
        <f t="shared" si="24"/>
        <v>0</v>
      </c>
      <c r="DK35" s="839">
        <f t="shared" si="24"/>
        <v>0</v>
      </c>
      <c r="DL35" s="839">
        <f t="shared" si="24"/>
        <v>0</v>
      </c>
      <c r="DM35" s="839">
        <f t="shared" si="24"/>
        <v>0</v>
      </c>
      <c r="DN35" s="839">
        <f t="shared" si="24"/>
        <v>0</v>
      </c>
      <c r="DO35" s="839">
        <f t="shared" si="24"/>
        <v>0</v>
      </c>
      <c r="DP35" s="839">
        <f t="shared" si="24"/>
        <v>0</v>
      </c>
      <c r="DQ35" s="839">
        <f t="shared" si="24"/>
        <v>0</v>
      </c>
      <c r="DR35" s="839">
        <f t="shared" si="24"/>
        <v>0</v>
      </c>
      <c r="DS35" s="839">
        <f t="shared" si="24"/>
        <v>0</v>
      </c>
      <c r="DT35" s="839">
        <f t="shared" si="24"/>
        <v>0</v>
      </c>
      <c r="DU35" s="839">
        <f t="shared" si="24"/>
        <v>0</v>
      </c>
      <c r="DV35" s="839">
        <f t="shared" si="24"/>
        <v>0</v>
      </c>
      <c r="DW35" s="839">
        <f t="shared" si="24"/>
        <v>0</v>
      </c>
      <c r="DX35" s="839">
        <f t="shared" si="24"/>
        <v>0</v>
      </c>
      <c r="DY35" s="839">
        <f t="shared" si="24"/>
        <v>0</v>
      </c>
      <c r="DZ35" s="839">
        <f t="shared" si="24"/>
        <v>0</v>
      </c>
      <c r="EA35" s="839">
        <f t="shared" si="24"/>
        <v>0</v>
      </c>
      <c r="EB35" s="839">
        <f t="shared" si="24"/>
        <v>0</v>
      </c>
      <c r="EC35" s="839">
        <f t="shared" si="24"/>
        <v>0</v>
      </c>
      <c r="ED35" s="839">
        <f t="shared" si="24"/>
        <v>0</v>
      </c>
      <c r="EE35" s="839">
        <f t="shared" si="24"/>
        <v>0</v>
      </c>
      <c r="EF35" s="839">
        <f t="shared" si="24"/>
        <v>0</v>
      </c>
      <c r="EG35" s="839">
        <f t="shared" si="24"/>
        <v>0</v>
      </c>
      <c r="EH35" s="839">
        <f t="shared" si="24"/>
        <v>0</v>
      </c>
      <c r="EI35" s="839">
        <f t="shared" si="24"/>
        <v>0</v>
      </c>
      <c r="EJ35" s="839">
        <f t="shared" si="24"/>
        <v>0</v>
      </c>
      <c r="EK35" s="839">
        <f t="shared" si="24"/>
        <v>0</v>
      </c>
      <c r="EL35" s="839">
        <f t="shared" si="24"/>
        <v>0</v>
      </c>
      <c r="EM35" s="839">
        <f t="shared" si="24"/>
        <v>0</v>
      </c>
      <c r="EN35" s="839">
        <f t="shared" si="24"/>
        <v>0</v>
      </c>
      <c r="EO35" s="839">
        <f t="shared" si="24"/>
        <v>0</v>
      </c>
      <c r="EP35" s="839">
        <f t="shared" si="24"/>
        <v>0</v>
      </c>
      <c r="EQ35" s="839">
        <f t="shared" si="24"/>
        <v>0</v>
      </c>
      <c r="ER35" s="839">
        <f t="shared" si="24"/>
        <v>0</v>
      </c>
      <c r="ES35" s="839">
        <f t="shared" si="24"/>
        <v>0</v>
      </c>
      <c r="ET35" s="840"/>
      <c r="EU35" s="840"/>
      <c r="EV35" s="840"/>
      <c r="EW35" s="840"/>
      <c r="EX35" s="840"/>
      <c r="EY35" s="840"/>
      <c r="EZ35" s="858">
        <f>SUBTOTAL(9,EZ6:EZ34)</f>
        <v>0</v>
      </c>
      <c r="FA35" s="858">
        <f t="shared" ref="FA35:FV35" si="25">SUBTOTAL(9,FA6:FA34)</f>
        <v>0</v>
      </c>
      <c r="FB35" s="858">
        <f t="shared" si="25"/>
        <v>0</v>
      </c>
      <c r="FC35" s="858">
        <f t="shared" si="25"/>
        <v>0</v>
      </c>
      <c r="FD35" s="858">
        <f t="shared" si="25"/>
        <v>0</v>
      </c>
      <c r="FE35" s="858">
        <f t="shared" si="25"/>
        <v>0</v>
      </c>
      <c r="FF35" s="858">
        <f t="shared" si="25"/>
        <v>0</v>
      </c>
      <c r="FG35" s="858">
        <f t="shared" si="25"/>
        <v>0</v>
      </c>
      <c r="FH35" s="858">
        <f t="shared" si="25"/>
        <v>0</v>
      </c>
      <c r="FI35" s="858">
        <f t="shared" si="25"/>
        <v>0</v>
      </c>
      <c r="FJ35" s="858">
        <f t="shared" si="25"/>
        <v>0</v>
      </c>
      <c r="FK35" s="858">
        <f t="shared" si="25"/>
        <v>0</v>
      </c>
      <c r="FL35" s="858">
        <f t="shared" si="25"/>
        <v>0</v>
      </c>
      <c r="FM35" s="858">
        <f t="shared" si="25"/>
        <v>0</v>
      </c>
      <c r="FN35" s="858">
        <f t="shared" si="25"/>
        <v>0</v>
      </c>
      <c r="FO35" s="858">
        <f t="shared" si="25"/>
        <v>0</v>
      </c>
      <c r="FP35" s="858">
        <f t="shared" si="25"/>
        <v>0</v>
      </c>
      <c r="FQ35" s="858">
        <f t="shared" si="25"/>
        <v>0</v>
      </c>
      <c r="FR35" s="858">
        <f t="shared" si="25"/>
        <v>0</v>
      </c>
      <c r="FS35" s="858">
        <f t="shared" si="25"/>
        <v>0</v>
      </c>
      <c r="FT35" s="858">
        <f t="shared" si="25"/>
        <v>0</v>
      </c>
      <c r="FU35" s="858">
        <f t="shared" si="25"/>
        <v>0</v>
      </c>
      <c r="FV35" s="858">
        <f t="shared" si="25"/>
        <v>0</v>
      </c>
      <c r="FW35" s="779"/>
      <c r="FX35" s="856"/>
      <c r="FY35" s="856"/>
      <c r="FZ35" s="844"/>
    </row>
    <row r="36" spans="3:184" ht="23.25" customHeight="1">
      <c r="C36" s="1486" t="s">
        <v>2189</v>
      </c>
      <c r="D36" s="1489" t="s">
        <v>33</v>
      </c>
      <c r="E36" s="1489"/>
      <c r="F36" s="1489"/>
      <c r="G36" s="838" t="s">
        <v>1870</v>
      </c>
      <c r="H36" s="839"/>
      <c r="I36" s="839"/>
      <c r="J36" s="839"/>
      <c r="K36" s="839"/>
      <c r="L36" s="839"/>
      <c r="M36" s="839"/>
      <c r="N36" s="839"/>
      <c r="O36" s="839"/>
      <c r="P36" s="839"/>
      <c r="Q36" s="839"/>
      <c r="R36" s="839"/>
      <c r="S36" s="839"/>
      <c r="T36" s="839"/>
      <c r="U36" s="839"/>
      <c r="V36" s="839"/>
      <c r="W36" s="839"/>
      <c r="X36" s="839"/>
      <c r="Y36" s="839"/>
      <c r="Z36" s="839"/>
      <c r="AA36" s="839"/>
      <c r="AB36" s="839"/>
      <c r="AC36" s="839"/>
      <c r="AD36" s="839"/>
      <c r="AE36" s="839"/>
      <c r="AF36" s="839"/>
      <c r="AG36" s="839"/>
      <c r="AH36" s="839"/>
      <c r="AI36" s="839"/>
      <c r="AJ36" s="839"/>
      <c r="AK36" s="839"/>
      <c r="AL36" s="839"/>
      <c r="AM36" s="839"/>
      <c r="AN36" s="839"/>
      <c r="AO36" s="839"/>
      <c r="AP36" s="839"/>
      <c r="AQ36" s="839"/>
      <c r="AR36" s="839"/>
      <c r="AS36" s="839"/>
      <c r="AT36" s="839"/>
      <c r="AU36" s="839"/>
      <c r="AV36" s="839"/>
      <c r="AW36" s="839"/>
      <c r="AX36" s="839"/>
      <c r="AY36" s="839"/>
      <c r="AZ36" s="839"/>
      <c r="BA36" s="839"/>
      <c r="BB36" s="839"/>
      <c r="BC36" s="839"/>
      <c r="BD36" s="839"/>
      <c r="BE36" s="839"/>
      <c r="BF36" s="839"/>
      <c r="BG36" s="839"/>
      <c r="BH36" s="839"/>
      <c r="BI36" s="839"/>
      <c r="BJ36" s="840">
        <f t="shared" si="17"/>
        <v>0</v>
      </c>
      <c r="BK36" s="840">
        <f t="shared" si="17"/>
        <v>0</v>
      </c>
      <c r="BL36" s="840">
        <f t="shared" si="17"/>
        <v>0</v>
      </c>
      <c r="BM36" s="840">
        <f t="shared" si="17"/>
        <v>0</v>
      </c>
      <c r="BN36" s="840">
        <f t="shared" si="17"/>
        <v>0</v>
      </c>
      <c r="BO36" s="840">
        <f t="shared" si="17"/>
        <v>0</v>
      </c>
      <c r="BP36" s="840">
        <f t="shared" si="17"/>
        <v>0</v>
      </c>
      <c r="BQ36" s="840">
        <f t="shared" si="17"/>
        <v>0</v>
      </c>
      <c r="BR36" s="840">
        <f t="shared" si="17"/>
        <v>0</v>
      </c>
      <c r="BS36" s="840">
        <f t="shared" si="17"/>
        <v>0</v>
      </c>
      <c r="BT36" s="840">
        <f t="shared" si="17"/>
        <v>0</v>
      </c>
      <c r="BU36" s="840">
        <f t="shared" si="17"/>
        <v>0</v>
      </c>
      <c r="BV36" s="840">
        <f t="shared" si="17"/>
        <v>0</v>
      </c>
      <c r="BW36" s="840">
        <f t="shared" si="17"/>
        <v>0</v>
      </c>
      <c r="BX36" s="840">
        <f t="shared" si="17"/>
        <v>0</v>
      </c>
      <c r="BY36" s="840">
        <f t="shared" si="12"/>
        <v>0</v>
      </c>
      <c r="BZ36" s="840">
        <f t="shared" si="1"/>
        <v>0</v>
      </c>
      <c r="CA36" s="840">
        <f t="shared" si="1"/>
        <v>0</v>
      </c>
      <c r="CB36" s="840">
        <f t="shared" si="1"/>
        <v>0</v>
      </c>
      <c r="CC36" s="840">
        <f t="shared" si="1"/>
        <v>0</v>
      </c>
      <c r="CD36" s="840">
        <f t="shared" si="1"/>
        <v>0</v>
      </c>
      <c r="CE36" s="840">
        <f t="shared" si="1"/>
        <v>0</v>
      </c>
      <c r="CF36" s="840">
        <f t="shared" si="1"/>
        <v>0</v>
      </c>
      <c r="CG36" s="840">
        <f>VLOOKUP($G36,$GB$6:$GC$15,2,FALSE)</f>
        <v>1000</v>
      </c>
      <c r="CH36" s="841" t="s">
        <v>7</v>
      </c>
      <c r="CI36" s="840">
        <f t="shared" ref="CI36:CX52" si="26">ROUND(BJ36/$CG36,0)</f>
        <v>0</v>
      </c>
      <c r="CJ36" s="840">
        <f t="shared" si="26"/>
        <v>0</v>
      </c>
      <c r="CK36" s="840">
        <f t="shared" si="26"/>
        <v>0</v>
      </c>
      <c r="CL36" s="840">
        <f t="shared" si="26"/>
        <v>0</v>
      </c>
      <c r="CM36" s="840">
        <f t="shared" si="26"/>
        <v>0</v>
      </c>
      <c r="CN36" s="840">
        <f t="shared" si="26"/>
        <v>0</v>
      </c>
      <c r="CO36" s="840">
        <f t="shared" si="26"/>
        <v>0</v>
      </c>
      <c r="CP36" s="840">
        <f t="shared" si="26"/>
        <v>0</v>
      </c>
      <c r="CQ36" s="840">
        <f t="shared" si="26"/>
        <v>0</v>
      </c>
      <c r="CR36" s="840">
        <f t="shared" si="26"/>
        <v>0</v>
      </c>
      <c r="CS36" s="840">
        <f t="shared" si="26"/>
        <v>0</v>
      </c>
      <c r="CT36" s="840">
        <f t="shared" si="26"/>
        <v>0</v>
      </c>
      <c r="CU36" s="840">
        <f t="shared" si="26"/>
        <v>0</v>
      </c>
      <c r="CV36" s="840">
        <f t="shared" si="26"/>
        <v>0</v>
      </c>
      <c r="CW36" s="840">
        <f t="shared" si="26"/>
        <v>0</v>
      </c>
      <c r="CX36" s="840">
        <f t="shared" si="26"/>
        <v>0</v>
      </c>
      <c r="CY36" s="840">
        <f t="shared" ref="CY36:DE40" si="27">ROUND(BZ36/$CG36,0)</f>
        <v>0</v>
      </c>
      <c r="CZ36" s="840">
        <f t="shared" si="27"/>
        <v>0</v>
      </c>
      <c r="DA36" s="840">
        <f t="shared" si="27"/>
        <v>0</v>
      </c>
      <c r="DB36" s="840">
        <f t="shared" si="27"/>
        <v>0</v>
      </c>
      <c r="DC36" s="840">
        <f t="shared" si="27"/>
        <v>0</v>
      </c>
      <c r="DD36" s="840">
        <f t="shared" si="27"/>
        <v>0</v>
      </c>
      <c r="DE36" s="840">
        <f t="shared" si="27"/>
        <v>0</v>
      </c>
      <c r="DF36" s="840">
        <f t="shared" ref="DF36:DU39" si="28">CI36*$FW36</f>
        <v>0</v>
      </c>
      <c r="DG36" s="840">
        <f t="shared" si="28"/>
        <v>0</v>
      </c>
      <c r="DH36" s="840">
        <f t="shared" si="28"/>
        <v>0</v>
      </c>
      <c r="DI36" s="840">
        <f t="shared" si="28"/>
        <v>0</v>
      </c>
      <c r="DJ36" s="840">
        <f t="shared" si="28"/>
        <v>0</v>
      </c>
      <c r="DK36" s="840">
        <f t="shared" si="28"/>
        <v>0</v>
      </c>
      <c r="DL36" s="840">
        <f t="shared" si="28"/>
        <v>0</v>
      </c>
      <c r="DM36" s="840">
        <f t="shared" si="28"/>
        <v>0</v>
      </c>
      <c r="DN36" s="840">
        <f t="shared" si="28"/>
        <v>0</v>
      </c>
      <c r="DO36" s="840">
        <f t="shared" si="28"/>
        <v>0</v>
      </c>
      <c r="DP36" s="840">
        <f t="shared" si="28"/>
        <v>0</v>
      </c>
      <c r="DQ36" s="840">
        <f t="shared" si="28"/>
        <v>0</v>
      </c>
      <c r="DR36" s="840">
        <f t="shared" si="28"/>
        <v>0</v>
      </c>
      <c r="DS36" s="840">
        <f t="shared" si="28"/>
        <v>0</v>
      </c>
      <c r="DT36" s="840">
        <f t="shared" si="28"/>
        <v>0</v>
      </c>
      <c r="DU36" s="840">
        <f t="shared" si="28"/>
        <v>0</v>
      </c>
      <c r="DV36" s="840">
        <f t="shared" ref="DP36:EB39" si="29">CY36*$FW36</f>
        <v>0</v>
      </c>
      <c r="DW36" s="840">
        <f t="shared" si="29"/>
        <v>0</v>
      </c>
      <c r="DX36" s="840">
        <f t="shared" si="29"/>
        <v>0</v>
      </c>
      <c r="DY36" s="840">
        <f t="shared" si="29"/>
        <v>0</v>
      </c>
      <c r="DZ36" s="840">
        <f t="shared" si="29"/>
        <v>0</v>
      </c>
      <c r="EA36" s="840">
        <f t="shared" si="29"/>
        <v>0</v>
      </c>
      <c r="EB36" s="840">
        <f t="shared" si="29"/>
        <v>0</v>
      </c>
      <c r="EC36" s="840">
        <f t="shared" ref="EC36:ER39" si="30">DF36*$GC$19</f>
        <v>0</v>
      </c>
      <c r="ED36" s="840">
        <f t="shared" si="30"/>
        <v>0</v>
      </c>
      <c r="EE36" s="840">
        <f t="shared" si="30"/>
        <v>0</v>
      </c>
      <c r="EF36" s="840">
        <f t="shared" si="30"/>
        <v>0</v>
      </c>
      <c r="EG36" s="840">
        <f t="shared" si="30"/>
        <v>0</v>
      </c>
      <c r="EH36" s="840">
        <f t="shared" si="30"/>
        <v>0</v>
      </c>
      <c r="EI36" s="840">
        <f t="shared" si="30"/>
        <v>0</v>
      </c>
      <c r="EJ36" s="840">
        <f t="shared" si="30"/>
        <v>0</v>
      </c>
      <c r="EK36" s="840">
        <f t="shared" si="30"/>
        <v>0</v>
      </c>
      <c r="EL36" s="840">
        <f t="shared" si="30"/>
        <v>0</v>
      </c>
      <c r="EM36" s="840">
        <f t="shared" si="30"/>
        <v>0</v>
      </c>
      <c r="EN36" s="840">
        <f t="shared" si="30"/>
        <v>0</v>
      </c>
      <c r="EO36" s="840">
        <f t="shared" si="30"/>
        <v>0</v>
      </c>
      <c r="EP36" s="840">
        <f t="shared" si="30"/>
        <v>0</v>
      </c>
      <c r="EQ36" s="840">
        <f t="shared" si="30"/>
        <v>0</v>
      </c>
      <c r="ER36" s="840">
        <f t="shared" si="30"/>
        <v>0</v>
      </c>
      <c r="ES36" s="840">
        <f t="shared" ref="EM36:EY39" si="31">DV36*$GC$19</f>
        <v>0</v>
      </c>
      <c r="ET36" s="840">
        <f t="shared" si="31"/>
        <v>0</v>
      </c>
      <c r="EU36" s="840">
        <f t="shared" si="31"/>
        <v>0</v>
      </c>
      <c r="EV36" s="840">
        <f t="shared" si="31"/>
        <v>0</v>
      </c>
      <c r="EW36" s="840">
        <f t="shared" si="31"/>
        <v>0</v>
      </c>
      <c r="EX36" s="840">
        <f t="shared" si="31"/>
        <v>0</v>
      </c>
      <c r="EY36" s="840">
        <f t="shared" si="31"/>
        <v>0</v>
      </c>
      <c r="EZ36" s="842">
        <f t="shared" ref="EZ36:FO40" si="32">CI36*$FY36</f>
        <v>0</v>
      </c>
      <c r="FA36" s="842">
        <f t="shared" si="32"/>
        <v>0</v>
      </c>
      <c r="FB36" s="842">
        <f t="shared" si="32"/>
        <v>0</v>
      </c>
      <c r="FC36" s="842">
        <f t="shared" si="32"/>
        <v>0</v>
      </c>
      <c r="FD36" s="842">
        <f t="shared" si="32"/>
        <v>0</v>
      </c>
      <c r="FE36" s="842">
        <f t="shared" si="32"/>
        <v>0</v>
      </c>
      <c r="FF36" s="842">
        <f t="shared" si="32"/>
        <v>0</v>
      </c>
      <c r="FG36" s="842">
        <f t="shared" si="32"/>
        <v>0</v>
      </c>
      <c r="FH36" s="842">
        <f t="shared" si="32"/>
        <v>0</v>
      </c>
      <c r="FI36" s="842">
        <f t="shared" si="32"/>
        <v>0</v>
      </c>
      <c r="FJ36" s="842">
        <f t="shared" si="32"/>
        <v>0</v>
      </c>
      <c r="FK36" s="842">
        <f t="shared" si="32"/>
        <v>0</v>
      </c>
      <c r="FL36" s="842">
        <f t="shared" si="32"/>
        <v>0</v>
      </c>
      <c r="FM36" s="842">
        <f t="shared" si="32"/>
        <v>0</v>
      </c>
      <c r="FN36" s="842">
        <f t="shared" si="32"/>
        <v>0</v>
      </c>
      <c r="FO36" s="842">
        <f t="shared" si="32"/>
        <v>0</v>
      </c>
      <c r="FP36" s="842">
        <f t="shared" ref="FJ36:FV40" si="33">CY36*$FY36</f>
        <v>0</v>
      </c>
      <c r="FQ36" s="842">
        <f t="shared" si="33"/>
        <v>0</v>
      </c>
      <c r="FR36" s="842">
        <f t="shared" si="33"/>
        <v>0</v>
      </c>
      <c r="FS36" s="842">
        <f t="shared" si="33"/>
        <v>0</v>
      </c>
      <c r="FT36" s="842">
        <f t="shared" si="33"/>
        <v>0</v>
      </c>
      <c r="FU36" s="842">
        <f t="shared" si="33"/>
        <v>0</v>
      </c>
      <c r="FV36" s="842">
        <f t="shared" si="33"/>
        <v>0</v>
      </c>
      <c r="FW36" s="859">
        <v>1.02</v>
      </c>
      <c r="FX36" s="788" t="s">
        <v>2245</v>
      </c>
      <c r="FY36" s="843">
        <v>0.06</v>
      </c>
      <c r="FZ36" s="860" t="s">
        <v>2246</v>
      </c>
    </row>
    <row r="37" spans="3:184" ht="23.25" customHeight="1">
      <c r="C37" s="1487"/>
      <c r="D37" s="1490" t="s">
        <v>34</v>
      </c>
      <c r="E37" s="1490"/>
      <c r="F37" s="1490"/>
      <c r="G37" s="838" t="s">
        <v>1870</v>
      </c>
      <c r="H37" s="839"/>
      <c r="I37" s="839"/>
      <c r="J37" s="839"/>
      <c r="K37" s="839"/>
      <c r="L37" s="839"/>
      <c r="M37" s="839"/>
      <c r="N37" s="839"/>
      <c r="O37" s="839"/>
      <c r="P37" s="839"/>
      <c r="Q37" s="839"/>
      <c r="R37" s="839"/>
      <c r="S37" s="839"/>
      <c r="T37" s="839"/>
      <c r="U37" s="839"/>
      <c r="V37" s="839"/>
      <c r="W37" s="839"/>
      <c r="X37" s="839"/>
      <c r="Y37" s="839"/>
      <c r="Z37" s="839"/>
      <c r="AA37" s="839"/>
      <c r="AB37" s="839"/>
      <c r="AC37" s="839"/>
      <c r="AD37" s="839"/>
      <c r="AE37" s="839"/>
      <c r="AF37" s="839"/>
      <c r="AG37" s="839"/>
      <c r="AH37" s="839"/>
      <c r="AI37" s="839"/>
      <c r="AJ37" s="839"/>
      <c r="AK37" s="839"/>
      <c r="AL37" s="839"/>
      <c r="AM37" s="839"/>
      <c r="AN37" s="839"/>
      <c r="AO37" s="839"/>
      <c r="AP37" s="839"/>
      <c r="AQ37" s="839"/>
      <c r="AR37" s="839"/>
      <c r="AS37" s="839"/>
      <c r="AT37" s="839"/>
      <c r="AU37" s="839"/>
      <c r="AV37" s="839"/>
      <c r="AW37" s="839"/>
      <c r="AX37" s="839"/>
      <c r="AY37" s="839"/>
      <c r="AZ37" s="839"/>
      <c r="BA37" s="839"/>
      <c r="BB37" s="839"/>
      <c r="BC37" s="839"/>
      <c r="BD37" s="839"/>
      <c r="BE37" s="839"/>
      <c r="BF37" s="839"/>
      <c r="BG37" s="839"/>
      <c r="BH37" s="839"/>
      <c r="BI37" s="839"/>
      <c r="BJ37" s="840">
        <f t="shared" si="17"/>
        <v>0</v>
      </c>
      <c r="BK37" s="840">
        <f t="shared" si="17"/>
        <v>0</v>
      </c>
      <c r="BL37" s="840">
        <f t="shared" si="17"/>
        <v>0</v>
      </c>
      <c r="BM37" s="840">
        <f t="shared" si="17"/>
        <v>0</v>
      </c>
      <c r="BN37" s="840">
        <f t="shared" si="17"/>
        <v>0</v>
      </c>
      <c r="BO37" s="840">
        <f t="shared" si="17"/>
        <v>0</v>
      </c>
      <c r="BP37" s="840">
        <f t="shared" si="17"/>
        <v>0</v>
      </c>
      <c r="BQ37" s="840">
        <f t="shared" si="17"/>
        <v>0</v>
      </c>
      <c r="BR37" s="840">
        <f t="shared" si="17"/>
        <v>0</v>
      </c>
      <c r="BS37" s="840">
        <f t="shared" si="17"/>
        <v>0</v>
      </c>
      <c r="BT37" s="840">
        <f t="shared" si="17"/>
        <v>0</v>
      </c>
      <c r="BU37" s="840">
        <f t="shared" si="17"/>
        <v>0</v>
      </c>
      <c r="BV37" s="840">
        <f t="shared" si="17"/>
        <v>0</v>
      </c>
      <c r="BW37" s="840">
        <f t="shared" si="17"/>
        <v>0</v>
      </c>
      <c r="BX37" s="840">
        <f t="shared" si="17"/>
        <v>0</v>
      </c>
      <c r="BY37" s="840">
        <f t="shared" si="12"/>
        <v>0</v>
      </c>
      <c r="BZ37" s="840">
        <f t="shared" si="1"/>
        <v>0</v>
      </c>
      <c r="CA37" s="840">
        <f t="shared" si="1"/>
        <v>0</v>
      </c>
      <c r="CB37" s="840">
        <f t="shared" si="1"/>
        <v>0</v>
      </c>
      <c r="CC37" s="840">
        <f t="shared" si="1"/>
        <v>0</v>
      </c>
      <c r="CD37" s="840">
        <f t="shared" si="1"/>
        <v>0</v>
      </c>
      <c r="CE37" s="840">
        <f t="shared" si="1"/>
        <v>0</v>
      </c>
      <c r="CF37" s="840">
        <f t="shared" si="1"/>
        <v>0</v>
      </c>
      <c r="CG37" s="840">
        <f>VLOOKUP($G37,$GB$6:$GC$15,2,FALSE)</f>
        <v>1000</v>
      </c>
      <c r="CH37" s="841" t="s">
        <v>7</v>
      </c>
      <c r="CI37" s="840">
        <f t="shared" si="26"/>
        <v>0</v>
      </c>
      <c r="CJ37" s="840">
        <f t="shared" si="26"/>
        <v>0</v>
      </c>
      <c r="CK37" s="840">
        <f t="shared" si="26"/>
        <v>0</v>
      </c>
      <c r="CL37" s="840">
        <f t="shared" si="26"/>
        <v>0</v>
      </c>
      <c r="CM37" s="840">
        <f t="shared" si="26"/>
        <v>0</v>
      </c>
      <c r="CN37" s="840">
        <f t="shared" si="26"/>
        <v>0</v>
      </c>
      <c r="CO37" s="840">
        <f t="shared" si="26"/>
        <v>0</v>
      </c>
      <c r="CP37" s="840">
        <f t="shared" si="26"/>
        <v>0</v>
      </c>
      <c r="CQ37" s="840">
        <f t="shared" si="26"/>
        <v>0</v>
      </c>
      <c r="CR37" s="840">
        <f t="shared" si="26"/>
        <v>0</v>
      </c>
      <c r="CS37" s="840">
        <f t="shared" si="26"/>
        <v>0</v>
      </c>
      <c r="CT37" s="840">
        <f t="shared" si="26"/>
        <v>0</v>
      </c>
      <c r="CU37" s="840">
        <f t="shared" si="26"/>
        <v>0</v>
      </c>
      <c r="CV37" s="840">
        <f t="shared" si="26"/>
        <v>0</v>
      </c>
      <c r="CW37" s="840">
        <f t="shared" si="26"/>
        <v>0</v>
      </c>
      <c r="CX37" s="840">
        <f t="shared" si="26"/>
        <v>0</v>
      </c>
      <c r="CY37" s="840">
        <f t="shared" si="27"/>
        <v>0</v>
      </c>
      <c r="CZ37" s="840">
        <f t="shared" si="27"/>
        <v>0</v>
      </c>
      <c r="DA37" s="840">
        <f t="shared" si="27"/>
        <v>0</v>
      </c>
      <c r="DB37" s="840">
        <f t="shared" si="27"/>
        <v>0</v>
      </c>
      <c r="DC37" s="840">
        <f t="shared" si="27"/>
        <v>0</v>
      </c>
      <c r="DD37" s="840">
        <f t="shared" si="27"/>
        <v>0</v>
      </c>
      <c r="DE37" s="840">
        <f t="shared" si="27"/>
        <v>0</v>
      </c>
      <c r="DF37" s="840">
        <f t="shared" si="28"/>
        <v>0</v>
      </c>
      <c r="DG37" s="840">
        <f t="shared" si="28"/>
        <v>0</v>
      </c>
      <c r="DH37" s="840">
        <f t="shared" si="28"/>
        <v>0</v>
      </c>
      <c r="DI37" s="840">
        <f t="shared" si="28"/>
        <v>0</v>
      </c>
      <c r="DJ37" s="840">
        <f t="shared" si="28"/>
        <v>0</v>
      </c>
      <c r="DK37" s="840">
        <f t="shared" si="28"/>
        <v>0</v>
      </c>
      <c r="DL37" s="840">
        <f t="shared" si="28"/>
        <v>0</v>
      </c>
      <c r="DM37" s="840">
        <f t="shared" si="28"/>
        <v>0</v>
      </c>
      <c r="DN37" s="840">
        <f t="shared" si="28"/>
        <v>0</v>
      </c>
      <c r="DO37" s="840">
        <f t="shared" si="28"/>
        <v>0</v>
      </c>
      <c r="DP37" s="840">
        <f t="shared" si="29"/>
        <v>0</v>
      </c>
      <c r="DQ37" s="840">
        <f t="shared" si="29"/>
        <v>0</v>
      </c>
      <c r="DR37" s="840">
        <f t="shared" si="29"/>
        <v>0</v>
      </c>
      <c r="DS37" s="840">
        <f t="shared" si="29"/>
        <v>0</v>
      </c>
      <c r="DT37" s="840">
        <f t="shared" si="29"/>
        <v>0</v>
      </c>
      <c r="DU37" s="840">
        <f t="shared" si="29"/>
        <v>0</v>
      </c>
      <c r="DV37" s="840">
        <f t="shared" si="29"/>
        <v>0</v>
      </c>
      <c r="DW37" s="840">
        <f t="shared" si="29"/>
        <v>0</v>
      </c>
      <c r="DX37" s="840">
        <f t="shared" si="29"/>
        <v>0</v>
      </c>
      <c r="DY37" s="840">
        <f t="shared" si="29"/>
        <v>0</v>
      </c>
      <c r="DZ37" s="840">
        <f t="shared" si="29"/>
        <v>0</v>
      </c>
      <c r="EA37" s="840">
        <f t="shared" si="29"/>
        <v>0</v>
      </c>
      <c r="EB37" s="840">
        <f t="shared" si="29"/>
        <v>0</v>
      </c>
      <c r="EC37" s="840">
        <f t="shared" si="30"/>
        <v>0</v>
      </c>
      <c r="ED37" s="840">
        <f t="shared" si="30"/>
        <v>0</v>
      </c>
      <c r="EE37" s="840">
        <f t="shared" si="30"/>
        <v>0</v>
      </c>
      <c r="EF37" s="840">
        <f t="shared" si="30"/>
        <v>0</v>
      </c>
      <c r="EG37" s="840">
        <f t="shared" si="30"/>
        <v>0</v>
      </c>
      <c r="EH37" s="840">
        <f t="shared" si="30"/>
        <v>0</v>
      </c>
      <c r="EI37" s="840">
        <f t="shared" si="30"/>
        <v>0</v>
      </c>
      <c r="EJ37" s="840">
        <f t="shared" si="30"/>
        <v>0</v>
      </c>
      <c r="EK37" s="840">
        <f t="shared" si="30"/>
        <v>0</v>
      </c>
      <c r="EL37" s="840">
        <f t="shared" si="30"/>
        <v>0</v>
      </c>
      <c r="EM37" s="840">
        <f t="shared" si="31"/>
        <v>0</v>
      </c>
      <c r="EN37" s="840">
        <f t="shared" si="31"/>
        <v>0</v>
      </c>
      <c r="EO37" s="840">
        <f t="shared" si="31"/>
        <v>0</v>
      </c>
      <c r="EP37" s="840">
        <f t="shared" si="31"/>
        <v>0</v>
      </c>
      <c r="EQ37" s="840">
        <f t="shared" si="31"/>
        <v>0</v>
      </c>
      <c r="ER37" s="840">
        <f t="shared" si="31"/>
        <v>0</v>
      </c>
      <c r="ES37" s="840">
        <f t="shared" si="31"/>
        <v>0</v>
      </c>
      <c r="ET37" s="840">
        <f t="shared" si="31"/>
        <v>0</v>
      </c>
      <c r="EU37" s="840">
        <f t="shared" si="31"/>
        <v>0</v>
      </c>
      <c r="EV37" s="840">
        <f t="shared" si="31"/>
        <v>0</v>
      </c>
      <c r="EW37" s="840">
        <f t="shared" si="31"/>
        <v>0</v>
      </c>
      <c r="EX37" s="840">
        <f t="shared" si="31"/>
        <v>0</v>
      </c>
      <c r="EY37" s="840">
        <f t="shared" si="31"/>
        <v>0</v>
      </c>
      <c r="EZ37" s="842">
        <f t="shared" si="32"/>
        <v>0</v>
      </c>
      <c r="FA37" s="842">
        <f t="shared" si="32"/>
        <v>0</v>
      </c>
      <c r="FB37" s="842">
        <f t="shared" si="32"/>
        <v>0</v>
      </c>
      <c r="FC37" s="842">
        <f t="shared" si="32"/>
        <v>0</v>
      </c>
      <c r="FD37" s="842">
        <f t="shared" si="32"/>
        <v>0</v>
      </c>
      <c r="FE37" s="842">
        <f t="shared" si="32"/>
        <v>0</v>
      </c>
      <c r="FF37" s="842">
        <f t="shared" si="32"/>
        <v>0</v>
      </c>
      <c r="FG37" s="842">
        <f t="shared" si="32"/>
        <v>0</v>
      </c>
      <c r="FH37" s="842">
        <f t="shared" si="32"/>
        <v>0</v>
      </c>
      <c r="FI37" s="842">
        <f t="shared" si="32"/>
        <v>0</v>
      </c>
      <c r="FJ37" s="842">
        <f t="shared" si="33"/>
        <v>0</v>
      </c>
      <c r="FK37" s="842">
        <f t="shared" si="33"/>
        <v>0</v>
      </c>
      <c r="FL37" s="842">
        <f t="shared" si="33"/>
        <v>0</v>
      </c>
      <c r="FM37" s="842">
        <f t="shared" si="33"/>
        <v>0</v>
      </c>
      <c r="FN37" s="842">
        <f t="shared" si="33"/>
        <v>0</v>
      </c>
      <c r="FO37" s="842">
        <f t="shared" si="33"/>
        <v>0</v>
      </c>
      <c r="FP37" s="842">
        <f t="shared" si="33"/>
        <v>0</v>
      </c>
      <c r="FQ37" s="842">
        <f t="shared" si="33"/>
        <v>0</v>
      </c>
      <c r="FR37" s="842">
        <f t="shared" si="33"/>
        <v>0</v>
      </c>
      <c r="FS37" s="842">
        <f t="shared" si="33"/>
        <v>0</v>
      </c>
      <c r="FT37" s="842">
        <f t="shared" si="33"/>
        <v>0</v>
      </c>
      <c r="FU37" s="842">
        <f t="shared" si="33"/>
        <v>0</v>
      </c>
      <c r="FV37" s="842">
        <f t="shared" si="33"/>
        <v>0</v>
      </c>
      <c r="FW37" s="859">
        <v>1.36</v>
      </c>
      <c r="FX37" s="848" t="s">
        <v>2245</v>
      </c>
      <c r="FY37" s="843">
        <v>5.7000000000000002E-2</v>
      </c>
      <c r="FZ37" s="860" t="s">
        <v>2246</v>
      </c>
    </row>
    <row r="38" spans="3:184" ht="23.25" customHeight="1">
      <c r="C38" s="1487"/>
      <c r="D38" s="1489" t="s">
        <v>35</v>
      </c>
      <c r="E38" s="1489"/>
      <c r="F38" s="1489"/>
      <c r="G38" s="838" t="s">
        <v>1870</v>
      </c>
      <c r="H38" s="839"/>
      <c r="I38" s="839"/>
      <c r="J38" s="839"/>
      <c r="K38" s="839"/>
      <c r="L38" s="839"/>
      <c r="M38" s="839"/>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39"/>
      <c r="AM38" s="839"/>
      <c r="AN38" s="839"/>
      <c r="AO38" s="839"/>
      <c r="AP38" s="839"/>
      <c r="AQ38" s="839"/>
      <c r="AR38" s="839"/>
      <c r="AS38" s="839"/>
      <c r="AT38" s="839"/>
      <c r="AU38" s="839"/>
      <c r="AV38" s="839"/>
      <c r="AW38" s="839"/>
      <c r="AX38" s="839"/>
      <c r="AY38" s="839"/>
      <c r="AZ38" s="839"/>
      <c r="BA38" s="839"/>
      <c r="BB38" s="839"/>
      <c r="BC38" s="839"/>
      <c r="BD38" s="839"/>
      <c r="BE38" s="839"/>
      <c r="BF38" s="839"/>
      <c r="BG38" s="839"/>
      <c r="BH38" s="839"/>
      <c r="BI38" s="839"/>
      <c r="BJ38" s="840">
        <f t="shared" si="17"/>
        <v>0</v>
      </c>
      <c r="BK38" s="840">
        <f t="shared" si="17"/>
        <v>0</v>
      </c>
      <c r="BL38" s="840">
        <f t="shared" si="17"/>
        <v>0</v>
      </c>
      <c r="BM38" s="840">
        <f t="shared" si="17"/>
        <v>0</v>
      </c>
      <c r="BN38" s="840">
        <f t="shared" si="17"/>
        <v>0</v>
      </c>
      <c r="BO38" s="840">
        <f t="shared" si="17"/>
        <v>0</v>
      </c>
      <c r="BP38" s="840">
        <f t="shared" si="17"/>
        <v>0</v>
      </c>
      <c r="BQ38" s="840">
        <f t="shared" si="17"/>
        <v>0</v>
      </c>
      <c r="BR38" s="840">
        <f t="shared" si="17"/>
        <v>0</v>
      </c>
      <c r="BS38" s="840">
        <f t="shared" si="17"/>
        <v>0</v>
      </c>
      <c r="BT38" s="840">
        <f t="shared" si="17"/>
        <v>0</v>
      </c>
      <c r="BU38" s="840">
        <f t="shared" si="17"/>
        <v>0</v>
      </c>
      <c r="BV38" s="840">
        <f t="shared" si="17"/>
        <v>0</v>
      </c>
      <c r="BW38" s="840">
        <f t="shared" si="17"/>
        <v>0</v>
      </c>
      <c r="BX38" s="840">
        <f t="shared" si="17"/>
        <v>0</v>
      </c>
      <c r="BY38" s="840">
        <f t="shared" si="12"/>
        <v>0</v>
      </c>
      <c r="BZ38" s="840">
        <f t="shared" si="1"/>
        <v>0</v>
      </c>
      <c r="CA38" s="840">
        <f t="shared" si="1"/>
        <v>0</v>
      </c>
      <c r="CB38" s="840">
        <f t="shared" si="1"/>
        <v>0</v>
      </c>
      <c r="CC38" s="840">
        <f t="shared" si="1"/>
        <v>0</v>
      </c>
      <c r="CD38" s="840">
        <f t="shared" si="1"/>
        <v>0</v>
      </c>
      <c r="CE38" s="840">
        <f t="shared" si="1"/>
        <v>0</v>
      </c>
      <c r="CF38" s="840">
        <f t="shared" si="1"/>
        <v>0</v>
      </c>
      <c r="CG38" s="840">
        <f>VLOOKUP($G38,$GB$6:$GC$15,2,FALSE)</f>
        <v>1000</v>
      </c>
      <c r="CH38" s="841" t="s">
        <v>7</v>
      </c>
      <c r="CI38" s="840">
        <f t="shared" si="26"/>
        <v>0</v>
      </c>
      <c r="CJ38" s="840">
        <f t="shared" si="26"/>
        <v>0</v>
      </c>
      <c r="CK38" s="840">
        <f t="shared" si="26"/>
        <v>0</v>
      </c>
      <c r="CL38" s="840">
        <f t="shared" si="26"/>
        <v>0</v>
      </c>
      <c r="CM38" s="840">
        <f t="shared" si="26"/>
        <v>0</v>
      </c>
      <c r="CN38" s="840">
        <f t="shared" si="26"/>
        <v>0</v>
      </c>
      <c r="CO38" s="840">
        <f t="shared" si="26"/>
        <v>0</v>
      </c>
      <c r="CP38" s="840">
        <f t="shared" si="26"/>
        <v>0</v>
      </c>
      <c r="CQ38" s="840">
        <f t="shared" si="26"/>
        <v>0</v>
      </c>
      <c r="CR38" s="840">
        <f t="shared" si="26"/>
        <v>0</v>
      </c>
      <c r="CS38" s="840">
        <f t="shared" si="26"/>
        <v>0</v>
      </c>
      <c r="CT38" s="840">
        <f t="shared" si="26"/>
        <v>0</v>
      </c>
      <c r="CU38" s="840">
        <f t="shared" si="26"/>
        <v>0</v>
      </c>
      <c r="CV38" s="840">
        <f t="shared" si="26"/>
        <v>0</v>
      </c>
      <c r="CW38" s="840">
        <f t="shared" si="26"/>
        <v>0</v>
      </c>
      <c r="CX38" s="840">
        <f t="shared" si="26"/>
        <v>0</v>
      </c>
      <c r="CY38" s="840">
        <f t="shared" si="27"/>
        <v>0</v>
      </c>
      <c r="CZ38" s="840">
        <f t="shared" si="27"/>
        <v>0</v>
      </c>
      <c r="DA38" s="840">
        <f t="shared" si="27"/>
        <v>0</v>
      </c>
      <c r="DB38" s="840">
        <f t="shared" si="27"/>
        <v>0</v>
      </c>
      <c r="DC38" s="840">
        <f t="shared" si="27"/>
        <v>0</v>
      </c>
      <c r="DD38" s="840">
        <f t="shared" si="27"/>
        <v>0</v>
      </c>
      <c r="DE38" s="840">
        <f t="shared" si="27"/>
        <v>0</v>
      </c>
      <c r="DF38" s="840">
        <f t="shared" si="28"/>
        <v>0</v>
      </c>
      <c r="DG38" s="840">
        <f t="shared" si="28"/>
        <v>0</v>
      </c>
      <c r="DH38" s="840">
        <f t="shared" si="28"/>
        <v>0</v>
      </c>
      <c r="DI38" s="840">
        <f t="shared" si="28"/>
        <v>0</v>
      </c>
      <c r="DJ38" s="840">
        <f t="shared" si="28"/>
        <v>0</v>
      </c>
      <c r="DK38" s="840">
        <f t="shared" si="28"/>
        <v>0</v>
      </c>
      <c r="DL38" s="840">
        <f t="shared" si="28"/>
        <v>0</v>
      </c>
      <c r="DM38" s="840">
        <f t="shared" si="28"/>
        <v>0</v>
      </c>
      <c r="DN38" s="840">
        <f t="shared" si="28"/>
        <v>0</v>
      </c>
      <c r="DO38" s="840">
        <f t="shared" si="28"/>
        <v>0</v>
      </c>
      <c r="DP38" s="840">
        <f t="shared" si="29"/>
        <v>0</v>
      </c>
      <c r="DQ38" s="840">
        <f t="shared" si="29"/>
        <v>0</v>
      </c>
      <c r="DR38" s="840">
        <f t="shared" si="29"/>
        <v>0</v>
      </c>
      <c r="DS38" s="840">
        <f t="shared" si="29"/>
        <v>0</v>
      </c>
      <c r="DT38" s="840">
        <f t="shared" si="29"/>
        <v>0</v>
      </c>
      <c r="DU38" s="840">
        <f t="shared" si="29"/>
        <v>0</v>
      </c>
      <c r="DV38" s="840">
        <f t="shared" si="29"/>
        <v>0</v>
      </c>
      <c r="DW38" s="840">
        <f t="shared" si="29"/>
        <v>0</v>
      </c>
      <c r="DX38" s="840">
        <f t="shared" si="29"/>
        <v>0</v>
      </c>
      <c r="DY38" s="840">
        <f t="shared" si="29"/>
        <v>0</v>
      </c>
      <c r="DZ38" s="840">
        <f t="shared" si="29"/>
        <v>0</v>
      </c>
      <c r="EA38" s="840">
        <f t="shared" si="29"/>
        <v>0</v>
      </c>
      <c r="EB38" s="840">
        <f t="shared" si="29"/>
        <v>0</v>
      </c>
      <c r="EC38" s="840">
        <f t="shared" si="30"/>
        <v>0</v>
      </c>
      <c r="ED38" s="840">
        <f t="shared" si="30"/>
        <v>0</v>
      </c>
      <c r="EE38" s="840">
        <f t="shared" si="30"/>
        <v>0</v>
      </c>
      <c r="EF38" s="840">
        <f t="shared" si="30"/>
        <v>0</v>
      </c>
      <c r="EG38" s="840">
        <f t="shared" si="30"/>
        <v>0</v>
      </c>
      <c r="EH38" s="840">
        <f t="shared" si="30"/>
        <v>0</v>
      </c>
      <c r="EI38" s="840">
        <f t="shared" si="30"/>
        <v>0</v>
      </c>
      <c r="EJ38" s="840">
        <f t="shared" si="30"/>
        <v>0</v>
      </c>
      <c r="EK38" s="840">
        <f t="shared" si="30"/>
        <v>0</v>
      </c>
      <c r="EL38" s="840">
        <f t="shared" si="30"/>
        <v>0</v>
      </c>
      <c r="EM38" s="840">
        <f t="shared" si="31"/>
        <v>0</v>
      </c>
      <c r="EN38" s="840">
        <f t="shared" si="31"/>
        <v>0</v>
      </c>
      <c r="EO38" s="840">
        <f t="shared" si="31"/>
        <v>0</v>
      </c>
      <c r="EP38" s="840">
        <f t="shared" si="31"/>
        <v>0</v>
      </c>
      <c r="EQ38" s="840">
        <f t="shared" si="31"/>
        <v>0</v>
      </c>
      <c r="ER38" s="840">
        <f t="shared" si="31"/>
        <v>0</v>
      </c>
      <c r="ES38" s="840">
        <f t="shared" si="31"/>
        <v>0</v>
      </c>
      <c r="ET38" s="840">
        <f t="shared" si="31"/>
        <v>0</v>
      </c>
      <c r="EU38" s="840">
        <f t="shared" si="31"/>
        <v>0</v>
      </c>
      <c r="EV38" s="840">
        <f t="shared" si="31"/>
        <v>0</v>
      </c>
      <c r="EW38" s="840">
        <f t="shared" si="31"/>
        <v>0</v>
      </c>
      <c r="EX38" s="840">
        <f t="shared" si="31"/>
        <v>0</v>
      </c>
      <c r="EY38" s="840">
        <f t="shared" si="31"/>
        <v>0</v>
      </c>
      <c r="EZ38" s="842">
        <f t="shared" si="32"/>
        <v>0</v>
      </c>
      <c r="FA38" s="842">
        <f t="shared" si="32"/>
        <v>0</v>
      </c>
      <c r="FB38" s="842">
        <f t="shared" si="32"/>
        <v>0</v>
      </c>
      <c r="FC38" s="842">
        <f t="shared" si="32"/>
        <v>0</v>
      </c>
      <c r="FD38" s="842">
        <f t="shared" si="32"/>
        <v>0</v>
      </c>
      <c r="FE38" s="842">
        <f t="shared" si="32"/>
        <v>0</v>
      </c>
      <c r="FF38" s="842">
        <f t="shared" si="32"/>
        <v>0</v>
      </c>
      <c r="FG38" s="842">
        <f t="shared" si="32"/>
        <v>0</v>
      </c>
      <c r="FH38" s="842">
        <f t="shared" si="32"/>
        <v>0</v>
      </c>
      <c r="FI38" s="842">
        <f t="shared" si="32"/>
        <v>0</v>
      </c>
      <c r="FJ38" s="842">
        <f t="shared" si="33"/>
        <v>0</v>
      </c>
      <c r="FK38" s="842">
        <f t="shared" si="33"/>
        <v>0</v>
      </c>
      <c r="FL38" s="842">
        <f t="shared" si="33"/>
        <v>0</v>
      </c>
      <c r="FM38" s="842">
        <f t="shared" si="33"/>
        <v>0</v>
      </c>
      <c r="FN38" s="842">
        <f t="shared" si="33"/>
        <v>0</v>
      </c>
      <c r="FO38" s="842">
        <f t="shared" si="33"/>
        <v>0</v>
      </c>
      <c r="FP38" s="842">
        <f t="shared" si="33"/>
        <v>0</v>
      </c>
      <c r="FQ38" s="842">
        <f t="shared" si="33"/>
        <v>0</v>
      </c>
      <c r="FR38" s="842">
        <f t="shared" si="33"/>
        <v>0</v>
      </c>
      <c r="FS38" s="842">
        <f t="shared" si="33"/>
        <v>0</v>
      </c>
      <c r="FT38" s="842">
        <f t="shared" si="33"/>
        <v>0</v>
      </c>
      <c r="FU38" s="842">
        <f t="shared" si="33"/>
        <v>0</v>
      </c>
      <c r="FV38" s="842">
        <f t="shared" si="33"/>
        <v>0</v>
      </c>
      <c r="FW38" s="859">
        <v>1.36</v>
      </c>
      <c r="FX38" s="788" t="s">
        <v>2245</v>
      </c>
      <c r="FY38" s="843">
        <v>5.7000000000000002E-2</v>
      </c>
      <c r="FZ38" s="860" t="s">
        <v>2246</v>
      </c>
    </row>
    <row r="39" spans="3:184" ht="23.25" customHeight="1">
      <c r="C39" s="1487"/>
      <c r="D39" s="1489" t="s">
        <v>36</v>
      </c>
      <c r="E39" s="1489"/>
      <c r="F39" s="1489"/>
      <c r="G39" s="838" t="s">
        <v>1870</v>
      </c>
      <c r="H39" s="839"/>
      <c r="I39" s="839"/>
      <c r="J39" s="839"/>
      <c r="K39" s="839"/>
      <c r="L39" s="839"/>
      <c r="M39" s="839"/>
      <c r="N39" s="839"/>
      <c r="O39" s="839"/>
      <c r="P39" s="839"/>
      <c r="Q39" s="839"/>
      <c r="R39" s="839"/>
      <c r="S39" s="839"/>
      <c r="T39" s="839"/>
      <c r="U39" s="839"/>
      <c r="V39" s="839"/>
      <c r="W39" s="839"/>
      <c r="X39" s="839"/>
      <c r="Y39" s="839"/>
      <c r="Z39" s="839"/>
      <c r="AA39" s="839"/>
      <c r="AB39" s="839"/>
      <c r="AC39" s="839"/>
      <c r="AD39" s="839"/>
      <c r="AE39" s="839"/>
      <c r="AF39" s="839"/>
      <c r="AG39" s="839"/>
      <c r="AH39" s="839"/>
      <c r="AI39" s="839"/>
      <c r="AJ39" s="839"/>
      <c r="AK39" s="839"/>
      <c r="AL39" s="839"/>
      <c r="AM39" s="839"/>
      <c r="AN39" s="839"/>
      <c r="AO39" s="839"/>
      <c r="AP39" s="839"/>
      <c r="AQ39" s="839"/>
      <c r="AR39" s="839"/>
      <c r="AS39" s="839"/>
      <c r="AT39" s="839"/>
      <c r="AU39" s="839"/>
      <c r="AV39" s="839"/>
      <c r="AW39" s="839"/>
      <c r="AX39" s="839"/>
      <c r="AY39" s="839"/>
      <c r="AZ39" s="839"/>
      <c r="BA39" s="839"/>
      <c r="BB39" s="839"/>
      <c r="BC39" s="839"/>
      <c r="BD39" s="839"/>
      <c r="BE39" s="839"/>
      <c r="BF39" s="839"/>
      <c r="BG39" s="839"/>
      <c r="BH39" s="839"/>
      <c r="BI39" s="839"/>
      <c r="BJ39" s="840">
        <f t="shared" si="17"/>
        <v>0</v>
      </c>
      <c r="BK39" s="840">
        <f t="shared" si="17"/>
        <v>0</v>
      </c>
      <c r="BL39" s="840">
        <f t="shared" si="17"/>
        <v>0</v>
      </c>
      <c r="BM39" s="840">
        <f t="shared" si="17"/>
        <v>0</v>
      </c>
      <c r="BN39" s="840">
        <f t="shared" si="17"/>
        <v>0</v>
      </c>
      <c r="BO39" s="840">
        <f t="shared" si="17"/>
        <v>0</v>
      </c>
      <c r="BP39" s="840">
        <f t="shared" si="17"/>
        <v>0</v>
      </c>
      <c r="BQ39" s="840">
        <f t="shared" si="17"/>
        <v>0</v>
      </c>
      <c r="BR39" s="840">
        <f t="shared" si="17"/>
        <v>0</v>
      </c>
      <c r="BS39" s="840">
        <f t="shared" si="17"/>
        <v>0</v>
      </c>
      <c r="BT39" s="840">
        <f t="shared" si="17"/>
        <v>0</v>
      </c>
      <c r="BU39" s="840">
        <f t="shared" si="17"/>
        <v>0</v>
      </c>
      <c r="BV39" s="840">
        <f t="shared" si="17"/>
        <v>0</v>
      </c>
      <c r="BW39" s="840">
        <f t="shared" si="17"/>
        <v>0</v>
      </c>
      <c r="BX39" s="840">
        <f t="shared" si="17"/>
        <v>0</v>
      </c>
      <c r="BY39" s="840">
        <f t="shared" si="12"/>
        <v>0</v>
      </c>
      <c r="BZ39" s="840">
        <f t="shared" si="1"/>
        <v>0</v>
      </c>
      <c r="CA39" s="840">
        <f t="shared" si="1"/>
        <v>0</v>
      </c>
      <c r="CB39" s="840">
        <f t="shared" si="1"/>
        <v>0</v>
      </c>
      <c r="CC39" s="840">
        <f t="shared" si="1"/>
        <v>0</v>
      </c>
      <c r="CD39" s="840">
        <f t="shared" si="1"/>
        <v>0</v>
      </c>
      <c r="CE39" s="840">
        <f t="shared" si="1"/>
        <v>0</v>
      </c>
      <c r="CF39" s="840">
        <f t="shared" si="1"/>
        <v>0</v>
      </c>
      <c r="CG39" s="840">
        <f>VLOOKUP($G39,$GB$6:$GC$15,2,FALSE)</f>
        <v>1000</v>
      </c>
      <c r="CH39" s="841" t="s">
        <v>7</v>
      </c>
      <c r="CI39" s="840">
        <f t="shared" si="26"/>
        <v>0</v>
      </c>
      <c r="CJ39" s="840">
        <f t="shared" si="26"/>
        <v>0</v>
      </c>
      <c r="CK39" s="840">
        <f t="shared" si="26"/>
        <v>0</v>
      </c>
      <c r="CL39" s="840">
        <f t="shared" si="26"/>
        <v>0</v>
      </c>
      <c r="CM39" s="840">
        <f t="shared" si="26"/>
        <v>0</v>
      </c>
      <c r="CN39" s="840">
        <f t="shared" si="26"/>
        <v>0</v>
      </c>
      <c r="CO39" s="840">
        <f t="shared" si="26"/>
        <v>0</v>
      </c>
      <c r="CP39" s="840">
        <f t="shared" si="26"/>
        <v>0</v>
      </c>
      <c r="CQ39" s="840">
        <f t="shared" si="26"/>
        <v>0</v>
      </c>
      <c r="CR39" s="840">
        <f t="shared" si="26"/>
        <v>0</v>
      </c>
      <c r="CS39" s="840">
        <f t="shared" si="26"/>
        <v>0</v>
      </c>
      <c r="CT39" s="840">
        <f t="shared" si="26"/>
        <v>0</v>
      </c>
      <c r="CU39" s="840">
        <f t="shared" si="26"/>
        <v>0</v>
      </c>
      <c r="CV39" s="840">
        <f t="shared" si="26"/>
        <v>0</v>
      </c>
      <c r="CW39" s="840">
        <f t="shared" si="26"/>
        <v>0</v>
      </c>
      <c r="CX39" s="840">
        <f t="shared" si="26"/>
        <v>0</v>
      </c>
      <c r="CY39" s="840">
        <f t="shared" si="27"/>
        <v>0</v>
      </c>
      <c r="CZ39" s="840">
        <f t="shared" si="27"/>
        <v>0</v>
      </c>
      <c r="DA39" s="840">
        <f t="shared" si="27"/>
        <v>0</v>
      </c>
      <c r="DB39" s="840">
        <f t="shared" si="27"/>
        <v>0</v>
      </c>
      <c r="DC39" s="840">
        <f t="shared" si="27"/>
        <v>0</v>
      </c>
      <c r="DD39" s="840">
        <f t="shared" si="27"/>
        <v>0</v>
      </c>
      <c r="DE39" s="840">
        <f t="shared" si="27"/>
        <v>0</v>
      </c>
      <c r="DF39" s="840">
        <f t="shared" si="28"/>
        <v>0</v>
      </c>
      <c r="DG39" s="840">
        <f t="shared" si="28"/>
        <v>0</v>
      </c>
      <c r="DH39" s="840">
        <f t="shared" si="28"/>
        <v>0</v>
      </c>
      <c r="DI39" s="840">
        <f t="shared" si="28"/>
        <v>0</v>
      </c>
      <c r="DJ39" s="840">
        <f t="shared" si="28"/>
        <v>0</v>
      </c>
      <c r="DK39" s="840">
        <f t="shared" si="28"/>
        <v>0</v>
      </c>
      <c r="DL39" s="840">
        <f t="shared" si="28"/>
        <v>0</v>
      </c>
      <c r="DM39" s="840">
        <f t="shared" si="28"/>
        <v>0</v>
      </c>
      <c r="DN39" s="840">
        <f t="shared" si="28"/>
        <v>0</v>
      </c>
      <c r="DO39" s="840">
        <f t="shared" si="28"/>
        <v>0</v>
      </c>
      <c r="DP39" s="840">
        <f t="shared" si="29"/>
        <v>0</v>
      </c>
      <c r="DQ39" s="840">
        <f t="shared" si="29"/>
        <v>0</v>
      </c>
      <c r="DR39" s="840">
        <f t="shared" si="29"/>
        <v>0</v>
      </c>
      <c r="DS39" s="840">
        <f t="shared" si="29"/>
        <v>0</v>
      </c>
      <c r="DT39" s="840">
        <f t="shared" si="29"/>
        <v>0</v>
      </c>
      <c r="DU39" s="840">
        <f t="shared" si="29"/>
        <v>0</v>
      </c>
      <c r="DV39" s="840">
        <f t="shared" si="29"/>
        <v>0</v>
      </c>
      <c r="DW39" s="840">
        <f t="shared" si="29"/>
        <v>0</v>
      </c>
      <c r="DX39" s="840">
        <f t="shared" si="29"/>
        <v>0</v>
      </c>
      <c r="DY39" s="840">
        <f t="shared" si="29"/>
        <v>0</v>
      </c>
      <c r="DZ39" s="840">
        <f t="shared" si="29"/>
        <v>0</v>
      </c>
      <c r="EA39" s="840">
        <f t="shared" si="29"/>
        <v>0</v>
      </c>
      <c r="EB39" s="840">
        <f t="shared" si="29"/>
        <v>0</v>
      </c>
      <c r="EC39" s="840">
        <f t="shared" si="30"/>
        <v>0</v>
      </c>
      <c r="ED39" s="840">
        <f t="shared" si="30"/>
        <v>0</v>
      </c>
      <c r="EE39" s="840">
        <f t="shared" si="30"/>
        <v>0</v>
      </c>
      <c r="EF39" s="840">
        <f t="shared" si="30"/>
        <v>0</v>
      </c>
      <c r="EG39" s="840">
        <f t="shared" si="30"/>
        <v>0</v>
      </c>
      <c r="EH39" s="840">
        <f t="shared" si="30"/>
        <v>0</v>
      </c>
      <c r="EI39" s="840">
        <f t="shared" si="30"/>
        <v>0</v>
      </c>
      <c r="EJ39" s="840">
        <f t="shared" si="30"/>
        <v>0</v>
      </c>
      <c r="EK39" s="840">
        <f t="shared" si="30"/>
        <v>0</v>
      </c>
      <c r="EL39" s="840">
        <f t="shared" si="30"/>
        <v>0</v>
      </c>
      <c r="EM39" s="840">
        <f t="shared" si="31"/>
        <v>0</v>
      </c>
      <c r="EN39" s="840">
        <f t="shared" si="31"/>
        <v>0</v>
      </c>
      <c r="EO39" s="840">
        <f t="shared" si="31"/>
        <v>0</v>
      </c>
      <c r="EP39" s="840">
        <f t="shared" si="31"/>
        <v>0</v>
      </c>
      <c r="EQ39" s="840">
        <f t="shared" si="31"/>
        <v>0</v>
      </c>
      <c r="ER39" s="840">
        <f t="shared" si="31"/>
        <v>0</v>
      </c>
      <c r="ES39" s="840">
        <f t="shared" si="31"/>
        <v>0</v>
      </c>
      <c r="ET39" s="840">
        <f t="shared" si="31"/>
        <v>0</v>
      </c>
      <c r="EU39" s="840">
        <f t="shared" si="31"/>
        <v>0</v>
      </c>
      <c r="EV39" s="840">
        <f t="shared" si="31"/>
        <v>0</v>
      </c>
      <c r="EW39" s="840">
        <f t="shared" si="31"/>
        <v>0</v>
      </c>
      <c r="EX39" s="840">
        <f t="shared" si="31"/>
        <v>0</v>
      </c>
      <c r="EY39" s="840">
        <f t="shared" si="31"/>
        <v>0</v>
      </c>
      <c r="EZ39" s="842">
        <f t="shared" si="32"/>
        <v>0</v>
      </c>
      <c r="FA39" s="842">
        <f t="shared" si="32"/>
        <v>0</v>
      </c>
      <c r="FB39" s="842">
        <f t="shared" si="32"/>
        <v>0</v>
      </c>
      <c r="FC39" s="842">
        <f t="shared" si="32"/>
        <v>0</v>
      </c>
      <c r="FD39" s="842">
        <f t="shared" si="32"/>
        <v>0</v>
      </c>
      <c r="FE39" s="842">
        <f t="shared" si="32"/>
        <v>0</v>
      </c>
      <c r="FF39" s="842">
        <f t="shared" si="32"/>
        <v>0</v>
      </c>
      <c r="FG39" s="842">
        <f t="shared" si="32"/>
        <v>0</v>
      </c>
      <c r="FH39" s="842">
        <f t="shared" si="32"/>
        <v>0</v>
      </c>
      <c r="FI39" s="842">
        <f t="shared" si="32"/>
        <v>0</v>
      </c>
      <c r="FJ39" s="842">
        <f t="shared" si="33"/>
        <v>0</v>
      </c>
      <c r="FK39" s="842">
        <f t="shared" si="33"/>
        <v>0</v>
      </c>
      <c r="FL39" s="842">
        <f t="shared" si="33"/>
        <v>0</v>
      </c>
      <c r="FM39" s="842">
        <f t="shared" si="33"/>
        <v>0</v>
      </c>
      <c r="FN39" s="842">
        <f t="shared" si="33"/>
        <v>0</v>
      </c>
      <c r="FO39" s="842">
        <f t="shared" si="33"/>
        <v>0</v>
      </c>
      <c r="FP39" s="842">
        <f t="shared" si="33"/>
        <v>0</v>
      </c>
      <c r="FQ39" s="842">
        <f t="shared" si="33"/>
        <v>0</v>
      </c>
      <c r="FR39" s="842">
        <f t="shared" si="33"/>
        <v>0</v>
      </c>
      <c r="FS39" s="842">
        <f t="shared" si="33"/>
        <v>0</v>
      </c>
      <c r="FT39" s="842">
        <f t="shared" si="33"/>
        <v>0</v>
      </c>
      <c r="FU39" s="842">
        <f t="shared" si="33"/>
        <v>0</v>
      </c>
      <c r="FV39" s="842">
        <f t="shared" si="33"/>
        <v>0</v>
      </c>
      <c r="FW39" s="859">
        <v>1.36</v>
      </c>
      <c r="FX39" s="788" t="s">
        <v>2245</v>
      </c>
      <c r="FY39" s="843">
        <v>5.7000000000000002E-2</v>
      </c>
      <c r="FZ39" s="860" t="s">
        <v>2246</v>
      </c>
    </row>
    <row r="40" spans="3:184" ht="23.25" customHeight="1">
      <c r="C40" s="1487"/>
      <c r="D40" s="1489" t="s">
        <v>2247</v>
      </c>
      <c r="E40" s="1489"/>
      <c r="F40" s="1489"/>
      <c r="G40" s="838" t="s">
        <v>1870</v>
      </c>
      <c r="H40" s="839"/>
      <c r="I40" s="839"/>
      <c r="J40" s="839"/>
      <c r="K40" s="839"/>
      <c r="L40" s="839"/>
      <c r="M40" s="839"/>
      <c r="N40" s="839"/>
      <c r="O40" s="839"/>
      <c r="P40" s="839"/>
      <c r="Q40" s="839"/>
      <c r="R40" s="839"/>
      <c r="S40" s="839"/>
      <c r="T40" s="839"/>
      <c r="U40" s="839"/>
      <c r="V40" s="839"/>
      <c r="W40" s="839"/>
      <c r="X40" s="839"/>
      <c r="Y40" s="839"/>
      <c r="Z40" s="839"/>
      <c r="AA40" s="839"/>
      <c r="AB40" s="839"/>
      <c r="AC40" s="839"/>
      <c r="AD40" s="839"/>
      <c r="AE40" s="839"/>
      <c r="AF40" s="839"/>
      <c r="AG40" s="839"/>
      <c r="AH40" s="839"/>
      <c r="AI40" s="839"/>
      <c r="AJ40" s="839"/>
      <c r="AK40" s="839"/>
      <c r="AL40" s="839"/>
      <c r="AM40" s="839"/>
      <c r="AN40" s="839"/>
      <c r="AO40" s="839"/>
      <c r="AP40" s="839"/>
      <c r="AQ40" s="839"/>
      <c r="AR40" s="839"/>
      <c r="AS40" s="839"/>
      <c r="AT40" s="839"/>
      <c r="AU40" s="839"/>
      <c r="AV40" s="839"/>
      <c r="AW40" s="839"/>
      <c r="AX40" s="839"/>
      <c r="AY40" s="839"/>
      <c r="AZ40" s="839"/>
      <c r="BA40" s="839"/>
      <c r="BB40" s="839"/>
      <c r="BC40" s="839"/>
      <c r="BD40" s="839"/>
      <c r="BE40" s="839"/>
      <c r="BF40" s="839"/>
      <c r="BG40" s="839"/>
      <c r="BH40" s="839"/>
      <c r="BI40" s="839"/>
      <c r="BJ40" s="840">
        <f t="shared" ref="BJ40:BX46" si="34">L40-AM40</f>
        <v>0</v>
      </c>
      <c r="BK40" s="840">
        <f t="shared" si="34"/>
        <v>0</v>
      </c>
      <c r="BL40" s="840">
        <f t="shared" si="34"/>
        <v>0</v>
      </c>
      <c r="BM40" s="840">
        <f t="shared" si="34"/>
        <v>0</v>
      </c>
      <c r="BN40" s="840">
        <f t="shared" si="34"/>
        <v>0</v>
      </c>
      <c r="BO40" s="840">
        <f t="shared" si="34"/>
        <v>0</v>
      </c>
      <c r="BP40" s="840">
        <f t="shared" si="34"/>
        <v>0</v>
      </c>
      <c r="BQ40" s="840">
        <f t="shared" si="34"/>
        <v>0</v>
      </c>
      <c r="BR40" s="840">
        <f t="shared" si="34"/>
        <v>0</v>
      </c>
      <c r="BS40" s="840">
        <f t="shared" si="34"/>
        <v>0</v>
      </c>
      <c r="BT40" s="840">
        <f t="shared" si="34"/>
        <v>0</v>
      </c>
      <c r="BU40" s="840">
        <f t="shared" si="34"/>
        <v>0</v>
      </c>
      <c r="BV40" s="840">
        <f t="shared" si="34"/>
        <v>0</v>
      </c>
      <c r="BW40" s="840">
        <f t="shared" si="34"/>
        <v>0</v>
      </c>
      <c r="BX40" s="840">
        <f t="shared" si="34"/>
        <v>0</v>
      </c>
      <c r="BY40" s="840">
        <f t="shared" si="12"/>
        <v>0</v>
      </c>
      <c r="BZ40" s="840">
        <f t="shared" si="1"/>
        <v>0</v>
      </c>
      <c r="CA40" s="840">
        <f t="shared" si="1"/>
        <v>0</v>
      </c>
      <c r="CB40" s="840">
        <f t="shared" si="1"/>
        <v>0</v>
      </c>
      <c r="CC40" s="840">
        <f t="shared" si="1"/>
        <v>0</v>
      </c>
      <c r="CD40" s="840">
        <f t="shared" si="1"/>
        <v>0</v>
      </c>
      <c r="CE40" s="840">
        <f t="shared" si="1"/>
        <v>0</v>
      </c>
      <c r="CF40" s="840">
        <f t="shared" si="1"/>
        <v>0</v>
      </c>
      <c r="CG40" s="840">
        <f>VLOOKUP($G40,$GB$6:$GC$15,2,FALSE)</f>
        <v>1000</v>
      </c>
      <c r="CH40" s="841" t="s">
        <v>7</v>
      </c>
      <c r="CI40" s="840">
        <f t="shared" si="26"/>
        <v>0</v>
      </c>
      <c r="CJ40" s="840">
        <f t="shared" si="26"/>
        <v>0</v>
      </c>
      <c r="CK40" s="840">
        <f t="shared" si="26"/>
        <v>0</v>
      </c>
      <c r="CL40" s="840">
        <f t="shared" si="26"/>
        <v>0</v>
      </c>
      <c r="CM40" s="840">
        <f t="shared" si="26"/>
        <v>0</v>
      </c>
      <c r="CN40" s="840">
        <f t="shared" si="26"/>
        <v>0</v>
      </c>
      <c r="CO40" s="840">
        <f t="shared" si="26"/>
        <v>0</v>
      </c>
      <c r="CP40" s="840">
        <f t="shared" si="26"/>
        <v>0</v>
      </c>
      <c r="CQ40" s="840">
        <f t="shared" si="26"/>
        <v>0</v>
      </c>
      <c r="CR40" s="840">
        <f t="shared" si="26"/>
        <v>0</v>
      </c>
      <c r="CS40" s="840">
        <f t="shared" si="26"/>
        <v>0</v>
      </c>
      <c r="CT40" s="840">
        <f t="shared" si="26"/>
        <v>0</v>
      </c>
      <c r="CU40" s="840">
        <f t="shared" si="26"/>
        <v>0</v>
      </c>
      <c r="CV40" s="840">
        <f t="shared" si="26"/>
        <v>0</v>
      </c>
      <c r="CW40" s="840">
        <f t="shared" si="26"/>
        <v>0</v>
      </c>
      <c r="CX40" s="840">
        <f t="shared" si="26"/>
        <v>0</v>
      </c>
      <c r="CY40" s="840">
        <f t="shared" si="27"/>
        <v>0</v>
      </c>
      <c r="CZ40" s="840">
        <f t="shared" si="27"/>
        <v>0</v>
      </c>
      <c r="DA40" s="840">
        <f t="shared" si="27"/>
        <v>0</v>
      </c>
      <c r="DB40" s="840">
        <f t="shared" si="27"/>
        <v>0</v>
      </c>
      <c r="DC40" s="840">
        <f t="shared" si="27"/>
        <v>0</v>
      </c>
      <c r="DD40" s="840">
        <f t="shared" si="27"/>
        <v>0</v>
      </c>
      <c r="DE40" s="840">
        <f t="shared" si="27"/>
        <v>0</v>
      </c>
      <c r="DF40" s="840">
        <f t="shared" ref="DF40:EB40" si="35">CI40</f>
        <v>0</v>
      </c>
      <c r="DG40" s="840">
        <f t="shared" si="35"/>
        <v>0</v>
      </c>
      <c r="DH40" s="840">
        <f t="shared" si="35"/>
        <v>0</v>
      </c>
      <c r="DI40" s="840">
        <f t="shared" si="35"/>
        <v>0</v>
      </c>
      <c r="DJ40" s="840">
        <f t="shared" si="35"/>
        <v>0</v>
      </c>
      <c r="DK40" s="840">
        <f t="shared" si="35"/>
        <v>0</v>
      </c>
      <c r="DL40" s="840">
        <f t="shared" si="35"/>
        <v>0</v>
      </c>
      <c r="DM40" s="840">
        <f t="shared" si="35"/>
        <v>0</v>
      </c>
      <c r="DN40" s="840">
        <f t="shared" si="35"/>
        <v>0</v>
      </c>
      <c r="DO40" s="840">
        <f t="shared" si="35"/>
        <v>0</v>
      </c>
      <c r="DP40" s="840">
        <f t="shared" si="35"/>
        <v>0</v>
      </c>
      <c r="DQ40" s="840">
        <f t="shared" si="35"/>
        <v>0</v>
      </c>
      <c r="DR40" s="840">
        <f t="shared" si="35"/>
        <v>0</v>
      </c>
      <c r="DS40" s="840">
        <f t="shared" si="35"/>
        <v>0</v>
      </c>
      <c r="DT40" s="840">
        <f t="shared" si="35"/>
        <v>0</v>
      </c>
      <c r="DU40" s="840">
        <f t="shared" si="35"/>
        <v>0</v>
      </c>
      <c r="DV40" s="840">
        <f t="shared" si="35"/>
        <v>0</v>
      </c>
      <c r="DW40" s="840">
        <f t="shared" si="35"/>
        <v>0</v>
      </c>
      <c r="DX40" s="840">
        <f t="shared" si="35"/>
        <v>0</v>
      </c>
      <c r="DY40" s="840">
        <f t="shared" si="35"/>
        <v>0</v>
      </c>
      <c r="DZ40" s="840">
        <f t="shared" si="35"/>
        <v>0</v>
      </c>
      <c r="EA40" s="840">
        <f t="shared" si="35"/>
        <v>0</v>
      </c>
      <c r="EB40" s="840">
        <f t="shared" si="35"/>
        <v>0</v>
      </c>
      <c r="EC40" s="852"/>
      <c r="ED40" s="852"/>
      <c r="EE40" s="852"/>
      <c r="EF40" s="852"/>
      <c r="EG40" s="852"/>
      <c r="EH40" s="852"/>
      <c r="EI40" s="852"/>
      <c r="EJ40" s="852"/>
      <c r="EK40" s="852"/>
      <c r="EL40" s="852"/>
      <c r="EM40" s="852"/>
      <c r="EN40" s="852"/>
      <c r="EO40" s="852"/>
      <c r="EP40" s="852"/>
      <c r="EQ40" s="852"/>
      <c r="ER40" s="852"/>
      <c r="ES40" s="852"/>
      <c r="ET40" s="852"/>
      <c r="EU40" s="852"/>
      <c r="EV40" s="852"/>
      <c r="EW40" s="852"/>
      <c r="EX40" s="852"/>
      <c r="EY40" s="852"/>
      <c r="EZ40" s="842">
        <f t="shared" si="32"/>
        <v>0</v>
      </c>
      <c r="FA40" s="842">
        <f t="shared" si="32"/>
        <v>0</v>
      </c>
      <c r="FB40" s="842">
        <f t="shared" si="32"/>
        <v>0</v>
      </c>
      <c r="FC40" s="842">
        <f t="shared" si="32"/>
        <v>0</v>
      </c>
      <c r="FD40" s="842">
        <f t="shared" si="32"/>
        <v>0</v>
      </c>
      <c r="FE40" s="842">
        <f t="shared" si="32"/>
        <v>0</v>
      </c>
      <c r="FF40" s="842">
        <f t="shared" si="32"/>
        <v>0</v>
      </c>
      <c r="FG40" s="842">
        <f t="shared" si="32"/>
        <v>0</v>
      </c>
      <c r="FH40" s="842">
        <f t="shared" si="32"/>
        <v>0</v>
      </c>
      <c r="FI40" s="842">
        <f t="shared" si="32"/>
        <v>0</v>
      </c>
      <c r="FJ40" s="842">
        <f t="shared" si="33"/>
        <v>0</v>
      </c>
      <c r="FK40" s="842">
        <f t="shared" si="33"/>
        <v>0</v>
      </c>
      <c r="FL40" s="842">
        <f t="shared" si="33"/>
        <v>0</v>
      </c>
      <c r="FM40" s="842">
        <f t="shared" si="33"/>
        <v>0</v>
      </c>
      <c r="FN40" s="842">
        <f t="shared" si="33"/>
        <v>0</v>
      </c>
      <c r="FO40" s="842">
        <f t="shared" si="33"/>
        <v>0</v>
      </c>
      <c r="FP40" s="842">
        <f t="shared" si="33"/>
        <v>0</v>
      </c>
      <c r="FQ40" s="842">
        <f t="shared" si="33"/>
        <v>0</v>
      </c>
      <c r="FR40" s="842">
        <f t="shared" si="33"/>
        <v>0</v>
      </c>
      <c r="FS40" s="842">
        <f t="shared" si="33"/>
        <v>0</v>
      </c>
      <c r="FT40" s="842">
        <f t="shared" si="33"/>
        <v>0</v>
      </c>
      <c r="FU40" s="842">
        <f t="shared" si="33"/>
        <v>0</v>
      </c>
      <c r="FV40" s="842">
        <f t="shared" si="33"/>
        <v>0</v>
      </c>
      <c r="FW40" s="1481"/>
      <c r="FX40" s="1481"/>
      <c r="FY40" s="843">
        <v>5.7000000000000002E-2</v>
      </c>
      <c r="FZ40" s="860" t="s">
        <v>2246</v>
      </c>
    </row>
    <row r="41" spans="3:184" ht="23.25" customHeight="1">
      <c r="C41" s="1488"/>
      <c r="D41" s="1437" t="s">
        <v>2244</v>
      </c>
      <c r="E41" s="1438"/>
      <c r="F41" s="1439"/>
      <c r="G41" s="838"/>
      <c r="H41" s="839"/>
      <c r="I41" s="839"/>
      <c r="J41" s="839"/>
      <c r="K41" s="839"/>
      <c r="L41" s="839"/>
      <c r="M41" s="839"/>
      <c r="N41" s="839"/>
      <c r="O41" s="839"/>
      <c r="P41" s="839"/>
      <c r="Q41" s="839"/>
      <c r="R41" s="839"/>
      <c r="S41" s="839"/>
      <c r="T41" s="839"/>
      <c r="U41" s="839"/>
      <c r="V41" s="839"/>
      <c r="W41" s="839"/>
      <c r="X41" s="839"/>
      <c r="Y41" s="839"/>
      <c r="Z41" s="839"/>
      <c r="AA41" s="839"/>
      <c r="AB41" s="839"/>
      <c r="AC41" s="839"/>
      <c r="AD41" s="839"/>
      <c r="AE41" s="839"/>
      <c r="AF41" s="839"/>
      <c r="AG41" s="839"/>
      <c r="AH41" s="839"/>
      <c r="AI41" s="839"/>
      <c r="AJ41" s="839"/>
      <c r="AK41" s="839"/>
      <c r="AL41" s="839"/>
      <c r="AM41" s="839"/>
      <c r="AN41" s="839"/>
      <c r="AO41" s="839"/>
      <c r="AP41" s="839"/>
      <c r="AQ41" s="839"/>
      <c r="AR41" s="839"/>
      <c r="AS41" s="839"/>
      <c r="AT41" s="839"/>
      <c r="AU41" s="839"/>
      <c r="AV41" s="839"/>
      <c r="AW41" s="839"/>
      <c r="AX41" s="839"/>
      <c r="AY41" s="839"/>
      <c r="AZ41" s="839"/>
      <c r="BA41" s="839"/>
      <c r="BB41" s="839"/>
      <c r="BC41" s="839"/>
      <c r="BD41" s="839"/>
      <c r="BE41" s="839"/>
      <c r="BF41" s="839"/>
      <c r="BG41" s="839"/>
      <c r="BH41" s="839"/>
      <c r="BI41" s="839"/>
      <c r="BJ41" s="840"/>
      <c r="BK41" s="840"/>
      <c r="BL41" s="840"/>
      <c r="BM41" s="840"/>
      <c r="BN41" s="840"/>
      <c r="BO41" s="840"/>
      <c r="BP41" s="840"/>
      <c r="BQ41" s="840"/>
      <c r="BR41" s="840"/>
      <c r="BS41" s="840"/>
      <c r="BT41" s="840"/>
      <c r="BU41" s="840"/>
      <c r="BV41" s="840"/>
      <c r="BW41" s="840"/>
      <c r="BX41" s="840"/>
      <c r="BY41" s="840"/>
      <c r="BZ41" s="840"/>
      <c r="CA41" s="840"/>
      <c r="CB41" s="840"/>
      <c r="CC41" s="840"/>
      <c r="CD41" s="840"/>
      <c r="CE41" s="840"/>
      <c r="CF41" s="840"/>
      <c r="CG41" s="840"/>
      <c r="CH41" s="841"/>
      <c r="CI41" s="840"/>
      <c r="CJ41" s="840"/>
      <c r="CK41" s="840"/>
      <c r="CL41" s="840"/>
      <c r="CM41" s="840"/>
      <c r="CN41" s="840"/>
      <c r="CO41" s="840"/>
      <c r="CP41" s="840"/>
      <c r="CQ41" s="840"/>
      <c r="CR41" s="840"/>
      <c r="CS41" s="840"/>
      <c r="CT41" s="840"/>
      <c r="CU41" s="840"/>
      <c r="CV41" s="840"/>
      <c r="CW41" s="840"/>
      <c r="CX41" s="840"/>
      <c r="CY41" s="840"/>
      <c r="CZ41" s="840"/>
      <c r="DA41" s="840"/>
      <c r="DB41" s="840"/>
      <c r="DC41" s="840"/>
      <c r="DD41" s="840"/>
      <c r="DE41" s="840"/>
      <c r="DF41" s="839">
        <f t="shared" ref="DF41:DV41" si="36">SUBTOTAL(9,DF36:DF40)</f>
        <v>0</v>
      </c>
      <c r="DG41" s="839">
        <f t="shared" si="36"/>
        <v>0</v>
      </c>
      <c r="DH41" s="839">
        <f t="shared" si="36"/>
        <v>0</v>
      </c>
      <c r="DI41" s="839">
        <f t="shared" si="36"/>
        <v>0</v>
      </c>
      <c r="DJ41" s="839">
        <f t="shared" si="36"/>
        <v>0</v>
      </c>
      <c r="DK41" s="839">
        <f t="shared" si="36"/>
        <v>0</v>
      </c>
      <c r="DL41" s="839">
        <f t="shared" si="36"/>
        <v>0</v>
      </c>
      <c r="DM41" s="839">
        <f t="shared" si="36"/>
        <v>0</v>
      </c>
      <c r="DN41" s="839">
        <f t="shared" si="36"/>
        <v>0</v>
      </c>
      <c r="DO41" s="839">
        <f t="shared" si="36"/>
        <v>0</v>
      </c>
      <c r="DP41" s="839">
        <f t="shared" si="36"/>
        <v>0</v>
      </c>
      <c r="DQ41" s="839">
        <f t="shared" si="36"/>
        <v>0</v>
      </c>
      <c r="DR41" s="839">
        <f t="shared" si="36"/>
        <v>0</v>
      </c>
      <c r="DS41" s="839">
        <f t="shared" si="36"/>
        <v>0</v>
      </c>
      <c r="DT41" s="839">
        <f t="shared" si="36"/>
        <v>0</v>
      </c>
      <c r="DU41" s="839">
        <f t="shared" si="36"/>
        <v>0</v>
      </c>
      <c r="DV41" s="839">
        <f t="shared" si="36"/>
        <v>0</v>
      </c>
      <c r="DW41" s="839">
        <f>SUBTOTAL(9,DW36:DW40)</f>
        <v>0</v>
      </c>
      <c r="DX41" s="839">
        <f t="shared" ref="DX41:ES41" si="37">SUBTOTAL(9,DX36:DX40)</f>
        <v>0</v>
      </c>
      <c r="DY41" s="839">
        <f t="shared" si="37"/>
        <v>0</v>
      </c>
      <c r="DZ41" s="839">
        <f t="shared" si="37"/>
        <v>0</v>
      </c>
      <c r="EA41" s="839">
        <f t="shared" si="37"/>
        <v>0</v>
      </c>
      <c r="EB41" s="839">
        <f t="shared" si="37"/>
        <v>0</v>
      </c>
      <c r="EC41" s="839">
        <f t="shared" si="37"/>
        <v>0</v>
      </c>
      <c r="ED41" s="839">
        <f t="shared" si="37"/>
        <v>0</v>
      </c>
      <c r="EE41" s="839">
        <f t="shared" si="37"/>
        <v>0</v>
      </c>
      <c r="EF41" s="839">
        <f t="shared" si="37"/>
        <v>0</v>
      </c>
      <c r="EG41" s="839">
        <f t="shared" si="37"/>
        <v>0</v>
      </c>
      <c r="EH41" s="839">
        <f t="shared" si="37"/>
        <v>0</v>
      </c>
      <c r="EI41" s="839">
        <f t="shared" si="37"/>
        <v>0</v>
      </c>
      <c r="EJ41" s="839">
        <f t="shared" si="37"/>
        <v>0</v>
      </c>
      <c r="EK41" s="839">
        <f t="shared" si="37"/>
        <v>0</v>
      </c>
      <c r="EL41" s="839">
        <f t="shared" si="37"/>
        <v>0</v>
      </c>
      <c r="EM41" s="839">
        <f t="shared" si="37"/>
        <v>0</v>
      </c>
      <c r="EN41" s="839">
        <f t="shared" si="37"/>
        <v>0</v>
      </c>
      <c r="EO41" s="839">
        <f t="shared" si="37"/>
        <v>0</v>
      </c>
      <c r="EP41" s="839">
        <f t="shared" si="37"/>
        <v>0</v>
      </c>
      <c r="EQ41" s="839">
        <f t="shared" si="37"/>
        <v>0</v>
      </c>
      <c r="ER41" s="839">
        <f t="shared" si="37"/>
        <v>0</v>
      </c>
      <c r="ES41" s="839">
        <f t="shared" si="37"/>
        <v>0</v>
      </c>
      <c r="ET41" s="839">
        <f>SUBTOTAL(9,ET36:ET40)</f>
        <v>0</v>
      </c>
      <c r="EU41" s="839">
        <f t="shared" ref="EU41:FP41" si="38">SUBTOTAL(9,EU36:EU40)</f>
        <v>0</v>
      </c>
      <c r="EV41" s="839">
        <f t="shared" si="38"/>
        <v>0</v>
      </c>
      <c r="EW41" s="839">
        <f t="shared" si="38"/>
        <v>0</v>
      </c>
      <c r="EX41" s="839">
        <f t="shared" si="38"/>
        <v>0</v>
      </c>
      <c r="EY41" s="839">
        <f t="shared" si="38"/>
        <v>0</v>
      </c>
      <c r="EZ41" s="858">
        <f t="shared" si="38"/>
        <v>0</v>
      </c>
      <c r="FA41" s="858">
        <f t="shared" si="38"/>
        <v>0</v>
      </c>
      <c r="FB41" s="858">
        <f t="shared" si="38"/>
        <v>0</v>
      </c>
      <c r="FC41" s="858">
        <f t="shared" si="38"/>
        <v>0</v>
      </c>
      <c r="FD41" s="858">
        <f t="shared" si="38"/>
        <v>0</v>
      </c>
      <c r="FE41" s="858">
        <f t="shared" si="38"/>
        <v>0</v>
      </c>
      <c r="FF41" s="858">
        <f t="shared" si="38"/>
        <v>0</v>
      </c>
      <c r="FG41" s="858">
        <f t="shared" si="38"/>
        <v>0</v>
      </c>
      <c r="FH41" s="858">
        <f t="shared" si="38"/>
        <v>0</v>
      </c>
      <c r="FI41" s="858">
        <f t="shared" si="38"/>
        <v>0</v>
      </c>
      <c r="FJ41" s="858">
        <f t="shared" si="38"/>
        <v>0</v>
      </c>
      <c r="FK41" s="858">
        <f t="shared" si="38"/>
        <v>0</v>
      </c>
      <c r="FL41" s="858">
        <f t="shared" si="38"/>
        <v>0</v>
      </c>
      <c r="FM41" s="858">
        <f t="shared" si="38"/>
        <v>0</v>
      </c>
      <c r="FN41" s="858">
        <f t="shared" si="38"/>
        <v>0</v>
      </c>
      <c r="FO41" s="858">
        <f t="shared" si="38"/>
        <v>0</v>
      </c>
      <c r="FP41" s="858">
        <f t="shared" si="38"/>
        <v>0</v>
      </c>
      <c r="FQ41" s="858">
        <f>SUBTOTAL(9,FQ36:FQ40)</f>
        <v>0</v>
      </c>
      <c r="FR41" s="858">
        <f t="shared" ref="FR41:FV41" si="39">SUBTOTAL(9,FR36:FR40)</f>
        <v>0</v>
      </c>
      <c r="FS41" s="858">
        <f t="shared" si="39"/>
        <v>0</v>
      </c>
      <c r="FT41" s="858">
        <f t="shared" si="39"/>
        <v>0</v>
      </c>
      <c r="FU41" s="858">
        <f t="shared" si="39"/>
        <v>0</v>
      </c>
      <c r="FV41" s="858">
        <f t="shared" si="39"/>
        <v>0</v>
      </c>
      <c r="FW41" s="779"/>
      <c r="FX41" s="779"/>
      <c r="FY41" s="843"/>
      <c r="FZ41" s="860"/>
    </row>
    <row r="42" spans="3:184" ht="23.25" customHeight="1">
      <c r="C42" s="1482" t="s">
        <v>2183</v>
      </c>
      <c r="D42" s="1483" t="s">
        <v>2248</v>
      </c>
      <c r="E42" s="1485" t="s">
        <v>2249</v>
      </c>
      <c r="F42" s="1485"/>
      <c r="G42" s="846" t="s">
        <v>370</v>
      </c>
      <c r="H42" s="839"/>
      <c r="I42" s="839"/>
      <c r="J42" s="839"/>
      <c r="K42" s="839"/>
      <c r="L42" s="839"/>
      <c r="M42" s="839"/>
      <c r="N42" s="839"/>
      <c r="O42" s="839"/>
      <c r="P42" s="839"/>
      <c r="Q42" s="839"/>
      <c r="R42" s="839"/>
      <c r="S42" s="839"/>
      <c r="T42" s="839"/>
      <c r="U42" s="839"/>
      <c r="V42" s="839"/>
      <c r="W42" s="839"/>
      <c r="X42" s="839"/>
      <c r="Y42" s="839"/>
      <c r="Z42" s="839"/>
      <c r="AA42" s="839"/>
      <c r="AB42" s="839"/>
      <c r="AC42" s="839"/>
      <c r="AD42" s="839"/>
      <c r="AE42" s="839"/>
      <c r="AF42" s="839"/>
      <c r="AG42" s="839"/>
      <c r="AH42" s="839"/>
      <c r="AI42" s="839"/>
      <c r="AJ42" s="839"/>
      <c r="AK42" s="839"/>
      <c r="AL42" s="839"/>
      <c r="AM42" s="839"/>
      <c r="AN42" s="839"/>
      <c r="AO42" s="839"/>
      <c r="AP42" s="839"/>
      <c r="AQ42" s="839"/>
      <c r="AR42" s="839"/>
      <c r="AS42" s="839"/>
      <c r="AT42" s="839"/>
      <c r="AU42" s="839"/>
      <c r="AV42" s="839"/>
      <c r="AW42" s="839"/>
      <c r="AX42" s="839"/>
      <c r="AY42" s="839"/>
      <c r="AZ42" s="839"/>
      <c r="BA42" s="839"/>
      <c r="BB42" s="839"/>
      <c r="BC42" s="839"/>
      <c r="BD42" s="839"/>
      <c r="BE42" s="839"/>
      <c r="BF42" s="839"/>
      <c r="BG42" s="839"/>
      <c r="BH42" s="839"/>
      <c r="BI42" s="839"/>
      <c r="BJ42" s="840">
        <f t="shared" si="34"/>
        <v>0</v>
      </c>
      <c r="BK42" s="840">
        <f t="shared" si="34"/>
        <v>0</v>
      </c>
      <c r="BL42" s="840">
        <f t="shared" si="34"/>
        <v>0</v>
      </c>
      <c r="BM42" s="840">
        <f t="shared" si="34"/>
        <v>0</v>
      </c>
      <c r="BN42" s="840">
        <f t="shared" si="34"/>
        <v>0</v>
      </c>
      <c r="BO42" s="840">
        <f t="shared" si="34"/>
        <v>0</v>
      </c>
      <c r="BP42" s="840">
        <f t="shared" si="34"/>
        <v>0</v>
      </c>
      <c r="BQ42" s="840">
        <f t="shared" si="34"/>
        <v>0</v>
      </c>
      <c r="BR42" s="840">
        <f t="shared" si="34"/>
        <v>0</v>
      </c>
      <c r="BS42" s="840">
        <f t="shared" si="34"/>
        <v>0</v>
      </c>
      <c r="BT42" s="840">
        <f t="shared" si="34"/>
        <v>0</v>
      </c>
      <c r="BU42" s="840">
        <f t="shared" si="34"/>
        <v>0</v>
      </c>
      <c r="BV42" s="840">
        <f t="shared" si="34"/>
        <v>0</v>
      </c>
      <c r="BW42" s="840">
        <f t="shared" si="34"/>
        <v>0</v>
      </c>
      <c r="BX42" s="840">
        <f t="shared" si="34"/>
        <v>0</v>
      </c>
      <c r="BY42" s="840">
        <f t="shared" si="12"/>
        <v>0</v>
      </c>
      <c r="BZ42" s="840">
        <f t="shared" si="1"/>
        <v>0</v>
      </c>
      <c r="CA42" s="840">
        <f t="shared" si="1"/>
        <v>0</v>
      </c>
      <c r="CB42" s="840">
        <f t="shared" si="1"/>
        <v>0</v>
      </c>
      <c r="CC42" s="840">
        <f t="shared" si="1"/>
        <v>0</v>
      </c>
      <c r="CD42" s="840">
        <f t="shared" si="1"/>
        <v>0</v>
      </c>
      <c r="CE42" s="840">
        <f t="shared" si="1"/>
        <v>0</v>
      </c>
      <c r="CF42" s="840">
        <f t="shared" si="1"/>
        <v>0</v>
      </c>
      <c r="CG42" s="840">
        <f>VLOOKUP($G42,$GB$6:$GC$17,2,FALSE)</f>
        <v>1000</v>
      </c>
      <c r="CH42" s="841" t="s">
        <v>38</v>
      </c>
      <c r="CI42" s="840">
        <f t="shared" si="26"/>
        <v>0</v>
      </c>
      <c r="CJ42" s="840">
        <f t="shared" si="26"/>
        <v>0</v>
      </c>
      <c r="CK42" s="840">
        <f t="shared" si="26"/>
        <v>0</v>
      </c>
      <c r="CL42" s="840">
        <f t="shared" si="26"/>
        <v>0</v>
      </c>
      <c r="CM42" s="840">
        <f t="shared" si="26"/>
        <v>0</v>
      </c>
      <c r="CN42" s="840">
        <f t="shared" si="26"/>
        <v>0</v>
      </c>
      <c r="CO42" s="840">
        <f t="shared" si="26"/>
        <v>0</v>
      </c>
      <c r="CP42" s="840">
        <f t="shared" si="26"/>
        <v>0</v>
      </c>
      <c r="CQ42" s="840">
        <f t="shared" si="26"/>
        <v>0</v>
      </c>
      <c r="CR42" s="840">
        <f t="shared" si="26"/>
        <v>0</v>
      </c>
      <c r="CS42" s="840">
        <f t="shared" si="26"/>
        <v>0</v>
      </c>
      <c r="CT42" s="840">
        <f t="shared" si="26"/>
        <v>0</v>
      </c>
      <c r="CU42" s="840">
        <f t="shared" si="26"/>
        <v>0</v>
      </c>
      <c r="CV42" s="840">
        <f t="shared" si="26"/>
        <v>0</v>
      </c>
      <c r="CW42" s="840">
        <f t="shared" si="26"/>
        <v>0</v>
      </c>
      <c r="CX42" s="840">
        <f t="shared" si="26"/>
        <v>0</v>
      </c>
      <c r="CY42" s="840">
        <f t="shared" ref="CY42:DE46" si="40">ROUND(BZ42/$CG42,0)</f>
        <v>0</v>
      </c>
      <c r="CZ42" s="840">
        <f t="shared" si="40"/>
        <v>0</v>
      </c>
      <c r="DA42" s="840">
        <f t="shared" si="40"/>
        <v>0</v>
      </c>
      <c r="DB42" s="840">
        <f t="shared" si="40"/>
        <v>0</v>
      </c>
      <c r="DC42" s="840">
        <f t="shared" si="40"/>
        <v>0</v>
      </c>
      <c r="DD42" s="840">
        <f t="shared" si="40"/>
        <v>0</v>
      </c>
      <c r="DE42" s="840">
        <f t="shared" si="40"/>
        <v>0</v>
      </c>
      <c r="DF42" s="840">
        <f t="shared" ref="DF42:DU44" si="41">CI42*$FW42</f>
        <v>0</v>
      </c>
      <c r="DG42" s="840">
        <f t="shared" si="41"/>
        <v>0</v>
      </c>
      <c r="DH42" s="840">
        <f t="shared" si="41"/>
        <v>0</v>
      </c>
      <c r="DI42" s="840">
        <f t="shared" si="41"/>
        <v>0</v>
      </c>
      <c r="DJ42" s="840">
        <f t="shared" si="41"/>
        <v>0</v>
      </c>
      <c r="DK42" s="840">
        <f t="shared" si="41"/>
        <v>0</v>
      </c>
      <c r="DL42" s="840">
        <f t="shared" si="41"/>
        <v>0</v>
      </c>
      <c r="DM42" s="840">
        <f t="shared" si="41"/>
        <v>0</v>
      </c>
      <c r="DN42" s="840">
        <f t="shared" si="41"/>
        <v>0</v>
      </c>
      <c r="DO42" s="840">
        <f t="shared" si="41"/>
        <v>0</v>
      </c>
      <c r="DP42" s="840">
        <f t="shared" si="41"/>
        <v>0</v>
      </c>
      <c r="DQ42" s="840">
        <f t="shared" si="41"/>
        <v>0</v>
      </c>
      <c r="DR42" s="840">
        <f t="shared" si="41"/>
        <v>0</v>
      </c>
      <c r="DS42" s="840">
        <f t="shared" si="41"/>
        <v>0</v>
      </c>
      <c r="DT42" s="840">
        <f t="shared" si="41"/>
        <v>0</v>
      </c>
      <c r="DU42" s="840">
        <f t="shared" si="41"/>
        <v>0</v>
      </c>
      <c r="DV42" s="840">
        <f t="shared" ref="DP42:EB44" si="42">CY42*$FW42</f>
        <v>0</v>
      </c>
      <c r="DW42" s="840">
        <f t="shared" si="42"/>
        <v>0</v>
      </c>
      <c r="DX42" s="840">
        <f t="shared" si="42"/>
        <v>0</v>
      </c>
      <c r="DY42" s="840">
        <f t="shared" si="42"/>
        <v>0</v>
      </c>
      <c r="DZ42" s="840">
        <f t="shared" si="42"/>
        <v>0</v>
      </c>
      <c r="EA42" s="840">
        <f t="shared" si="42"/>
        <v>0</v>
      </c>
      <c r="EB42" s="840">
        <f t="shared" si="42"/>
        <v>0</v>
      </c>
      <c r="EC42" s="840">
        <f t="shared" ref="EC42:ER44" si="43">DF42*$GC$19</f>
        <v>0</v>
      </c>
      <c r="ED42" s="840">
        <f t="shared" si="43"/>
        <v>0</v>
      </c>
      <c r="EE42" s="840">
        <f t="shared" si="43"/>
        <v>0</v>
      </c>
      <c r="EF42" s="840">
        <f t="shared" si="43"/>
        <v>0</v>
      </c>
      <c r="EG42" s="840">
        <f t="shared" si="43"/>
        <v>0</v>
      </c>
      <c r="EH42" s="840">
        <f t="shared" si="43"/>
        <v>0</v>
      </c>
      <c r="EI42" s="840">
        <f t="shared" si="43"/>
        <v>0</v>
      </c>
      <c r="EJ42" s="840">
        <f t="shared" si="43"/>
        <v>0</v>
      </c>
      <c r="EK42" s="840">
        <f t="shared" si="43"/>
        <v>0</v>
      </c>
      <c r="EL42" s="840">
        <f t="shared" si="43"/>
        <v>0</v>
      </c>
      <c r="EM42" s="840">
        <f t="shared" si="43"/>
        <v>0</v>
      </c>
      <c r="EN42" s="840">
        <f t="shared" si="43"/>
        <v>0</v>
      </c>
      <c r="EO42" s="840">
        <f t="shared" si="43"/>
        <v>0</v>
      </c>
      <c r="EP42" s="840">
        <f t="shared" si="43"/>
        <v>0</v>
      </c>
      <c r="EQ42" s="840">
        <f t="shared" si="43"/>
        <v>0</v>
      </c>
      <c r="ER42" s="840">
        <f t="shared" si="43"/>
        <v>0</v>
      </c>
      <c r="ES42" s="840">
        <f t="shared" ref="EM42:EY44" si="44">DV42*$GC$19</f>
        <v>0</v>
      </c>
      <c r="ET42" s="840">
        <f t="shared" si="44"/>
        <v>0</v>
      </c>
      <c r="EU42" s="840">
        <f t="shared" si="44"/>
        <v>0</v>
      </c>
      <c r="EV42" s="840">
        <f t="shared" si="44"/>
        <v>0</v>
      </c>
      <c r="EW42" s="840">
        <f t="shared" si="44"/>
        <v>0</v>
      </c>
      <c r="EX42" s="840">
        <f t="shared" si="44"/>
        <v>0</v>
      </c>
      <c r="EY42" s="840">
        <f t="shared" si="44"/>
        <v>0</v>
      </c>
      <c r="EZ42" s="842">
        <f t="shared" ref="EZ42:FO45" si="45">CI42*$FY42</f>
        <v>0</v>
      </c>
      <c r="FA42" s="842">
        <f t="shared" si="45"/>
        <v>0</v>
      </c>
      <c r="FB42" s="842">
        <f t="shared" si="45"/>
        <v>0</v>
      </c>
      <c r="FC42" s="842">
        <f t="shared" si="45"/>
        <v>0</v>
      </c>
      <c r="FD42" s="842">
        <f t="shared" si="45"/>
        <v>0</v>
      </c>
      <c r="FE42" s="842">
        <f t="shared" si="45"/>
        <v>0</v>
      </c>
      <c r="FF42" s="842">
        <f t="shared" si="45"/>
        <v>0</v>
      </c>
      <c r="FG42" s="842">
        <f t="shared" si="45"/>
        <v>0</v>
      </c>
      <c r="FH42" s="842">
        <f t="shared" si="45"/>
        <v>0</v>
      </c>
      <c r="FI42" s="842">
        <f t="shared" si="45"/>
        <v>0</v>
      </c>
      <c r="FJ42" s="842">
        <f t="shared" si="45"/>
        <v>0</v>
      </c>
      <c r="FK42" s="842">
        <f t="shared" si="45"/>
        <v>0</v>
      </c>
      <c r="FL42" s="842">
        <f t="shared" si="45"/>
        <v>0</v>
      </c>
      <c r="FM42" s="842">
        <f t="shared" si="45"/>
        <v>0</v>
      </c>
      <c r="FN42" s="842">
        <f t="shared" si="45"/>
        <v>0</v>
      </c>
      <c r="FO42" s="842">
        <f t="shared" si="45"/>
        <v>0</v>
      </c>
      <c r="FP42" s="842">
        <f t="shared" ref="FJ42:FV45" si="46">CY42*$FY42</f>
        <v>0</v>
      </c>
      <c r="FQ42" s="842">
        <f t="shared" si="46"/>
        <v>0</v>
      </c>
      <c r="FR42" s="842">
        <f t="shared" si="46"/>
        <v>0</v>
      </c>
      <c r="FS42" s="842">
        <f t="shared" si="46"/>
        <v>0</v>
      </c>
      <c r="FT42" s="842">
        <f t="shared" si="46"/>
        <v>0</v>
      </c>
      <c r="FU42" s="842">
        <f t="shared" si="46"/>
        <v>0</v>
      </c>
      <c r="FV42" s="842">
        <f t="shared" si="46"/>
        <v>0</v>
      </c>
      <c r="FW42" s="843">
        <v>9.9700000000000006</v>
      </c>
      <c r="FX42" s="848" t="s">
        <v>2250</v>
      </c>
      <c r="FY42" s="851">
        <v>0.495</v>
      </c>
      <c r="FZ42" s="860" t="s">
        <v>2251</v>
      </c>
    </row>
    <row r="43" spans="3:184" ht="23.25" customHeight="1">
      <c r="C43" s="1482"/>
      <c r="D43" s="1484"/>
      <c r="E43" s="1485" t="s">
        <v>2252</v>
      </c>
      <c r="F43" s="1485"/>
      <c r="G43" s="846" t="s">
        <v>370</v>
      </c>
      <c r="H43" s="839"/>
      <c r="I43" s="839"/>
      <c r="J43" s="839"/>
      <c r="K43" s="839"/>
      <c r="L43" s="839"/>
      <c r="M43" s="839"/>
      <c r="N43" s="839"/>
      <c r="O43" s="839"/>
      <c r="P43" s="839"/>
      <c r="Q43" s="839"/>
      <c r="R43" s="839"/>
      <c r="S43" s="839"/>
      <c r="T43" s="839"/>
      <c r="U43" s="839"/>
      <c r="V43" s="839"/>
      <c r="W43" s="839"/>
      <c r="X43" s="839"/>
      <c r="Y43" s="839"/>
      <c r="Z43" s="839"/>
      <c r="AA43" s="839"/>
      <c r="AB43" s="839"/>
      <c r="AC43" s="839"/>
      <c r="AD43" s="839"/>
      <c r="AE43" s="839"/>
      <c r="AF43" s="839"/>
      <c r="AG43" s="839"/>
      <c r="AH43" s="839"/>
      <c r="AI43" s="839"/>
      <c r="AJ43" s="839"/>
      <c r="AK43" s="839"/>
      <c r="AL43" s="839"/>
      <c r="AM43" s="839"/>
      <c r="AN43" s="839"/>
      <c r="AO43" s="839"/>
      <c r="AP43" s="839"/>
      <c r="AQ43" s="839"/>
      <c r="AR43" s="839"/>
      <c r="AS43" s="839"/>
      <c r="AT43" s="839"/>
      <c r="AU43" s="839"/>
      <c r="AV43" s="839"/>
      <c r="AW43" s="839"/>
      <c r="AX43" s="839"/>
      <c r="AY43" s="839"/>
      <c r="AZ43" s="839"/>
      <c r="BA43" s="839"/>
      <c r="BB43" s="839"/>
      <c r="BC43" s="839"/>
      <c r="BD43" s="839"/>
      <c r="BE43" s="839"/>
      <c r="BF43" s="839"/>
      <c r="BG43" s="839"/>
      <c r="BH43" s="839"/>
      <c r="BI43" s="839"/>
      <c r="BJ43" s="840">
        <f t="shared" si="34"/>
        <v>0</v>
      </c>
      <c r="BK43" s="840">
        <f t="shared" si="34"/>
        <v>0</v>
      </c>
      <c r="BL43" s="840">
        <f t="shared" si="34"/>
        <v>0</v>
      </c>
      <c r="BM43" s="840">
        <f t="shared" si="34"/>
        <v>0</v>
      </c>
      <c r="BN43" s="840">
        <f t="shared" si="34"/>
        <v>0</v>
      </c>
      <c r="BO43" s="840">
        <f t="shared" si="34"/>
        <v>0</v>
      </c>
      <c r="BP43" s="840">
        <f t="shared" si="34"/>
        <v>0</v>
      </c>
      <c r="BQ43" s="840">
        <f t="shared" si="34"/>
        <v>0</v>
      </c>
      <c r="BR43" s="840">
        <f t="shared" si="34"/>
        <v>0</v>
      </c>
      <c r="BS43" s="840">
        <f t="shared" si="34"/>
        <v>0</v>
      </c>
      <c r="BT43" s="840">
        <f t="shared" si="34"/>
        <v>0</v>
      </c>
      <c r="BU43" s="840">
        <f t="shared" si="34"/>
        <v>0</v>
      </c>
      <c r="BV43" s="840">
        <f t="shared" si="34"/>
        <v>0</v>
      </c>
      <c r="BW43" s="840">
        <f t="shared" si="34"/>
        <v>0</v>
      </c>
      <c r="BX43" s="840">
        <f t="shared" si="34"/>
        <v>0</v>
      </c>
      <c r="BY43" s="840">
        <f t="shared" si="12"/>
        <v>0</v>
      </c>
      <c r="BZ43" s="840">
        <f t="shared" si="1"/>
        <v>0</v>
      </c>
      <c r="CA43" s="840">
        <f t="shared" si="1"/>
        <v>0</v>
      </c>
      <c r="CB43" s="840">
        <f t="shared" si="1"/>
        <v>0</v>
      </c>
      <c r="CC43" s="840">
        <f t="shared" si="1"/>
        <v>0</v>
      </c>
      <c r="CD43" s="840">
        <f t="shared" si="1"/>
        <v>0</v>
      </c>
      <c r="CE43" s="840">
        <f t="shared" si="1"/>
        <v>0</v>
      </c>
      <c r="CF43" s="840">
        <f t="shared" si="1"/>
        <v>0</v>
      </c>
      <c r="CG43" s="840">
        <f>VLOOKUP($G43,$GB$6:$GC$17,2,FALSE)</f>
        <v>1000</v>
      </c>
      <c r="CH43" s="841" t="s">
        <v>38</v>
      </c>
      <c r="CI43" s="840">
        <f t="shared" si="26"/>
        <v>0</v>
      </c>
      <c r="CJ43" s="840">
        <f t="shared" si="26"/>
        <v>0</v>
      </c>
      <c r="CK43" s="840">
        <f t="shared" si="26"/>
        <v>0</v>
      </c>
      <c r="CL43" s="840">
        <f t="shared" si="26"/>
        <v>0</v>
      </c>
      <c r="CM43" s="840">
        <f t="shared" si="26"/>
        <v>0</v>
      </c>
      <c r="CN43" s="840">
        <f t="shared" si="26"/>
        <v>0</v>
      </c>
      <c r="CO43" s="840">
        <f t="shared" si="26"/>
        <v>0</v>
      </c>
      <c r="CP43" s="840">
        <f t="shared" si="26"/>
        <v>0</v>
      </c>
      <c r="CQ43" s="840">
        <f t="shared" si="26"/>
        <v>0</v>
      </c>
      <c r="CR43" s="840">
        <f t="shared" si="26"/>
        <v>0</v>
      </c>
      <c r="CS43" s="840">
        <f t="shared" si="26"/>
        <v>0</v>
      </c>
      <c r="CT43" s="840">
        <f t="shared" si="26"/>
        <v>0</v>
      </c>
      <c r="CU43" s="840">
        <f t="shared" si="26"/>
        <v>0</v>
      </c>
      <c r="CV43" s="840">
        <f t="shared" si="26"/>
        <v>0</v>
      </c>
      <c r="CW43" s="840">
        <f t="shared" si="26"/>
        <v>0</v>
      </c>
      <c r="CX43" s="840">
        <f t="shared" si="26"/>
        <v>0</v>
      </c>
      <c r="CY43" s="840">
        <f t="shared" si="40"/>
        <v>0</v>
      </c>
      <c r="CZ43" s="840">
        <f t="shared" si="40"/>
        <v>0</v>
      </c>
      <c r="DA43" s="840">
        <f t="shared" si="40"/>
        <v>0</v>
      </c>
      <c r="DB43" s="840">
        <f t="shared" si="40"/>
        <v>0</v>
      </c>
      <c r="DC43" s="840">
        <f t="shared" si="40"/>
        <v>0</v>
      </c>
      <c r="DD43" s="840">
        <f t="shared" si="40"/>
        <v>0</v>
      </c>
      <c r="DE43" s="840">
        <f t="shared" si="40"/>
        <v>0</v>
      </c>
      <c r="DF43" s="840">
        <f t="shared" si="41"/>
        <v>0</v>
      </c>
      <c r="DG43" s="840">
        <f t="shared" si="41"/>
        <v>0</v>
      </c>
      <c r="DH43" s="840">
        <f t="shared" si="41"/>
        <v>0</v>
      </c>
      <c r="DI43" s="840">
        <f t="shared" si="41"/>
        <v>0</v>
      </c>
      <c r="DJ43" s="840">
        <f t="shared" si="41"/>
        <v>0</v>
      </c>
      <c r="DK43" s="840">
        <f t="shared" si="41"/>
        <v>0</v>
      </c>
      <c r="DL43" s="840">
        <f t="shared" si="41"/>
        <v>0</v>
      </c>
      <c r="DM43" s="840">
        <f t="shared" si="41"/>
        <v>0</v>
      </c>
      <c r="DN43" s="840">
        <f t="shared" si="41"/>
        <v>0</v>
      </c>
      <c r="DO43" s="840">
        <f t="shared" si="41"/>
        <v>0</v>
      </c>
      <c r="DP43" s="840">
        <f t="shared" si="42"/>
        <v>0</v>
      </c>
      <c r="DQ43" s="840">
        <f t="shared" si="42"/>
        <v>0</v>
      </c>
      <c r="DR43" s="840">
        <f t="shared" si="42"/>
        <v>0</v>
      </c>
      <c r="DS43" s="840">
        <f t="shared" si="42"/>
        <v>0</v>
      </c>
      <c r="DT43" s="840">
        <f t="shared" si="42"/>
        <v>0</v>
      </c>
      <c r="DU43" s="840">
        <f t="shared" si="42"/>
        <v>0</v>
      </c>
      <c r="DV43" s="840">
        <f t="shared" si="42"/>
        <v>0</v>
      </c>
      <c r="DW43" s="840">
        <f t="shared" si="42"/>
        <v>0</v>
      </c>
      <c r="DX43" s="840">
        <f t="shared" si="42"/>
        <v>0</v>
      </c>
      <c r="DY43" s="840">
        <f t="shared" si="42"/>
        <v>0</v>
      </c>
      <c r="DZ43" s="840">
        <f t="shared" si="42"/>
        <v>0</v>
      </c>
      <c r="EA43" s="840">
        <f t="shared" si="42"/>
        <v>0</v>
      </c>
      <c r="EB43" s="840">
        <f t="shared" si="42"/>
        <v>0</v>
      </c>
      <c r="EC43" s="840">
        <f t="shared" si="43"/>
        <v>0</v>
      </c>
      <c r="ED43" s="840">
        <f t="shared" si="43"/>
        <v>0</v>
      </c>
      <c r="EE43" s="840">
        <f t="shared" si="43"/>
        <v>0</v>
      </c>
      <c r="EF43" s="840">
        <f t="shared" si="43"/>
        <v>0</v>
      </c>
      <c r="EG43" s="840">
        <f t="shared" si="43"/>
        <v>0</v>
      </c>
      <c r="EH43" s="840">
        <f t="shared" si="43"/>
        <v>0</v>
      </c>
      <c r="EI43" s="840">
        <f t="shared" si="43"/>
        <v>0</v>
      </c>
      <c r="EJ43" s="840">
        <f t="shared" si="43"/>
        <v>0</v>
      </c>
      <c r="EK43" s="840">
        <f t="shared" si="43"/>
        <v>0</v>
      </c>
      <c r="EL43" s="840">
        <f t="shared" si="43"/>
        <v>0</v>
      </c>
      <c r="EM43" s="840">
        <f t="shared" si="44"/>
        <v>0</v>
      </c>
      <c r="EN43" s="840">
        <f t="shared" si="44"/>
        <v>0</v>
      </c>
      <c r="EO43" s="840">
        <f t="shared" si="44"/>
        <v>0</v>
      </c>
      <c r="EP43" s="840">
        <f t="shared" si="44"/>
        <v>0</v>
      </c>
      <c r="EQ43" s="840">
        <f t="shared" si="44"/>
        <v>0</v>
      </c>
      <c r="ER43" s="840">
        <f t="shared" si="44"/>
        <v>0</v>
      </c>
      <c r="ES43" s="840">
        <f t="shared" si="44"/>
        <v>0</v>
      </c>
      <c r="ET43" s="840">
        <f t="shared" si="44"/>
        <v>0</v>
      </c>
      <c r="EU43" s="840">
        <f t="shared" si="44"/>
        <v>0</v>
      </c>
      <c r="EV43" s="840">
        <f t="shared" si="44"/>
        <v>0</v>
      </c>
      <c r="EW43" s="840">
        <f t="shared" si="44"/>
        <v>0</v>
      </c>
      <c r="EX43" s="840">
        <f t="shared" si="44"/>
        <v>0</v>
      </c>
      <c r="EY43" s="840">
        <f t="shared" si="44"/>
        <v>0</v>
      </c>
      <c r="EZ43" s="842">
        <f t="shared" si="45"/>
        <v>0</v>
      </c>
      <c r="FA43" s="842">
        <f t="shared" si="45"/>
        <v>0</v>
      </c>
      <c r="FB43" s="842">
        <f t="shared" si="45"/>
        <v>0</v>
      </c>
      <c r="FC43" s="842">
        <f t="shared" si="45"/>
        <v>0</v>
      </c>
      <c r="FD43" s="842">
        <f t="shared" si="45"/>
        <v>0</v>
      </c>
      <c r="FE43" s="842">
        <f t="shared" si="45"/>
        <v>0</v>
      </c>
      <c r="FF43" s="842">
        <f t="shared" si="45"/>
        <v>0</v>
      </c>
      <c r="FG43" s="842">
        <f t="shared" si="45"/>
        <v>0</v>
      </c>
      <c r="FH43" s="842">
        <f t="shared" si="45"/>
        <v>0</v>
      </c>
      <c r="FI43" s="842">
        <f t="shared" si="45"/>
        <v>0</v>
      </c>
      <c r="FJ43" s="842">
        <f t="shared" si="46"/>
        <v>0</v>
      </c>
      <c r="FK43" s="842">
        <f t="shared" si="46"/>
        <v>0</v>
      </c>
      <c r="FL43" s="842">
        <f t="shared" si="46"/>
        <v>0</v>
      </c>
      <c r="FM43" s="842">
        <f t="shared" si="46"/>
        <v>0</v>
      </c>
      <c r="FN43" s="842">
        <f t="shared" si="46"/>
        <v>0</v>
      </c>
      <c r="FO43" s="842">
        <f t="shared" si="46"/>
        <v>0</v>
      </c>
      <c r="FP43" s="842">
        <f t="shared" si="46"/>
        <v>0</v>
      </c>
      <c r="FQ43" s="842">
        <f t="shared" si="46"/>
        <v>0</v>
      </c>
      <c r="FR43" s="842">
        <f t="shared" si="46"/>
        <v>0</v>
      </c>
      <c r="FS43" s="842">
        <f t="shared" si="46"/>
        <v>0</v>
      </c>
      <c r="FT43" s="842">
        <f t="shared" si="46"/>
        <v>0</v>
      </c>
      <c r="FU43" s="842">
        <f t="shared" si="46"/>
        <v>0</v>
      </c>
      <c r="FV43" s="842">
        <f t="shared" si="46"/>
        <v>0</v>
      </c>
      <c r="FW43" s="843">
        <v>9.2799999999999994</v>
      </c>
      <c r="FX43" s="848" t="s">
        <v>2250</v>
      </c>
      <c r="FY43" s="851">
        <v>0.495</v>
      </c>
      <c r="FZ43" s="860" t="s">
        <v>2251</v>
      </c>
    </row>
    <row r="44" spans="3:184" ht="23.25" customHeight="1">
      <c r="C44" s="1482"/>
      <c r="D44" s="1476" t="s">
        <v>2253</v>
      </c>
      <c r="E44" s="1476"/>
      <c r="F44" s="1476"/>
      <c r="G44" s="846" t="s">
        <v>370</v>
      </c>
      <c r="H44" s="839"/>
      <c r="I44" s="839"/>
      <c r="J44" s="839"/>
      <c r="K44" s="839"/>
      <c r="L44" s="839"/>
      <c r="M44" s="839"/>
      <c r="N44" s="839"/>
      <c r="O44" s="839"/>
      <c r="P44" s="839"/>
      <c r="Q44" s="839"/>
      <c r="R44" s="839"/>
      <c r="S44" s="839"/>
      <c r="T44" s="839"/>
      <c r="U44" s="839"/>
      <c r="V44" s="839"/>
      <c r="W44" s="839"/>
      <c r="X44" s="839"/>
      <c r="Y44" s="839"/>
      <c r="Z44" s="839"/>
      <c r="AA44" s="839"/>
      <c r="AB44" s="839"/>
      <c r="AC44" s="839"/>
      <c r="AD44" s="839"/>
      <c r="AE44" s="839"/>
      <c r="AF44" s="839"/>
      <c r="AG44" s="839"/>
      <c r="AH44" s="839"/>
      <c r="AI44" s="839"/>
      <c r="AJ44" s="839"/>
      <c r="AK44" s="839"/>
      <c r="AL44" s="839"/>
      <c r="AM44" s="839"/>
      <c r="AN44" s="839"/>
      <c r="AO44" s="839"/>
      <c r="AP44" s="839"/>
      <c r="AQ44" s="839"/>
      <c r="AR44" s="839"/>
      <c r="AS44" s="839"/>
      <c r="AT44" s="839"/>
      <c r="AU44" s="839"/>
      <c r="AV44" s="839"/>
      <c r="AW44" s="839"/>
      <c r="AX44" s="839"/>
      <c r="AY44" s="839"/>
      <c r="AZ44" s="839"/>
      <c r="BA44" s="839"/>
      <c r="BB44" s="839"/>
      <c r="BC44" s="839"/>
      <c r="BD44" s="839"/>
      <c r="BE44" s="839"/>
      <c r="BF44" s="839"/>
      <c r="BG44" s="839"/>
      <c r="BH44" s="839"/>
      <c r="BI44" s="839"/>
      <c r="BJ44" s="840">
        <f t="shared" si="34"/>
        <v>0</v>
      </c>
      <c r="BK44" s="840">
        <f t="shared" si="34"/>
        <v>0</v>
      </c>
      <c r="BL44" s="840">
        <f t="shared" si="34"/>
        <v>0</v>
      </c>
      <c r="BM44" s="840">
        <f t="shared" si="34"/>
        <v>0</v>
      </c>
      <c r="BN44" s="840">
        <f t="shared" si="34"/>
        <v>0</v>
      </c>
      <c r="BO44" s="840">
        <f t="shared" si="34"/>
        <v>0</v>
      </c>
      <c r="BP44" s="840">
        <f t="shared" si="34"/>
        <v>0</v>
      </c>
      <c r="BQ44" s="840">
        <f t="shared" si="34"/>
        <v>0</v>
      </c>
      <c r="BR44" s="840">
        <f t="shared" si="34"/>
        <v>0</v>
      </c>
      <c r="BS44" s="840">
        <f t="shared" si="34"/>
        <v>0</v>
      </c>
      <c r="BT44" s="840">
        <f t="shared" si="34"/>
        <v>0</v>
      </c>
      <c r="BU44" s="840">
        <f t="shared" si="34"/>
        <v>0</v>
      </c>
      <c r="BV44" s="840">
        <f t="shared" si="34"/>
        <v>0</v>
      </c>
      <c r="BW44" s="840">
        <f t="shared" si="34"/>
        <v>0</v>
      </c>
      <c r="BX44" s="840">
        <f t="shared" si="34"/>
        <v>0</v>
      </c>
      <c r="BY44" s="840">
        <f t="shared" si="12"/>
        <v>0</v>
      </c>
      <c r="BZ44" s="840">
        <f t="shared" si="1"/>
        <v>0</v>
      </c>
      <c r="CA44" s="840">
        <f t="shared" si="1"/>
        <v>0</v>
      </c>
      <c r="CB44" s="840">
        <f t="shared" si="1"/>
        <v>0</v>
      </c>
      <c r="CC44" s="840">
        <f t="shared" ref="CC44:CF46" si="47">AE44-BF44</f>
        <v>0</v>
      </c>
      <c r="CD44" s="840">
        <f t="shared" si="47"/>
        <v>0</v>
      </c>
      <c r="CE44" s="840">
        <f t="shared" si="47"/>
        <v>0</v>
      </c>
      <c r="CF44" s="840">
        <f t="shared" si="47"/>
        <v>0</v>
      </c>
      <c r="CG44" s="840">
        <f>VLOOKUP($G44,$GB$6:$GC$17,2,FALSE)</f>
        <v>1000</v>
      </c>
      <c r="CH44" s="841" t="s">
        <v>38</v>
      </c>
      <c r="CI44" s="840">
        <f t="shared" si="26"/>
        <v>0</v>
      </c>
      <c r="CJ44" s="840">
        <f t="shared" si="26"/>
        <v>0</v>
      </c>
      <c r="CK44" s="840">
        <f t="shared" si="26"/>
        <v>0</v>
      </c>
      <c r="CL44" s="840">
        <f t="shared" si="26"/>
        <v>0</v>
      </c>
      <c r="CM44" s="840">
        <f t="shared" si="26"/>
        <v>0</v>
      </c>
      <c r="CN44" s="840">
        <f t="shared" si="26"/>
        <v>0</v>
      </c>
      <c r="CO44" s="840">
        <f t="shared" si="26"/>
        <v>0</v>
      </c>
      <c r="CP44" s="840">
        <f t="shared" si="26"/>
        <v>0</v>
      </c>
      <c r="CQ44" s="840">
        <f t="shared" si="26"/>
        <v>0</v>
      </c>
      <c r="CR44" s="840">
        <f t="shared" si="26"/>
        <v>0</v>
      </c>
      <c r="CS44" s="840">
        <f t="shared" si="26"/>
        <v>0</v>
      </c>
      <c r="CT44" s="840">
        <f t="shared" si="26"/>
        <v>0</v>
      </c>
      <c r="CU44" s="840">
        <f t="shared" si="26"/>
        <v>0</v>
      </c>
      <c r="CV44" s="840">
        <f t="shared" si="26"/>
        <v>0</v>
      </c>
      <c r="CW44" s="840">
        <f t="shared" si="26"/>
        <v>0</v>
      </c>
      <c r="CX44" s="840">
        <f t="shared" si="26"/>
        <v>0</v>
      </c>
      <c r="CY44" s="840">
        <f t="shared" si="40"/>
        <v>0</v>
      </c>
      <c r="CZ44" s="840">
        <f t="shared" si="40"/>
        <v>0</v>
      </c>
      <c r="DA44" s="840">
        <f t="shared" si="40"/>
        <v>0</v>
      </c>
      <c r="DB44" s="840">
        <f t="shared" si="40"/>
        <v>0</v>
      </c>
      <c r="DC44" s="840">
        <f t="shared" si="40"/>
        <v>0</v>
      </c>
      <c r="DD44" s="840">
        <f t="shared" si="40"/>
        <v>0</v>
      </c>
      <c r="DE44" s="840">
        <f t="shared" si="40"/>
        <v>0</v>
      </c>
      <c r="DF44" s="840">
        <f t="shared" si="41"/>
        <v>0</v>
      </c>
      <c r="DG44" s="840">
        <f t="shared" si="41"/>
        <v>0</v>
      </c>
      <c r="DH44" s="840">
        <f t="shared" si="41"/>
        <v>0</v>
      </c>
      <c r="DI44" s="840">
        <f t="shared" si="41"/>
        <v>0</v>
      </c>
      <c r="DJ44" s="840">
        <f t="shared" si="41"/>
        <v>0</v>
      </c>
      <c r="DK44" s="840">
        <f t="shared" si="41"/>
        <v>0</v>
      </c>
      <c r="DL44" s="840">
        <f t="shared" si="41"/>
        <v>0</v>
      </c>
      <c r="DM44" s="840">
        <f t="shared" si="41"/>
        <v>0</v>
      </c>
      <c r="DN44" s="840">
        <f t="shared" si="41"/>
        <v>0</v>
      </c>
      <c r="DO44" s="840">
        <f t="shared" si="41"/>
        <v>0</v>
      </c>
      <c r="DP44" s="840">
        <f t="shared" si="42"/>
        <v>0</v>
      </c>
      <c r="DQ44" s="840">
        <f t="shared" si="42"/>
        <v>0</v>
      </c>
      <c r="DR44" s="840">
        <f t="shared" si="42"/>
        <v>0</v>
      </c>
      <c r="DS44" s="840">
        <f t="shared" si="42"/>
        <v>0</v>
      </c>
      <c r="DT44" s="840">
        <f t="shared" si="42"/>
        <v>0</v>
      </c>
      <c r="DU44" s="840">
        <f t="shared" si="42"/>
        <v>0</v>
      </c>
      <c r="DV44" s="840">
        <f t="shared" si="42"/>
        <v>0</v>
      </c>
      <c r="DW44" s="840">
        <f t="shared" si="42"/>
        <v>0</v>
      </c>
      <c r="DX44" s="840">
        <f t="shared" si="42"/>
        <v>0</v>
      </c>
      <c r="DY44" s="840">
        <f t="shared" si="42"/>
        <v>0</v>
      </c>
      <c r="DZ44" s="840">
        <f t="shared" si="42"/>
        <v>0</v>
      </c>
      <c r="EA44" s="840">
        <f t="shared" si="42"/>
        <v>0</v>
      </c>
      <c r="EB44" s="840">
        <f t="shared" si="42"/>
        <v>0</v>
      </c>
      <c r="EC44" s="840">
        <f t="shared" si="43"/>
        <v>0</v>
      </c>
      <c r="ED44" s="840">
        <f t="shared" si="43"/>
        <v>0</v>
      </c>
      <c r="EE44" s="840">
        <f t="shared" si="43"/>
        <v>0</v>
      </c>
      <c r="EF44" s="840">
        <f t="shared" si="43"/>
        <v>0</v>
      </c>
      <c r="EG44" s="840">
        <f t="shared" si="43"/>
        <v>0</v>
      </c>
      <c r="EH44" s="840">
        <f t="shared" si="43"/>
        <v>0</v>
      </c>
      <c r="EI44" s="840">
        <f t="shared" si="43"/>
        <v>0</v>
      </c>
      <c r="EJ44" s="840">
        <f t="shared" si="43"/>
        <v>0</v>
      </c>
      <c r="EK44" s="840">
        <f t="shared" si="43"/>
        <v>0</v>
      </c>
      <c r="EL44" s="840">
        <f t="shared" si="43"/>
        <v>0</v>
      </c>
      <c r="EM44" s="840">
        <f t="shared" si="44"/>
        <v>0</v>
      </c>
      <c r="EN44" s="840">
        <f t="shared" si="44"/>
        <v>0</v>
      </c>
      <c r="EO44" s="840">
        <f t="shared" si="44"/>
        <v>0</v>
      </c>
      <c r="EP44" s="840">
        <f t="shared" si="44"/>
        <v>0</v>
      </c>
      <c r="EQ44" s="840">
        <f t="shared" si="44"/>
        <v>0</v>
      </c>
      <c r="ER44" s="840">
        <f t="shared" si="44"/>
        <v>0</v>
      </c>
      <c r="ES44" s="840">
        <f t="shared" si="44"/>
        <v>0</v>
      </c>
      <c r="ET44" s="840">
        <f t="shared" si="44"/>
        <v>0</v>
      </c>
      <c r="EU44" s="840">
        <f t="shared" si="44"/>
        <v>0</v>
      </c>
      <c r="EV44" s="840">
        <f t="shared" si="44"/>
        <v>0</v>
      </c>
      <c r="EW44" s="840">
        <f t="shared" si="44"/>
        <v>0</v>
      </c>
      <c r="EX44" s="840">
        <f t="shared" si="44"/>
        <v>0</v>
      </c>
      <c r="EY44" s="840">
        <f t="shared" si="44"/>
        <v>0</v>
      </c>
      <c r="EZ44" s="842">
        <f t="shared" si="45"/>
        <v>0</v>
      </c>
      <c r="FA44" s="842">
        <f t="shared" si="45"/>
        <v>0</v>
      </c>
      <c r="FB44" s="842">
        <f t="shared" si="45"/>
        <v>0</v>
      </c>
      <c r="FC44" s="842">
        <f t="shared" si="45"/>
        <v>0</v>
      </c>
      <c r="FD44" s="842">
        <f t="shared" si="45"/>
        <v>0</v>
      </c>
      <c r="FE44" s="842">
        <f t="shared" si="45"/>
        <v>0</v>
      </c>
      <c r="FF44" s="842">
        <f t="shared" si="45"/>
        <v>0</v>
      </c>
      <c r="FG44" s="842">
        <f t="shared" si="45"/>
        <v>0</v>
      </c>
      <c r="FH44" s="842">
        <f t="shared" si="45"/>
        <v>0</v>
      </c>
      <c r="FI44" s="842">
        <f t="shared" si="45"/>
        <v>0</v>
      </c>
      <c r="FJ44" s="842">
        <f t="shared" si="46"/>
        <v>0</v>
      </c>
      <c r="FK44" s="842">
        <f t="shared" si="46"/>
        <v>0</v>
      </c>
      <c r="FL44" s="842">
        <f t="shared" si="46"/>
        <v>0</v>
      </c>
      <c r="FM44" s="842">
        <f t="shared" si="46"/>
        <v>0</v>
      </c>
      <c r="FN44" s="842">
        <f t="shared" si="46"/>
        <v>0</v>
      </c>
      <c r="FO44" s="842">
        <f t="shared" si="46"/>
        <v>0</v>
      </c>
      <c r="FP44" s="842">
        <f t="shared" si="46"/>
        <v>0</v>
      </c>
      <c r="FQ44" s="842">
        <f t="shared" si="46"/>
        <v>0</v>
      </c>
      <c r="FR44" s="842">
        <f t="shared" si="46"/>
        <v>0</v>
      </c>
      <c r="FS44" s="842">
        <f t="shared" si="46"/>
        <v>0</v>
      </c>
      <c r="FT44" s="842">
        <f t="shared" si="46"/>
        <v>0</v>
      </c>
      <c r="FU44" s="842">
        <f t="shared" si="46"/>
        <v>0</v>
      </c>
      <c r="FV44" s="842">
        <f t="shared" si="46"/>
        <v>0</v>
      </c>
      <c r="FW44" s="861">
        <v>9.76</v>
      </c>
      <c r="FX44" s="779" t="s">
        <v>2250</v>
      </c>
      <c r="FY44" s="851">
        <v>0.495</v>
      </c>
      <c r="FZ44" s="862" t="s">
        <v>2251</v>
      </c>
    </row>
    <row r="45" spans="3:184" ht="23.25" customHeight="1">
      <c r="C45" s="1482"/>
      <c r="D45" s="1484" t="s">
        <v>2254</v>
      </c>
      <c r="E45" s="1484"/>
      <c r="F45" s="1484"/>
      <c r="G45" s="846" t="s">
        <v>370</v>
      </c>
      <c r="H45" s="839"/>
      <c r="I45" s="839"/>
      <c r="J45" s="839"/>
      <c r="K45" s="839"/>
      <c r="L45" s="839"/>
      <c r="M45" s="839"/>
      <c r="N45" s="839"/>
      <c r="O45" s="839"/>
      <c r="P45" s="839"/>
      <c r="Q45" s="839"/>
      <c r="R45" s="839"/>
      <c r="S45" s="839"/>
      <c r="T45" s="839"/>
      <c r="U45" s="839"/>
      <c r="V45" s="839"/>
      <c r="W45" s="839"/>
      <c r="X45" s="839"/>
      <c r="Y45" s="839"/>
      <c r="Z45" s="839"/>
      <c r="AA45" s="839"/>
      <c r="AB45" s="839"/>
      <c r="AC45" s="839"/>
      <c r="AD45" s="839"/>
      <c r="AE45" s="839"/>
      <c r="AF45" s="839"/>
      <c r="AG45" s="839"/>
      <c r="AH45" s="839"/>
      <c r="AI45" s="852"/>
      <c r="AJ45" s="852"/>
      <c r="AK45" s="852"/>
      <c r="AL45" s="852"/>
      <c r="AM45" s="852"/>
      <c r="AN45" s="852"/>
      <c r="AO45" s="852"/>
      <c r="AP45" s="852"/>
      <c r="AQ45" s="852"/>
      <c r="AR45" s="852"/>
      <c r="AS45" s="852"/>
      <c r="AT45" s="852"/>
      <c r="AU45" s="852"/>
      <c r="AV45" s="852"/>
      <c r="AW45" s="852"/>
      <c r="AX45" s="852"/>
      <c r="AY45" s="852"/>
      <c r="AZ45" s="852"/>
      <c r="BA45" s="852"/>
      <c r="BB45" s="852"/>
      <c r="BC45" s="852"/>
      <c r="BD45" s="852"/>
      <c r="BE45" s="852"/>
      <c r="BF45" s="852"/>
      <c r="BG45" s="852"/>
      <c r="BH45" s="852"/>
      <c r="BI45" s="852"/>
      <c r="BJ45" s="840">
        <f t="shared" si="34"/>
        <v>0</v>
      </c>
      <c r="BK45" s="840">
        <f t="shared" si="34"/>
        <v>0</v>
      </c>
      <c r="BL45" s="840">
        <f t="shared" si="34"/>
        <v>0</v>
      </c>
      <c r="BM45" s="840">
        <f t="shared" si="34"/>
        <v>0</v>
      </c>
      <c r="BN45" s="840">
        <f t="shared" si="34"/>
        <v>0</v>
      </c>
      <c r="BO45" s="840">
        <f t="shared" si="34"/>
        <v>0</v>
      </c>
      <c r="BP45" s="840">
        <f t="shared" si="34"/>
        <v>0</v>
      </c>
      <c r="BQ45" s="840">
        <f t="shared" si="34"/>
        <v>0</v>
      </c>
      <c r="BR45" s="840">
        <f t="shared" si="34"/>
        <v>0</v>
      </c>
      <c r="BS45" s="840">
        <f t="shared" si="34"/>
        <v>0</v>
      </c>
      <c r="BT45" s="840">
        <f t="shared" si="34"/>
        <v>0</v>
      </c>
      <c r="BU45" s="840">
        <f t="shared" si="34"/>
        <v>0</v>
      </c>
      <c r="BV45" s="840">
        <f t="shared" si="34"/>
        <v>0</v>
      </c>
      <c r="BW45" s="840">
        <f t="shared" si="34"/>
        <v>0</v>
      </c>
      <c r="BX45" s="840">
        <f t="shared" si="34"/>
        <v>0</v>
      </c>
      <c r="BY45" s="840">
        <f t="shared" si="12"/>
        <v>0</v>
      </c>
      <c r="BZ45" s="840">
        <f t="shared" si="12"/>
        <v>0</v>
      </c>
      <c r="CA45" s="840">
        <f t="shared" si="12"/>
        <v>0</v>
      </c>
      <c r="CB45" s="840">
        <f t="shared" si="12"/>
        <v>0</v>
      </c>
      <c r="CC45" s="840">
        <f t="shared" si="47"/>
        <v>0</v>
      </c>
      <c r="CD45" s="840">
        <f t="shared" si="47"/>
        <v>0</v>
      </c>
      <c r="CE45" s="840">
        <f t="shared" si="47"/>
        <v>0</v>
      </c>
      <c r="CF45" s="840">
        <f t="shared" si="47"/>
        <v>0</v>
      </c>
      <c r="CG45" s="840">
        <f>VLOOKUP($G45,$GB$6:$GC$17,2,FALSE)</f>
        <v>1000</v>
      </c>
      <c r="CH45" s="841" t="s">
        <v>38</v>
      </c>
      <c r="CI45" s="840">
        <f t="shared" si="26"/>
        <v>0</v>
      </c>
      <c r="CJ45" s="840">
        <f t="shared" si="26"/>
        <v>0</v>
      </c>
      <c r="CK45" s="840">
        <f t="shared" si="26"/>
        <v>0</v>
      </c>
      <c r="CL45" s="840">
        <f t="shared" si="26"/>
        <v>0</v>
      </c>
      <c r="CM45" s="840">
        <f t="shared" si="26"/>
        <v>0</v>
      </c>
      <c r="CN45" s="840">
        <f t="shared" si="26"/>
        <v>0</v>
      </c>
      <c r="CO45" s="840">
        <f t="shared" si="26"/>
        <v>0</v>
      </c>
      <c r="CP45" s="840">
        <f t="shared" si="26"/>
        <v>0</v>
      </c>
      <c r="CQ45" s="840">
        <f t="shared" si="26"/>
        <v>0</v>
      </c>
      <c r="CR45" s="840">
        <f t="shared" si="26"/>
        <v>0</v>
      </c>
      <c r="CS45" s="840">
        <f t="shared" si="26"/>
        <v>0</v>
      </c>
      <c r="CT45" s="840">
        <f t="shared" si="26"/>
        <v>0</v>
      </c>
      <c r="CU45" s="840">
        <f t="shared" si="26"/>
        <v>0</v>
      </c>
      <c r="CV45" s="840">
        <f t="shared" si="26"/>
        <v>0</v>
      </c>
      <c r="CW45" s="840">
        <f t="shared" si="26"/>
        <v>0</v>
      </c>
      <c r="CX45" s="840">
        <f t="shared" si="26"/>
        <v>0</v>
      </c>
      <c r="CY45" s="840">
        <f t="shared" si="40"/>
        <v>0</v>
      </c>
      <c r="CZ45" s="840">
        <f t="shared" si="40"/>
        <v>0</v>
      </c>
      <c r="DA45" s="840">
        <f t="shared" si="40"/>
        <v>0</v>
      </c>
      <c r="DB45" s="840">
        <f t="shared" si="40"/>
        <v>0</v>
      </c>
      <c r="DC45" s="840">
        <f t="shared" si="40"/>
        <v>0</v>
      </c>
      <c r="DD45" s="840">
        <f t="shared" si="40"/>
        <v>0</v>
      </c>
      <c r="DE45" s="840">
        <f t="shared" si="40"/>
        <v>0</v>
      </c>
      <c r="DF45" s="852"/>
      <c r="DG45" s="852"/>
      <c r="DH45" s="852"/>
      <c r="DI45" s="852"/>
      <c r="DJ45" s="852"/>
      <c r="DK45" s="852"/>
      <c r="DL45" s="852"/>
      <c r="DM45" s="852"/>
      <c r="DN45" s="852"/>
      <c r="DO45" s="852"/>
      <c r="DP45" s="852"/>
      <c r="DQ45" s="852"/>
      <c r="DR45" s="852"/>
      <c r="DS45" s="852"/>
      <c r="DT45" s="852"/>
      <c r="DU45" s="852"/>
      <c r="DV45" s="852"/>
      <c r="DW45" s="852"/>
      <c r="DX45" s="852"/>
      <c r="DY45" s="852"/>
      <c r="DZ45" s="852"/>
      <c r="EA45" s="852"/>
      <c r="EB45" s="852"/>
      <c r="EC45" s="852"/>
      <c r="ED45" s="852"/>
      <c r="EE45" s="852"/>
      <c r="EF45" s="852"/>
      <c r="EG45" s="852"/>
      <c r="EH45" s="852"/>
      <c r="EI45" s="852"/>
      <c r="EJ45" s="852"/>
      <c r="EK45" s="852"/>
      <c r="EL45" s="852"/>
      <c r="EM45" s="852"/>
      <c r="EN45" s="852"/>
      <c r="EO45" s="852"/>
      <c r="EP45" s="852"/>
      <c r="EQ45" s="852"/>
      <c r="ER45" s="852"/>
      <c r="ES45" s="852"/>
      <c r="ET45" s="852"/>
      <c r="EU45" s="852"/>
      <c r="EV45" s="852"/>
      <c r="EW45" s="852"/>
      <c r="EX45" s="852"/>
      <c r="EY45" s="852"/>
      <c r="EZ45" s="842">
        <f t="shared" si="45"/>
        <v>0</v>
      </c>
      <c r="FA45" s="842">
        <f t="shared" si="45"/>
        <v>0</v>
      </c>
      <c r="FB45" s="842">
        <f t="shared" si="45"/>
        <v>0</v>
      </c>
      <c r="FC45" s="842">
        <f t="shared" si="45"/>
        <v>0</v>
      </c>
      <c r="FD45" s="842">
        <f t="shared" si="45"/>
        <v>0</v>
      </c>
      <c r="FE45" s="842">
        <f t="shared" si="45"/>
        <v>0</v>
      </c>
      <c r="FF45" s="842">
        <f t="shared" si="45"/>
        <v>0</v>
      </c>
      <c r="FG45" s="842">
        <f t="shared" si="45"/>
        <v>0</v>
      </c>
      <c r="FH45" s="842">
        <f t="shared" si="45"/>
        <v>0</v>
      </c>
      <c r="FI45" s="842">
        <f t="shared" si="45"/>
        <v>0</v>
      </c>
      <c r="FJ45" s="842">
        <f t="shared" si="46"/>
        <v>0</v>
      </c>
      <c r="FK45" s="842">
        <f t="shared" si="46"/>
        <v>0</v>
      </c>
      <c r="FL45" s="842">
        <f t="shared" si="46"/>
        <v>0</v>
      </c>
      <c r="FM45" s="842">
        <f t="shared" si="46"/>
        <v>0</v>
      </c>
      <c r="FN45" s="842">
        <f t="shared" si="46"/>
        <v>0</v>
      </c>
      <c r="FO45" s="842">
        <f t="shared" si="46"/>
        <v>0</v>
      </c>
      <c r="FP45" s="842">
        <f t="shared" si="46"/>
        <v>0</v>
      </c>
      <c r="FQ45" s="842">
        <f t="shared" si="46"/>
        <v>0</v>
      </c>
      <c r="FR45" s="842">
        <f t="shared" si="46"/>
        <v>0</v>
      </c>
      <c r="FS45" s="842">
        <f t="shared" si="46"/>
        <v>0</v>
      </c>
      <c r="FT45" s="842">
        <f t="shared" si="46"/>
        <v>0</v>
      </c>
      <c r="FU45" s="842">
        <f t="shared" si="46"/>
        <v>0</v>
      </c>
      <c r="FV45" s="842">
        <f t="shared" si="46"/>
        <v>0</v>
      </c>
      <c r="FW45" s="1481"/>
      <c r="FX45" s="1481"/>
      <c r="FY45" s="851">
        <v>0.495</v>
      </c>
      <c r="FZ45" s="862" t="s">
        <v>2251</v>
      </c>
    </row>
    <row r="46" spans="3:184" ht="23.25" customHeight="1">
      <c r="C46" s="1482"/>
      <c r="D46" s="1484" t="s">
        <v>2255</v>
      </c>
      <c r="E46" s="1484"/>
      <c r="F46" s="1484"/>
      <c r="G46" s="846" t="s">
        <v>370</v>
      </c>
      <c r="H46" s="839"/>
      <c r="I46" s="839"/>
      <c r="J46" s="839"/>
      <c r="K46" s="839"/>
      <c r="L46" s="839"/>
      <c r="M46" s="839"/>
      <c r="N46" s="839"/>
      <c r="O46" s="839"/>
      <c r="P46" s="839"/>
      <c r="Q46" s="839"/>
      <c r="R46" s="839"/>
      <c r="S46" s="839"/>
      <c r="T46" s="839"/>
      <c r="U46" s="839"/>
      <c r="V46" s="839"/>
      <c r="W46" s="839"/>
      <c r="X46" s="839"/>
      <c r="Y46" s="839"/>
      <c r="Z46" s="839"/>
      <c r="AA46" s="839"/>
      <c r="AB46" s="839"/>
      <c r="AC46" s="839"/>
      <c r="AD46" s="839"/>
      <c r="AE46" s="839"/>
      <c r="AF46" s="839"/>
      <c r="AG46" s="839"/>
      <c r="AH46" s="839"/>
      <c r="AI46" s="852"/>
      <c r="AJ46" s="852"/>
      <c r="AK46" s="852"/>
      <c r="AL46" s="852"/>
      <c r="AM46" s="852"/>
      <c r="AN46" s="852"/>
      <c r="AO46" s="852"/>
      <c r="AP46" s="852"/>
      <c r="AQ46" s="852"/>
      <c r="AR46" s="852"/>
      <c r="AS46" s="852"/>
      <c r="AT46" s="852"/>
      <c r="AU46" s="852"/>
      <c r="AV46" s="852"/>
      <c r="AW46" s="852"/>
      <c r="AX46" s="852"/>
      <c r="AY46" s="852"/>
      <c r="AZ46" s="852"/>
      <c r="BA46" s="852"/>
      <c r="BB46" s="852"/>
      <c r="BC46" s="852"/>
      <c r="BD46" s="852"/>
      <c r="BE46" s="852"/>
      <c r="BF46" s="852"/>
      <c r="BG46" s="852"/>
      <c r="BH46" s="852"/>
      <c r="BI46" s="852"/>
      <c r="BJ46" s="840">
        <f t="shared" si="34"/>
        <v>0</v>
      </c>
      <c r="BK46" s="840">
        <f t="shared" si="34"/>
        <v>0</v>
      </c>
      <c r="BL46" s="840">
        <f t="shared" si="34"/>
        <v>0</v>
      </c>
      <c r="BM46" s="840">
        <f t="shared" si="34"/>
        <v>0</v>
      </c>
      <c r="BN46" s="840">
        <f t="shared" si="34"/>
        <v>0</v>
      </c>
      <c r="BO46" s="840">
        <f t="shared" si="34"/>
        <v>0</v>
      </c>
      <c r="BP46" s="840">
        <f t="shared" si="34"/>
        <v>0</v>
      </c>
      <c r="BQ46" s="840">
        <f t="shared" si="34"/>
        <v>0</v>
      </c>
      <c r="BR46" s="840">
        <f t="shared" si="34"/>
        <v>0</v>
      </c>
      <c r="BS46" s="840">
        <f t="shared" si="34"/>
        <v>0</v>
      </c>
      <c r="BT46" s="840">
        <f t="shared" si="34"/>
        <v>0</v>
      </c>
      <c r="BU46" s="840">
        <f t="shared" si="34"/>
        <v>0</v>
      </c>
      <c r="BV46" s="840">
        <f t="shared" si="34"/>
        <v>0</v>
      </c>
      <c r="BW46" s="840">
        <f t="shared" si="34"/>
        <v>0</v>
      </c>
      <c r="BX46" s="840">
        <f t="shared" si="34"/>
        <v>0</v>
      </c>
      <c r="BY46" s="840">
        <f t="shared" si="12"/>
        <v>0</v>
      </c>
      <c r="BZ46" s="840">
        <f t="shared" si="12"/>
        <v>0</v>
      </c>
      <c r="CA46" s="840">
        <f t="shared" si="12"/>
        <v>0</v>
      </c>
      <c r="CB46" s="840">
        <f t="shared" si="12"/>
        <v>0</v>
      </c>
      <c r="CC46" s="840">
        <f t="shared" si="47"/>
        <v>0</v>
      </c>
      <c r="CD46" s="840">
        <f t="shared" si="47"/>
        <v>0</v>
      </c>
      <c r="CE46" s="840">
        <f t="shared" si="47"/>
        <v>0</v>
      </c>
      <c r="CF46" s="840">
        <f t="shared" si="47"/>
        <v>0</v>
      </c>
      <c r="CG46" s="840">
        <f>VLOOKUP($G46,$GB$6:$GC$17,2,FALSE)</f>
        <v>1000</v>
      </c>
      <c r="CH46" s="841" t="s">
        <v>38</v>
      </c>
      <c r="CI46" s="840">
        <f t="shared" si="26"/>
        <v>0</v>
      </c>
      <c r="CJ46" s="840">
        <f t="shared" si="26"/>
        <v>0</v>
      </c>
      <c r="CK46" s="840">
        <f t="shared" si="26"/>
        <v>0</v>
      </c>
      <c r="CL46" s="840">
        <f t="shared" si="26"/>
        <v>0</v>
      </c>
      <c r="CM46" s="840">
        <f t="shared" si="26"/>
        <v>0</v>
      </c>
      <c r="CN46" s="840">
        <f t="shared" si="26"/>
        <v>0</v>
      </c>
      <c r="CO46" s="840">
        <f t="shared" si="26"/>
        <v>0</v>
      </c>
      <c r="CP46" s="840">
        <f t="shared" si="26"/>
        <v>0</v>
      </c>
      <c r="CQ46" s="840">
        <f t="shared" si="26"/>
        <v>0</v>
      </c>
      <c r="CR46" s="840">
        <f t="shared" si="26"/>
        <v>0</v>
      </c>
      <c r="CS46" s="840">
        <f t="shared" si="26"/>
        <v>0</v>
      </c>
      <c r="CT46" s="840">
        <f t="shared" si="26"/>
        <v>0</v>
      </c>
      <c r="CU46" s="840">
        <f t="shared" si="26"/>
        <v>0</v>
      </c>
      <c r="CV46" s="840">
        <f t="shared" si="26"/>
        <v>0</v>
      </c>
      <c r="CW46" s="840">
        <f t="shared" si="26"/>
        <v>0</v>
      </c>
      <c r="CX46" s="840">
        <f t="shared" si="26"/>
        <v>0</v>
      </c>
      <c r="CY46" s="840">
        <f t="shared" si="40"/>
        <v>0</v>
      </c>
      <c r="CZ46" s="840">
        <f t="shared" si="40"/>
        <v>0</v>
      </c>
      <c r="DA46" s="840">
        <f t="shared" si="40"/>
        <v>0</v>
      </c>
      <c r="DB46" s="840">
        <f t="shared" si="40"/>
        <v>0</v>
      </c>
      <c r="DC46" s="840">
        <f t="shared" si="40"/>
        <v>0</v>
      </c>
      <c r="DD46" s="840">
        <f t="shared" si="40"/>
        <v>0</v>
      </c>
      <c r="DE46" s="840">
        <f t="shared" si="40"/>
        <v>0</v>
      </c>
      <c r="DF46" s="852"/>
      <c r="DG46" s="852"/>
      <c r="DH46" s="852"/>
      <c r="DI46" s="852"/>
      <c r="DJ46" s="852"/>
      <c r="DK46" s="852"/>
      <c r="DL46" s="852"/>
      <c r="DM46" s="852"/>
      <c r="DN46" s="852"/>
      <c r="DO46" s="852"/>
      <c r="DP46" s="852"/>
      <c r="DQ46" s="852"/>
      <c r="DR46" s="852"/>
      <c r="DS46" s="852"/>
      <c r="DT46" s="852"/>
      <c r="DU46" s="852"/>
      <c r="DV46" s="852"/>
      <c r="DW46" s="852"/>
      <c r="DX46" s="852"/>
      <c r="DY46" s="852"/>
      <c r="DZ46" s="852"/>
      <c r="EA46" s="852"/>
      <c r="EB46" s="852"/>
      <c r="EC46" s="852"/>
      <c r="ED46" s="852"/>
      <c r="EE46" s="852"/>
      <c r="EF46" s="852"/>
      <c r="EG46" s="852"/>
      <c r="EH46" s="852"/>
      <c r="EI46" s="852"/>
      <c r="EJ46" s="852"/>
      <c r="EK46" s="852"/>
      <c r="EL46" s="852"/>
      <c r="EM46" s="852"/>
      <c r="EN46" s="852"/>
      <c r="EO46" s="852"/>
      <c r="EP46" s="852"/>
      <c r="EQ46" s="852"/>
      <c r="ER46" s="852"/>
      <c r="ES46" s="852"/>
      <c r="ET46" s="852"/>
      <c r="EU46" s="852"/>
      <c r="EV46" s="852"/>
      <c r="EW46" s="852"/>
      <c r="EX46" s="852"/>
      <c r="EY46" s="852"/>
      <c r="EZ46" s="842">
        <f t="shared" ref="EZ46:FQ46" si="48">-ABS(CI46*$GA46)</f>
        <v>0</v>
      </c>
      <c r="FA46" s="842">
        <f t="shared" si="48"/>
        <v>0</v>
      </c>
      <c r="FB46" s="842">
        <f t="shared" si="48"/>
        <v>0</v>
      </c>
      <c r="FC46" s="842">
        <f t="shared" si="48"/>
        <v>0</v>
      </c>
      <c r="FD46" s="842">
        <f t="shared" si="48"/>
        <v>0</v>
      </c>
      <c r="FE46" s="842">
        <f t="shared" si="48"/>
        <v>0</v>
      </c>
      <c r="FF46" s="842">
        <f t="shared" si="48"/>
        <v>0</v>
      </c>
      <c r="FG46" s="842">
        <f t="shared" si="48"/>
        <v>0</v>
      </c>
      <c r="FH46" s="842">
        <f t="shared" si="48"/>
        <v>0</v>
      </c>
      <c r="FI46" s="842">
        <f t="shared" si="48"/>
        <v>0</v>
      </c>
      <c r="FJ46" s="842">
        <f t="shared" si="48"/>
        <v>0</v>
      </c>
      <c r="FK46" s="842">
        <f t="shared" si="48"/>
        <v>0</v>
      </c>
      <c r="FL46" s="842">
        <f t="shared" si="48"/>
        <v>0</v>
      </c>
      <c r="FM46" s="842">
        <f t="shared" si="48"/>
        <v>0</v>
      </c>
      <c r="FN46" s="842">
        <f t="shared" si="48"/>
        <v>0</v>
      </c>
      <c r="FO46" s="842">
        <f t="shared" si="48"/>
        <v>0</v>
      </c>
      <c r="FP46" s="842">
        <f t="shared" si="48"/>
        <v>0</v>
      </c>
      <c r="FQ46" s="842">
        <f t="shared" si="48"/>
        <v>0</v>
      </c>
      <c r="FR46" s="842">
        <f t="shared" ref="FR46:FS46" si="49">-ABS(DA46*$FY46)</f>
        <v>0</v>
      </c>
      <c r="FS46" s="842">
        <f t="shared" si="49"/>
        <v>0</v>
      </c>
      <c r="FT46" s="842">
        <f>-ABS(DC46*$FY46)</f>
        <v>0</v>
      </c>
      <c r="FU46" s="842">
        <f t="shared" ref="FU46:FV46" si="50">-ABS(DD46*$FY46)</f>
        <v>0</v>
      </c>
      <c r="FV46" s="842">
        <f t="shared" si="50"/>
        <v>0</v>
      </c>
      <c r="FW46" s="1481"/>
      <c r="FX46" s="1481"/>
      <c r="FY46" s="863">
        <v>-0.2445</v>
      </c>
      <c r="FZ46" s="862" t="s">
        <v>2251</v>
      </c>
      <c r="GA46" s="779">
        <v>-0.193</v>
      </c>
    </row>
    <row r="47" spans="3:184" ht="23.25" customHeight="1">
      <c r="C47" s="865"/>
      <c r="D47" s="1437" t="s">
        <v>2244</v>
      </c>
      <c r="E47" s="1438"/>
      <c r="F47" s="1439"/>
      <c r="G47" s="846"/>
      <c r="H47" s="839"/>
      <c r="I47" s="839"/>
      <c r="J47" s="839"/>
      <c r="K47" s="839"/>
      <c r="L47" s="839"/>
      <c r="M47" s="839"/>
      <c r="N47" s="839"/>
      <c r="O47" s="839"/>
      <c r="P47" s="839"/>
      <c r="Q47" s="839"/>
      <c r="R47" s="839"/>
      <c r="S47" s="839"/>
      <c r="T47" s="839"/>
      <c r="U47" s="839"/>
      <c r="V47" s="839"/>
      <c r="W47" s="839"/>
      <c r="X47" s="839"/>
      <c r="Y47" s="839"/>
      <c r="Z47" s="839"/>
      <c r="AA47" s="839"/>
      <c r="AB47" s="839"/>
      <c r="AC47" s="839"/>
      <c r="AD47" s="839"/>
      <c r="AE47" s="839"/>
      <c r="AF47" s="839"/>
      <c r="AG47" s="839"/>
      <c r="AH47" s="839"/>
      <c r="AI47" s="840"/>
      <c r="AJ47" s="840"/>
      <c r="AK47" s="840"/>
      <c r="AL47" s="840"/>
      <c r="AM47" s="840"/>
      <c r="AN47" s="840"/>
      <c r="AO47" s="840"/>
      <c r="AP47" s="840"/>
      <c r="AQ47" s="840"/>
      <c r="AR47" s="840"/>
      <c r="AS47" s="840"/>
      <c r="AT47" s="840"/>
      <c r="AU47" s="840"/>
      <c r="AV47" s="840"/>
      <c r="AW47" s="840"/>
      <c r="AX47" s="840"/>
      <c r="AY47" s="840"/>
      <c r="AZ47" s="840"/>
      <c r="BA47" s="840"/>
      <c r="BB47" s="840"/>
      <c r="BC47" s="840"/>
      <c r="BD47" s="840"/>
      <c r="BE47" s="840"/>
      <c r="BF47" s="840"/>
      <c r="BG47" s="840"/>
      <c r="BH47" s="840"/>
      <c r="BI47" s="840"/>
      <c r="BJ47" s="840"/>
      <c r="BK47" s="840"/>
      <c r="BL47" s="840"/>
      <c r="BM47" s="840"/>
      <c r="BN47" s="840"/>
      <c r="BO47" s="840"/>
      <c r="BP47" s="840"/>
      <c r="BQ47" s="840"/>
      <c r="BR47" s="840"/>
      <c r="BS47" s="840"/>
      <c r="BT47" s="840"/>
      <c r="BU47" s="840"/>
      <c r="BV47" s="840"/>
      <c r="BW47" s="840"/>
      <c r="BX47" s="840"/>
      <c r="BY47" s="840"/>
      <c r="BZ47" s="840"/>
      <c r="CA47" s="840"/>
      <c r="CB47" s="840"/>
      <c r="CC47" s="840"/>
      <c r="CD47" s="840"/>
      <c r="CE47" s="840"/>
      <c r="CF47" s="840"/>
      <c r="CG47" s="840"/>
      <c r="CH47" s="841"/>
      <c r="CI47" s="840"/>
      <c r="CJ47" s="840"/>
      <c r="CK47" s="840"/>
      <c r="CL47" s="840"/>
      <c r="CM47" s="840"/>
      <c r="CN47" s="840"/>
      <c r="CO47" s="840"/>
      <c r="CP47" s="840"/>
      <c r="CQ47" s="840"/>
      <c r="CR47" s="840"/>
      <c r="CS47" s="840"/>
      <c r="CT47" s="840"/>
      <c r="CU47" s="840"/>
      <c r="CV47" s="840"/>
      <c r="CW47" s="840"/>
      <c r="CX47" s="840"/>
      <c r="CY47" s="840"/>
      <c r="CZ47" s="840"/>
      <c r="DA47" s="840"/>
      <c r="DB47" s="840"/>
      <c r="DC47" s="840"/>
      <c r="DD47" s="840"/>
      <c r="DE47" s="840"/>
      <c r="DF47" s="839">
        <f t="shared" ref="DF47:DV47" si="51">SUBTOTAL(9,DF42:DF46)</f>
        <v>0</v>
      </c>
      <c r="DG47" s="839">
        <f t="shared" si="51"/>
        <v>0</v>
      </c>
      <c r="DH47" s="839">
        <f t="shared" si="51"/>
        <v>0</v>
      </c>
      <c r="DI47" s="839">
        <f t="shared" si="51"/>
        <v>0</v>
      </c>
      <c r="DJ47" s="839">
        <f t="shared" si="51"/>
        <v>0</v>
      </c>
      <c r="DK47" s="839">
        <f t="shared" si="51"/>
        <v>0</v>
      </c>
      <c r="DL47" s="839">
        <f t="shared" si="51"/>
        <v>0</v>
      </c>
      <c r="DM47" s="839">
        <f t="shared" si="51"/>
        <v>0</v>
      </c>
      <c r="DN47" s="839">
        <f t="shared" si="51"/>
        <v>0</v>
      </c>
      <c r="DO47" s="839">
        <f t="shared" si="51"/>
        <v>0</v>
      </c>
      <c r="DP47" s="839">
        <f t="shared" si="51"/>
        <v>0</v>
      </c>
      <c r="DQ47" s="839">
        <f t="shared" si="51"/>
        <v>0</v>
      </c>
      <c r="DR47" s="839">
        <f t="shared" si="51"/>
        <v>0</v>
      </c>
      <c r="DS47" s="839">
        <f t="shared" si="51"/>
        <v>0</v>
      </c>
      <c r="DT47" s="839">
        <f t="shared" si="51"/>
        <v>0</v>
      </c>
      <c r="DU47" s="839">
        <f t="shared" si="51"/>
        <v>0</v>
      </c>
      <c r="DV47" s="839">
        <f t="shared" si="51"/>
        <v>0</v>
      </c>
      <c r="DW47" s="839">
        <f>SUBTOTAL(9,DW42:DW46)</f>
        <v>0</v>
      </c>
      <c r="DX47" s="839">
        <f t="shared" ref="DX47:ES47" si="52">SUBTOTAL(9,DX42:DX46)</f>
        <v>0</v>
      </c>
      <c r="DY47" s="839">
        <f t="shared" si="52"/>
        <v>0</v>
      </c>
      <c r="DZ47" s="839">
        <f t="shared" si="52"/>
        <v>0</v>
      </c>
      <c r="EA47" s="839">
        <f t="shared" si="52"/>
        <v>0</v>
      </c>
      <c r="EB47" s="839">
        <f t="shared" si="52"/>
        <v>0</v>
      </c>
      <c r="EC47" s="839">
        <f t="shared" si="52"/>
        <v>0</v>
      </c>
      <c r="ED47" s="839">
        <f t="shared" si="52"/>
        <v>0</v>
      </c>
      <c r="EE47" s="839">
        <f t="shared" si="52"/>
        <v>0</v>
      </c>
      <c r="EF47" s="839">
        <f t="shared" si="52"/>
        <v>0</v>
      </c>
      <c r="EG47" s="839">
        <f t="shared" si="52"/>
        <v>0</v>
      </c>
      <c r="EH47" s="839">
        <f t="shared" si="52"/>
        <v>0</v>
      </c>
      <c r="EI47" s="839">
        <f t="shared" si="52"/>
        <v>0</v>
      </c>
      <c r="EJ47" s="839">
        <f t="shared" si="52"/>
        <v>0</v>
      </c>
      <c r="EK47" s="839">
        <f t="shared" si="52"/>
        <v>0</v>
      </c>
      <c r="EL47" s="839">
        <f t="shared" si="52"/>
        <v>0</v>
      </c>
      <c r="EM47" s="839">
        <f t="shared" si="52"/>
        <v>0</v>
      </c>
      <c r="EN47" s="839">
        <f t="shared" si="52"/>
        <v>0</v>
      </c>
      <c r="EO47" s="839">
        <f t="shared" si="52"/>
        <v>0</v>
      </c>
      <c r="EP47" s="839">
        <f t="shared" si="52"/>
        <v>0</v>
      </c>
      <c r="EQ47" s="839">
        <f t="shared" si="52"/>
        <v>0</v>
      </c>
      <c r="ER47" s="839">
        <f t="shared" si="52"/>
        <v>0</v>
      </c>
      <c r="ES47" s="839">
        <f t="shared" si="52"/>
        <v>0</v>
      </c>
      <c r="ET47" s="839">
        <f>SUBTOTAL(9,ET42:ET46)</f>
        <v>0</v>
      </c>
      <c r="EU47" s="839">
        <f t="shared" ref="EU47:FP47" si="53">SUBTOTAL(9,EU42:EU46)</f>
        <v>0</v>
      </c>
      <c r="EV47" s="839">
        <f t="shared" si="53"/>
        <v>0</v>
      </c>
      <c r="EW47" s="839">
        <f t="shared" si="53"/>
        <v>0</v>
      </c>
      <c r="EX47" s="839">
        <f t="shared" si="53"/>
        <v>0</v>
      </c>
      <c r="EY47" s="839">
        <f t="shared" si="53"/>
        <v>0</v>
      </c>
      <c r="EZ47" s="858">
        <f t="shared" si="53"/>
        <v>0</v>
      </c>
      <c r="FA47" s="858">
        <f t="shared" si="53"/>
        <v>0</v>
      </c>
      <c r="FB47" s="858">
        <f t="shared" si="53"/>
        <v>0</v>
      </c>
      <c r="FC47" s="858">
        <f t="shared" si="53"/>
        <v>0</v>
      </c>
      <c r="FD47" s="858">
        <f t="shared" si="53"/>
        <v>0</v>
      </c>
      <c r="FE47" s="858">
        <f t="shared" si="53"/>
        <v>0</v>
      </c>
      <c r="FF47" s="858">
        <f t="shared" si="53"/>
        <v>0</v>
      </c>
      <c r="FG47" s="858">
        <f t="shared" si="53"/>
        <v>0</v>
      </c>
      <c r="FH47" s="858">
        <f t="shared" si="53"/>
        <v>0</v>
      </c>
      <c r="FI47" s="858">
        <f t="shared" si="53"/>
        <v>0</v>
      </c>
      <c r="FJ47" s="858">
        <f t="shared" si="53"/>
        <v>0</v>
      </c>
      <c r="FK47" s="858">
        <f t="shared" si="53"/>
        <v>0</v>
      </c>
      <c r="FL47" s="858">
        <f t="shared" si="53"/>
        <v>0</v>
      </c>
      <c r="FM47" s="858">
        <f t="shared" si="53"/>
        <v>0</v>
      </c>
      <c r="FN47" s="858">
        <f t="shared" si="53"/>
        <v>0</v>
      </c>
      <c r="FO47" s="858">
        <f t="shared" si="53"/>
        <v>0</v>
      </c>
      <c r="FP47" s="858">
        <f t="shared" si="53"/>
        <v>0</v>
      </c>
      <c r="FQ47" s="858">
        <f>SUBTOTAL(9,FQ42:FQ46)</f>
        <v>0</v>
      </c>
      <c r="FR47" s="858">
        <f t="shared" ref="FR47:FV47" si="54">SUBTOTAL(9,FR42:FR46)</f>
        <v>0</v>
      </c>
      <c r="FS47" s="858">
        <f t="shared" si="54"/>
        <v>0</v>
      </c>
      <c r="FT47" s="858">
        <f t="shared" si="54"/>
        <v>0</v>
      </c>
      <c r="FU47" s="858">
        <f t="shared" si="54"/>
        <v>0</v>
      </c>
      <c r="FV47" s="858">
        <f t="shared" si="54"/>
        <v>0</v>
      </c>
      <c r="FW47" s="1433"/>
      <c r="FX47" s="1435"/>
      <c r="FY47" s="779"/>
      <c r="FZ47" s="862"/>
    </row>
    <row r="48" spans="3:184" ht="23.25" customHeight="1">
      <c r="C48" s="1480" t="s">
        <v>39</v>
      </c>
      <c r="D48" s="1476" t="s">
        <v>40</v>
      </c>
      <c r="E48" s="1476"/>
      <c r="F48" s="1476"/>
      <c r="G48" s="866" t="s">
        <v>1871</v>
      </c>
      <c r="H48" s="839"/>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39"/>
      <c r="AJ48" s="839"/>
      <c r="AK48" s="839"/>
      <c r="AL48" s="839"/>
      <c r="AM48" s="840">
        <f>'４．ガス単位換算_～R6工場現場'!AG56</f>
        <v>0</v>
      </c>
      <c r="AN48" s="840">
        <f>'４．ガス単位換算_～R6工場現場'!AH56</f>
        <v>0</v>
      </c>
      <c r="AO48" s="840">
        <f>'４．ガス単位換算_～R6工場現場'!AI56</f>
        <v>0</v>
      </c>
      <c r="AP48" s="840">
        <f>'４．ガス単位換算_～R6工場現場'!AJ56</f>
        <v>0</v>
      </c>
      <c r="AQ48" s="840">
        <f>'４．ガス単位換算_～R6工場現場'!AK56</f>
        <v>0</v>
      </c>
      <c r="AR48" s="840">
        <f>'４．ガス単位換算_～R6工場現場'!AL56</f>
        <v>0</v>
      </c>
      <c r="AS48" s="840">
        <f>'４．ガス単位換算_～R6工場現場'!AM56</f>
        <v>0</v>
      </c>
      <c r="AT48" s="840">
        <f>'４．ガス単位換算_～R6工場現場'!AN56</f>
        <v>0</v>
      </c>
      <c r="AU48" s="840">
        <f>'４．ガス単位換算_～R6工場現場'!AO56</f>
        <v>0</v>
      </c>
      <c r="AV48" s="840">
        <f>'４．ガス単位換算_～R6工場現場'!AP56</f>
        <v>0</v>
      </c>
      <c r="AW48" s="840">
        <f>'４．ガス単位換算_～R6工場現場'!AQ56</f>
        <v>0</v>
      </c>
      <c r="AX48" s="840">
        <f>'４．ガス単位換算_～R6工場現場'!AR56</f>
        <v>0</v>
      </c>
      <c r="AY48" s="840">
        <f>'４．ガス単位換算_～R6工場現場'!AS56</f>
        <v>0</v>
      </c>
      <c r="AZ48" s="840">
        <f>'４．ガス単位換算_～R6工場現場'!AT56</f>
        <v>0</v>
      </c>
      <c r="BA48" s="840">
        <f>'４．ガス単位換算_～R6工場現場'!AU56</f>
        <v>0</v>
      </c>
      <c r="BB48" s="840">
        <f>'４．ガス単位換算_～R6工場現場'!AV56</f>
        <v>0</v>
      </c>
      <c r="BC48" s="840">
        <f>'４．ガス単位換算_～R6工場現場'!AW56</f>
        <v>0</v>
      </c>
      <c r="BD48" s="840">
        <f>'４．ガス単位換算_～R6工場現場'!AX56</f>
        <v>0</v>
      </c>
      <c r="BE48" s="840">
        <f>'４．ガス単位換算_～R6工場現場'!AY56</f>
        <v>0</v>
      </c>
      <c r="BF48" s="840">
        <f>'４．ガス単位換算_～R6工場現場'!AZ56</f>
        <v>0</v>
      </c>
      <c r="BG48" s="840">
        <f>'４．ガス単位換算_～R6工場現場'!BA56</f>
        <v>0</v>
      </c>
      <c r="BH48" s="840">
        <f>'４．ガス単位換算_～R6工場現場'!BB56</f>
        <v>0</v>
      </c>
      <c r="BI48" s="840">
        <f>'４．ガス単位換算_～R6工場現場'!BC56</f>
        <v>0</v>
      </c>
      <c r="BJ48" s="840">
        <f t="shared" ref="BJ48:BY49" si="55">AM48</f>
        <v>0</v>
      </c>
      <c r="BK48" s="840">
        <f t="shared" si="55"/>
        <v>0</v>
      </c>
      <c r="BL48" s="840">
        <f t="shared" si="55"/>
        <v>0</v>
      </c>
      <c r="BM48" s="840">
        <f t="shared" si="55"/>
        <v>0</v>
      </c>
      <c r="BN48" s="840">
        <f t="shared" si="55"/>
        <v>0</v>
      </c>
      <c r="BO48" s="840">
        <f t="shared" si="55"/>
        <v>0</v>
      </c>
      <c r="BP48" s="840">
        <f t="shared" si="55"/>
        <v>0</v>
      </c>
      <c r="BQ48" s="840">
        <f t="shared" si="55"/>
        <v>0</v>
      </c>
      <c r="BR48" s="840">
        <f t="shared" si="55"/>
        <v>0</v>
      </c>
      <c r="BS48" s="840">
        <f t="shared" si="55"/>
        <v>0</v>
      </c>
      <c r="BT48" s="840">
        <f t="shared" si="55"/>
        <v>0</v>
      </c>
      <c r="BU48" s="840">
        <f t="shared" si="55"/>
        <v>0</v>
      </c>
      <c r="BV48" s="840">
        <f t="shared" si="55"/>
        <v>0</v>
      </c>
      <c r="BW48" s="840">
        <f t="shared" si="55"/>
        <v>0</v>
      </c>
      <c r="BX48" s="840">
        <f t="shared" si="55"/>
        <v>0</v>
      </c>
      <c r="BY48" s="840">
        <f t="shared" si="55"/>
        <v>0</v>
      </c>
      <c r="BZ48" s="840">
        <f t="shared" ref="BT48:CF49" si="56">BC48</f>
        <v>0</v>
      </c>
      <c r="CA48" s="840">
        <f t="shared" si="56"/>
        <v>0</v>
      </c>
      <c r="CB48" s="840">
        <f t="shared" si="56"/>
        <v>0</v>
      </c>
      <c r="CC48" s="840">
        <f t="shared" si="56"/>
        <v>0</v>
      </c>
      <c r="CD48" s="840">
        <f t="shared" si="56"/>
        <v>0</v>
      </c>
      <c r="CE48" s="840">
        <f t="shared" si="56"/>
        <v>0</v>
      </c>
      <c r="CF48" s="840">
        <f t="shared" si="56"/>
        <v>0</v>
      </c>
      <c r="CG48" s="840">
        <f>VLOOKUP($G48,$GB$6:$GC$15,2,FALSE)</f>
        <v>1</v>
      </c>
      <c r="CH48" s="841" t="s">
        <v>7</v>
      </c>
      <c r="CI48" s="840">
        <f t="shared" si="26"/>
        <v>0</v>
      </c>
      <c r="CJ48" s="840">
        <f t="shared" si="26"/>
        <v>0</v>
      </c>
      <c r="CK48" s="840">
        <f t="shared" si="26"/>
        <v>0</v>
      </c>
      <c r="CL48" s="840">
        <f t="shared" si="26"/>
        <v>0</v>
      </c>
      <c r="CM48" s="840">
        <f t="shared" si="26"/>
        <v>0</v>
      </c>
      <c r="CN48" s="840">
        <f t="shared" si="26"/>
        <v>0</v>
      </c>
      <c r="CO48" s="840">
        <f t="shared" si="26"/>
        <v>0</v>
      </c>
      <c r="CP48" s="840">
        <f t="shared" si="26"/>
        <v>0</v>
      </c>
      <c r="CQ48" s="840">
        <f t="shared" si="26"/>
        <v>0</v>
      </c>
      <c r="CR48" s="840">
        <f t="shared" si="26"/>
        <v>0</v>
      </c>
      <c r="CS48" s="840">
        <f t="shared" si="26"/>
        <v>0</v>
      </c>
      <c r="CT48" s="840">
        <f t="shared" si="26"/>
        <v>0</v>
      </c>
      <c r="CU48" s="840">
        <f t="shared" si="26"/>
        <v>0</v>
      </c>
      <c r="CV48" s="840">
        <f t="shared" si="26"/>
        <v>0</v>
      </c>
      <c r="CW48" s="840">
        <f t="shared" si="26"/>
        <v>0</v>
      </c>
      <c r="CX48" s="840">
        <f t="shared" si="26"/>
        <v>0</v>
      </c>
      <c r="CY48" s="840">
        <f t="shared" ref="CY48:DE49" si="57">ROUND(BZ48/$CG48,0)</f>
        <v>0</v>
      </c>
      <c r="CZ48" s="840">
        <f t="shared" si="57"/>
        <v>0</v>
      </c>
      <c r="DA48" s="840">
        <f t="shared" si="57"/>
        <v>0</v>
      </c>
      <c r="DB48" s="840">
        <f t="shared" si="57"/>
        <v>0</v>
      </c>
      <c r="DC48" s="840">
        <f t="shared" si="57"/>
        <v>0</v>
      </c>
      <c r="DD48" s="840">
        <f t="shared" si="57"/>
        <v>0</v>
      </c>
      <c r="DE48" s="840">
        <f t="shared" si="57"/>
        <v>0</v>
      </c>
      <c r="DF48" s="840">
        <f t="shared" ref="DF48:EB48" si="58">CI48</f>
        <v>0</v>
      </c>
      <c r="DG48" s="840">
        <f t="shared" si="58"/>
        <v>0</v>
      </c>
      <c r="DH48" s="840">
        <f t="shared" si="58"/>
        <v>0</v>
      </c>
      <c r="DI48" s="840">
        <f t="shared" si="58"/>
        <v>0</v>
      </c>
      <c r="DJ48" s="840">
        <f t="shared" si="58"/>
        <v>0</v>
      </c>
      <c r="DK48" s="840">
        <f t="shared" si="58"/>
        <v>0</v>
      </c>
      <c r="DL48" s="840">
        <f t="shared" si="58"/>
        <v>0</v>
      </c>
      <c r="DM48" s="840">
        <f t="shared" si="58"/>
        <v>0</v>
      </c>
      <c r="DN48" s="840">
        <f t="shared" si="58"/>
        <v>0</v>
      </c>
      <c r="DO48" s="840">
        <f t="shared" si="58"/>
        <v>0</v>
      </c>
      <c r="DP48" s="840">
        <f t="shared" si="58"/>
        <v>0</v>
      </c>
      <c r="DQ48" s="840">
        <f t="shared" si="58"/>
        <v>0</v>
      </c>
      <c r="DR48" s="840">
        <f t="shared" si="58"/>
        <v>0</v>
      </c>
      <c r="DS48" s="840">
        <f t="shared" si="58"/>
        <v>0</v>
      </c>
      <c r="DT48" s="840">
        <f t="shared" si="58"/>
        <v>0</v>
      </c>
      <c r="DU48" s="840">
        <f t="shared" si="58"/>
        <v>0</v>
      </c>
      <c r="DV48" s="840">
        <f t="shared" si="58"/>
        <v>0</v>
      </c>
      <c r="DW48" s="840">
        <f t="shared" si="58"/>
        <v>0</v>
      </c>
      <c r="DX48" s="840">
        <f t="shared" si="58"/>
        <v>0</v>
      </c>
      <c r="DY48" s="840">
        <f t="shared" si="58"/>
        <v>0</v>
      </c>
      <c r="DZ48" s="840">
        <f t="shared" si="58"/>
        <v>0</v>
      </c>
      <c r="EA48" s="840">
        <f t="shared" si="58"/>
        <v>0</v>
      </c>
      <c r="EB48" s="840">
        <f t="shared" si="58"/>
        <v>0</v>
      </c>
      <c r="EC48" s="852"/>
      <c r="ED48" s="852"/>
      <c r="EE48" s="852"/>
      <c r="EF48" s="852"/>
      <c r="EG48" s="852"/>
      <c r="EH48" s="852"/>
      <c r="EI48" s="852"/>
      <c r="EJ48" s="852"/>
      <c r="EK48" s="852"/>
      <c r="EL48" s="852"/>
      <c r="EM48" s="852"/>
      <c r="EN48" s="852"/>
      <c r="EO48" s="852"/>
      <c r="EP48" s="852"/>
      <c r="EQ48" s="852"/>
      <c r="ER48" s="852"/>
      <c r="ES48" s="852"/>
      <c r="ET48" s="852"/>
      <c r="EU48" s="852"/>
      <c r="EV48" s="852"/>
      <c r="EW48" s="852"/>
      <c r="EX48" s="852"/>
      <c r="EY48" s="852"/>
      <c r="EZ48" s="842">
        <f t="shared" ref="EZ48:FO49" si="59">IF(ISERROR(-ABS(CI48*$FY48)),"",(-ABS(CI48*$FY48)))</f>
        <v>0</v>
      </c>
      <c r="FA48" s="842">
        <f t="shared" si="59"/>
        <v>0</v>
      </c>
      <c r="FB48" s="842">
        <f t="shared" si="59"/>
        <v>0</v>
      </c>
      <c r="FC48" s="842">
        <f t="shared" si="59"/>
        <v>0</v>
      </c>
      <c r="FD48" s="842">
        <f t="shared" si="59"/>
        <v>0</v>
      </c>
      <c r="FE48" s="842">
        <f t="shared" si="59"/>
        <v>0</v>
      </c>
      <c r="FF48" s="842">
        <f t="shared" si="59"/>
        <v>0</v>
      </c>
      <c r="FG48" s="842">
        <f t="shared" si="59"/>
        <v>0</v>
      </c>
      <c r="FH48" s="842">
        <f t="shared" si="59"/>
        <v>0</v>
      </c>
      <c r="FI48" s="842">
        <f t="shared" si="59"/>
        <v>0</v>
      </c>
      <c r="FJ48" s="842">
        <f t="shared" si="59"/>
        <v>0</v>
      </c>
      <c r="FK48" s="842">
        <f t="shared" si="59"/>
        <v>0</v>
      </c>
      <c r="FL48" s="842">
        <f t="shared" si="59"/>
        <v>0</v>
      </c>
      <c r="FM48" s="842">
        <f t="shared" si="59"/>
        <v>0</v>
      </c>
      <c r="FN48" s="842">
        <f t="shared" si="59"/>
        <v>0</v>
      </c>
      <c r="FO48" s="842">
        <f t="shared" si="59"/>
        <v>0</v>
      </c>
      <c r="FP48" s="842">
        <f t="shared" ref="FJ48:FV49" si="60">IF(ISERROR(-ABS(CY48*$FY48)),"",(-ABS(CY48*$FY48)))</f>
        <v>0</v>
      </c>
      <c r="FQ48" s="842">
        <f t="shared" si="60"/>
        <v>0</v>
      </c>
      <c r="FR48" s="842">
        <f t="shared" si="60"/>
        <v>0</v>
      </c>
      <c r="FS48" s="842">
        <f t="shared" si="60"/>
        <v>0</v>
      </c>
      <c r="FT48" s="842">
        <f t="shared" si="60"/>
        <v>0</v>
      </c>
      <c r="FU48" s="842">
        <f t="shared" si="60"/>
        <v>0</v>
      </c>
      <c r="FV48" s="842">
        <f t="shared" si="60"/>
        <v>0</v>
      </c>
      <c r="FW48" s="1481"/>
      <c r="FX48" s="1481"/>
      <c r="FY48" s="867"/>
      <c r="FZ48" s="868"/>
    </row>
    <row r="49" spans="3:182" ht="23.25" customHeight="1">
      <c r="C49" s="1480"/>
      <c r="D49" s="1476" t="s">
        <v>41</v>
      </c>
      <c r="E49" s="1476"/>
      <c r="F49" s="1476"/>
      <c r="G49" s="866" t="s">
        <v>2237</v>
      </c>
      <c r="H49" s="839"/>
      <c r="I49" s="852"/>
      <c r="J49" s="852"/>
      <c r="K49" s="852"/>
      <c r="L49" s="852"/>
      <c r="M49" s="852"/>
      <c r="N49" s="852"/>
      <c r="O49" s="852"/>
      <c r="P49" s="852"/>
      <c r="Q49" s="852"/>
      <c r="R49" s="852"/>
      <c r="S49" s="852"/>
      <c r="T49" s="852"/>
      <c r="U49" s="852"/>
      <c r="V49" s="852"/>
      <c r="W49" s="852"/>
      <c r="X49" s="852"/>
      <c r="Y49" s="852"/>
      <c r="Z49" s="852"/>
      <c r="AA49" s="852"/>
      <c r="AB49" s="852"/>
      <c r="AC49" s="852"/>
      <c r="AD49" s="852"/>
      <c r="AE49" s="852"/>
      <c r="AF49" s="852"/>
      <c r="AG49" s="852"/>
      <c r="AH49" s="852"/>
      <c r="AI49" s="839"/>
      <c r="AJ49" s="839"/>
      <c r="AK49" s="839"/>
      <c r="AL49" s="839"/>
      <c r="AM49" s="840">
        <f>'４．ガス単位換算_～R6工場現場'!AG54</f>
        <v>0</v>
      </c>
      <c r="AN49" s="840">
        <f>'４．ガス単位換算_～R6工場現場'!AH54</f>
        <v>0</v>
      </c>
      <c r="AO49" s="840">
        <f>'４．ガス単位換算_～R6工場現場'!AI54</f>
        <v>0</v>
      </c>
      <c r="AP49" s="840">
        <f>'４．ガス単位換算_～R6工場現場'!AJ54</f>
        <v>0</v>
      </c>
      <c r="AQ49" s="840">
        <f>'４．ガス単位換算_～R6工場現場'!AK54</f>
        <v>0</v>
      </c>
      <c r="AR49" s="840">
        <f>'４．ガス単位換算_～R6工場現場'!AL54</f>
        <v>0</v>
      </c>
      <c r="AS49" s="840">
        <f>'４．ガス単位換算_～R6工場現場'!AM54</f>
        <v>0</v>
      </c>
      <c r="AT49" s="840">
        <f>'４．ガス単位換算_～R6工場現場'!AN54</f>
        <v>0</v>
      </c>
      <c r="AU49" s="840">
        <f>'４．ガス単位換算_～R6工場現場'!AO54</f>
        <v>0</v>
      </c>
      <c r="AV49" s="840">
        <f>'４．ガス単位換算_～R6工場現場'!AP54</f>
        <v>0</v>
      </c>
      <c r="AW49" s="840">
        <f>'４．ガス単位換算_～R6工場現場'!AQ54</f>
        <v>0</v>
      </c>
      <c r="AX49" s="840">
        <f>'４．ガス単位換算_～R6工場現場'!AR54</f>
        <v>0</v>
      </c>
      <c r="AY49" s="840">
        <f>'４．ガス単位換算_～R6工場現場'!AS54</f>
        <v>0</v>
      </c>
      <c r="AZ49" s="840">
        <f>'４．ガス単位換算_～R6工場現場'!AT54</f>
        <v>0</v>
      </c>
      <c r="BA49" s="840">
        <f>'４．ガス単位換算_～R6工場現場'!AU54</f>
        <v>0</v>
      </c>
      <c r="BB49" s="840">
        <f>'４．ガス単位換算_～R6工場現場'!AV54</f>
        <v>0</v>
      </c>
      <c r="BC49" s="840">
        <f>'４．ガス単位換算_～R6工場現場'!AW54</f>
        <v>0</v>
      </c>
      <c r="BD49" s="840">
        <f>'４．ガス単位換算_～R6工場現場'!AX54</f>
        <v>0</v>
      </c>
      <c r="BE49" s="840">
        <f>'４．ガス単位換算_～R6工場現場'!AY54</f>
        <v>0</v>
      </c>
      <c r="BF49" s="840">
        <f>'４．ガス単位換算_～R6工場現場'!AZ54</f>
        <v>0</v>
      </c>
      <c r="BG49" s="840">
        <f>'４．ガス単位換算_～R6工場現場'!BA54</f>
        <v>0</v>
      </c>
      <c r="BH49" s="840">
        <f>'４．ガス単位換算_～R6工場現場'!BB54</f>
        <v>0</v>
      </c>
      <c r="BI49" s="840">
        <f>'４．ガス単位換算_～R6工場現場'!BC54</f>
        <v>0</v>
      </c>
      <c r="BJ49" s="840">
        <f t="shared" si="55"/>
        <v>0</v>
      </c>
      <c r="BK49" s="840">
        <f t="shared" si="55"/>
        <v>0</v>
      </c>
      <c r="BL49" s="840">
        <f t="shared" si="55"/>
        <v>0</v>
      </c>
      <c r="BM49" s="840">
        <f t="shared" si="55"/>
        <v>0</v>
      </c>
      <c r="BN49" s="840">
        <f t="shared" si="55"/>
        <v>0</v>
      </c>
      <c r="BO49" s="840">
        <f t="shared" si="55"/>
        <v>0</v>
      </c>
      <c r="BP49" s="840">
        <f t="shared" si="55"/>
        <v>0</v>
      </c>
      <c r="BQ49" s="840">
        <f t="shared" si="55"/>
        <v>0</v>
      </c>
      <c r="BR49" s="840">
        <f t="shared" si="55"/>
        <v>0</v>
      </c>
      <c r="BS49" s="840">
        <f t="shared" si="55"/>
        <v>0</v>
      </c>
      <c r="BT49" s="840">
        <f t="shared" si="56"/>
        <v>0</v>
      </c>
      <c r="BU49" s="840">
        <f t="shared" si="56"/>
        <v>0</v>
      </c>
      <c r="BV49" s="840">
        <f t="shared" si="56"/>
        <v>0</v>
      </c>
      <c r="BW49" s="840">
        <f t="shared" si="56"/>
        <v>0</v>
      </c>
      <c r="BX49" s="840">
        <f t="shared" si="56"/>
        <v>0</v>
      </c>
      <c r="BY49" s="840">
        <f t="shared" si="56"/>
        <v>0</v>
      </c>
      <c r="BZ49" s="840">
        <f t="shared" si="56"/>
        <v>0</v>
      </c>
      <c r="CA49" s="840">
        <f t="shared" si="56"/>
        <v>0</v>
      </c>
      <c r="CB49" s="840">
        <f t="shared" si="56"/>
        <v>0</v>
      </c>
      <c r="CC49" s="840">
        <f t="shared" si="56"/>
        <v>0</v>
      </c>
      <c r="CD49" s="840">
        <f t="shared" si="56"/>
        <v>0</v>
      </c>
      <c r="CE49" s="840">
        <f t="shared" si="56"/>
        <v>0</v>
      </c>
      <c r="CF49" s="840">
        <f t="shared" si="56"/>
        <v>0</v>
      </c>
      <c r="CG49" s="840">
        <f>VLOOKUP($G49,$GB$6:$GC$17,2,FALSE)</f>
        <v>1</v>
      </c>
      <c r="CH49" s="841" t="s">
        <v>38</v>
      </c>
      <c r="CI49" s="840">
        <f t="shared" si="26"/>
        <v>0</v>
      </c>
      <c r="CJ49" s="840">
        <f t="shared" si="26"/>
        <v>0</v>
      </c>
      <c r="CK49" s="840">
        <f t="shared" si="26"/>
        <v>0</v>
      </c>
      <c r="CL49" s="840">
        <f t="shared" si="26"/>
        <v>0</v>
      </c>
      <c r="CM49" s="840">
        <f t="shared" si="26"/>
        <v>0</v>
      </c>
      <c r="CN49" s="840">
        <f t="shared" si="26"/>
        <v>0</v>
      </c>
      <c r="CO49" s="840">
        <f t="shared" si="26"/>
        <v>0</v>
      </c>
      <c r="CP49" s="840">
        <f t="shared" si="26"/>
        <v>0</v>
      </c>
      <c r="CQ49" s="840">
        <f t="shared" si="26"/>
        <v>0</v>
      </c>
      <c r="CR49" s="840">
        <f t="shared" si="26"/>
        <v>0</v>
      </c>
      <c r="CS49" s="840">
        <f t="shared" si="26"/>
        <v>0</v>
      </c>
      <c r="CT49" s="840">
        <f t="shared" si="26"/>
        <v>0</v>
      </c>
      <c r="CU49" s="840">
        <f t="shared" si="26"/>
        <v>0</v>
      </c>
      <c r="CV49" s="840">
        <f t="shared" si="26"/>
        <v>0</v>
      </c>
      <c r="CW49" s="840">
        <f t="shared" si="26"/>
        <v>0</v>
      </c>
      <c r="CX49" s="840">
        <f t="shared" si="26"/>
        <v>0</v>
      </c>
      <c r="CY49" s="840">
        <f t="shared" si="57"/>
        <v>0</v>
      </c>
      <c r="CZ49" s="840">
        <f t="shared" si="57"/>
        <v>0</v>
      </c>
      <c r="DA49" s="840">
        <f t="shared" si="57"/>
        <v>0</v>
      </c>
      <c r="DB49" s="840">
        <f t="shared" si="57"/>
        <v>0</v>
      </c>
      <c r="DC49" s="840">
        <f t="shared" si="57"/>
        <v>0</v>
      </c>
      <c r="DD49" s="840">
        <f t="shared" si="57"/>
        <v>0</v>
      </c>
      <c r="DE49" s="840">
        <f t="shared" si="57"/>
        <v>0</v>
      </c>
      <c r="DF49" s="852"/>
      <c r="DG49" s="852"/>
      <c r="DH49" s="852"/>
      <c r="DI49" s="852"/>
      <c r="DJ49" s="852"/>
      <c r="DK49" s="852"/>
      <c r="DL49" s="852"/>
      <c r="DM49" s="852"/>
      <c r="DN49" s="852"/>
      <c r="DO49" s="852"/>
      <c r="DP49" s="852"/>
      <c r="DQ49" s="852"/>
      <c r="DR49" s="852"/>
      <c r="DS49" s="852"/>
      <c r="DT49" s="852"/>
      <c r="DU49" s="852"/>
      <c r="DV49" s="852"/>
      <c r="DW49" s="852"/>
      <c r="DX49" s="852"/>
      <c r="DY49" s="852"/>
      <c r="DZ49" s="852"/>
      <c r="EA49" s="852"/>
      <c r="EB49" s="852"/>
      <c r="EC49" s="852"/>
      <c r="ED49" s="852"/>
      <c r="EE49" s="852"/>
      <c r="EF49" s="852"/>
      <c r="EG49" s="852"/>
      <c r="EH49" s="852"/>
      <c r="EI49" s="852"/>
      <c r="EJ49" s="852"/>
      <c r="EK49" s="852"/>
      <c r="EL49" s="852"/>
      <c r="EM49" s="852"/>
      <c r="EN49" s="852"/>
      <c r="EO49" s="852"/>
      <c r="EP49" s="852"/>
      <c r="EQ49" s="852"/>
      <c r="ER49" s="852"/>
      <c r="ES49" s="852"/>
      <c r="ET49" s="852"/>
      <c r="EU49" s="852"/>
      <c r="EV49" s="852"/>
      <c r="EW49" s="852"/>
      <c r="EX49" s="852"/>
      <c r="EY49" s="852"/>
      <c r="EZ49" s="842">
        <f t="shared" si="59"/>
        <v>0</v>
      </c>
      <c r="FA49" s="842">
        <f t="shared" si="59"/>
        <v>0</v>
      </c>
      <c r="FB49" s="842">
        <f t="shared" si="59"/>
        <v>0</v>
      </c>
      <c r="FC49" s="842">
        <f t="shared" si="59"/>
        <v>0</v>
      </c>
      <c r="FD49" s="842">
        <f t="shared" si="59"/>
        <v>0</v>
      </c>
      <c r="FE49" s="842">
        <f t="shared" si="59"/>
        <v>0</v>
      </c>
      <c r="FF49" s="842">
        <f t="shared" si="59"/>
        <v>0</v>
      </c>
      <c r="FG49" s="842">
        <f t="shared" si="59"/>
        <v>0</v>
      </c>
      <c r="FH49" s="842">
        <f t="shared" si="59"/>
        <v>0</v>
      </c>
      <c r="FI49" s="842">
        <f t="shared" si="59"/>
        <v>0</v>
      </c>
      <c r="FJ49" s="842">
        <f t="shared" si="60"/>
        <v>0</v>
      </c>
      <c r="FK49" s="842">
        <f t="shared" si="60"/>
        <v>0</v>
      </c>
      <c r="FL49" s="842">
        <f t="shared" si="60"/>
        <v>0</v>
      </c>
      <c r="FM49" s="842">
        <f t="shared" si="60"/>
        <v>0</v>
      </c>
      <c r="FN49" s="842">
        <f t="shared" si="60"/>
        <v>0</v>
      </c>
      <c r="FO49" s="842">
        <f t="shared" si="60"/>
        <v>0</v>
      </c>
      <c r="FP49" s="842">
        <f t="shared" si="60"/>
        <v>0</v>
      </c>
      <c r="FQ49" s="842">
        <f t="shared" si="60"/>
        <v>0</v>
      </c>
      <c r="FR49" s="842">
        <f t="shared" si="60"/>
        <v>0</v>
      </c>
      <c r="FS49" s="842">
        <f t="shared" si="60"/>
        <v>0</v>
      </c>
      <c r="FT49" s="842">
        <f t="shared" si="60"/>
        <v>0</v>
      </c>
      <c r="FU49" s="842">
        <f t="shared" si="60"/>
        <v>0</v>
      </c>
      <c r="FV49" s="842">
        <f t="shared" si="60"/>
        <v>0</v>
      </c>
      <c r="FW49" s="1481"/>
      <c r="FX49" s="1481"/>
      <c r="FY49" s="867"/>
      <c r="FZ49" s="868"/>
    </row>
    <row r="50" spans="3:182" ht="23.25" customHeight="1">
      <c r="C50" s="869"/>
      <c r="D50" s="1437" t="s">
        <v>2244</v>
      </c>
      <c r="E50" s="1438"/>
      <c r="F50" s="1439"/>
      <c r="G50" s="870"/>
      <c r="H50" s="871"/>
      <c r="I50" s="872"/>
      <c r="J50" s="872"/>
      <c r="K50" s="872"/>
      <c r="L50" s="872"/>
      <c r="M50" s="872"/>
      <c r="N50" s="872"/>
      <c r="O50" s="872"/>
      <c r="P50" s="872"/>
      <c r="Q50" s="872"/>
      <c r="R50" s="872"/>
      <c r="S50" s="872"/>
      <c r="T50" s="872"/>
      <c r="U50" s="872"/>
      <c r="V50" s="872"/>
      <c r="W50" s="872"/>
      <c r="X50" s="872"/>
      <c r="Y50" s="872"/>
      <c r="Z50" s="872"/>
      <c r="AA50" s="872"/>
      <c r="AB50" s="872"/>
      <c r="AC50" s="872"/>
      <c r="AD50" s="872"/>
      <c r="AE50" s="872"/>
      <c r="AF50" s="872"/>
      <c r="AG50" s="872"/>
      <c r="AH50" s="872"/>
      <c r="AI50" s="871"/>
      <c r="AJ50" s="871"/>
      <c r="AK50" s="871"/>
      <c r="AL50" s="871"/>
      <c r="AM50" s="873"/>
      <c r="AN50" s="873"/>
      <c r="AO50" s="873"/>
      <c r="AP50" s="873"/>
      <c r="AQ50" s="873"/>
      <c r="AR50" s="873"/>
      <c r="AS50" s="873"/>
      <c r="AT50" s="873"/>
      <c r="AU50" s="873"/>
      <c r="AV50" s="873"/>
      <c r="AW50" s="873"/>
      <c r="AX50" s="873"/>
      <c r="AY50" s="873"/>
      <c r="AZ50" s="873"/>
      <c r="BA50" s="873"/>
      <c r="BB50" s="873"/>
      <c r="BC50" s="873"/>
      <c r="BD50" s="873"/>
      <c r="BE50" s="873"/>
      <c r="BF50" s="873"/>
      <c r="BG50" s="873"/>
      <c r="BH50" s="873"/>
      <c r="BI50" s="873"/>
      <c r="BJ50" s="873"/>
      <c r="BK50" s="873"/>
      <c r="BL50" s="873"/>
      <c r="BM50" s="873"/>
      <c r="BN50" s="873"/>
      <c r="BO50" s="873"/>
      <c r="BP50" s="873"/>
      <c r="BQ50" s="873"/>
      <c r="BR50" s="873"/>
      <c r="BS50" s="873"/>
      <c r="BT50" s="873"/>
      <c r="BU50" s="873"/>
      <c r="BV50" s="873"/>
      <c r="BW50" s="873"/>
      <c r="BX50" s="873"/>
      <c r="BY50" s="873"/>
      <c r="BZ50" s="873"/>
      <c r="CA50" s="873"/>
      <c r="CB50" s="873"/>
      <c r="CC50" s="873"/>
      <c r="CD50" s="873"/>
      <c r="CE50" s="873"/>
      <c r="CF50" s="873"/>
      <c r="CG50" s="873"/>
      <c r="CH50" s="874"/>
      <c r="CI50" s="840"/>
      <c r="CJ50" s="840"/>
      <c r="CK50" s="840"/>
      <c r="CL50" s="840"/>
      <c r="CM50" s="840"/>
      <c r="CN50" s="840"/>
      <c r="CO50" s="840"/>
      <c r="CP50" s="840"/>
      <c r="CQ50" s="840"/>
      <c r="CR50" s="840"/>
      <c r="CS50" s="840"/>
      <c r="CT50" s="840"/>
      <c r="CU50" s="840"/>
      <c r="CV50" s="840"/>
      <c r="CW50" s="840"/>
      <c r="CX50" s="840"/>
      <c r="CY50" s="840"/>
      <c r="CZ50" s="840"/>
      <c r="DA50" s="840"/>
      <c r="DB50" s="840"/>
      <c r="DC50" s="840"/>
      <c r="DD50" s="840"/>
      <c r="DE50" s="840"/>
      <c r="DF50" s="872"/>
      <c r="DG50" s="872"/>
      <c r="DH50" s="872"/>
      <c r="DI50" s="872"/>
      <c r="DJ50" s="872"/>
      <c r="DK50" s="872"/>
      <c r="DL50" s="872"/>
      <c r="DM50" s="872"/>
      <c r="DN50" s="872"/>
      <c r="DO50" s="872"/>
      <c r="DP50" s="872"/>
      <c r="DQ50" s="872"/>
      <c r="DR50" s="872"/>
      <c r="DS50" s="872"/>
      <c r="DT50" s="872"/>
      <c r="DU50" s="872"/>
      <c r="DV50" s="872"/>
      <c r="DW50" s="872"/>
      <c r="DX50" s="872"/>
      <c r="DY50" s="872"/>
      <c r="DZ50" s="872"/>
      <c r="EA50" s="872"/>
      <c r="EB50" s="872"/>
      <c r="EC50" s="872"/>
      <c r="ED50" s="872"/>
      <c r="EE50" s="872"/>
      <c r="EF50" s="872"/>
      <c r="EG50" s="872"/>
      <c r="EH50" s="872"/>
      <c r="EI50" s="872"/>
      <c r="EJ50" s="872"/>
      <c r="EK50" s="872"/>
      <c r="EL50" s="872"/>
      <c r="EM50" s="872"/>
      <c r="EN50" s="872"/>
      <c r="EO50" s="872"/>
      <c r="EP50" s="872"/>
      <c r="EQ50" s="872"/>
      <c r="ER50" s="872"/>
      <c r="ES50" s="872"/>
      <c r="ET50" s="872"/>
      <c r="EU50" s="872"/>
      <c r="EV50" s="872"/>
      <c r="EW50" s="872"/>
      <c r="EX50" s="872"/>
      <c r="EY50" s="872"/>
      <c r="EZ50" s="858">
        <f>SUBTOTAL(9,EZ48:EZ49)</f>
        <v>0</v>
      </c>
      <c r="FA50" s="858">
        <f t="shared" ref="FA50:FV50" si="61">SUBTOTAL(9,FA48:FA49)</f>
        <v>0</v>
      </c>
      <c r="FB50" s="858">
        <f t="shared" si="61"/>
        <v>0</v>
      </c>
      <c r="FC50" s="858">
        <f t="shared" si="61"/>
        <v>0</v>
      </c>
      <c r="FD50" s="858">
        <f t="shared" si="61"/>
        <v>0</v>
      </c>
      <c r="FE50" s="858">
        <f t="shared" si="61"/>
        <v>0</v>
      </c>
      <c r="FF50" s="858">
        <f t="shared" si="61"/>
        <v>0</v>
      </c>
      <c r="FG50" s="858">
        <f t="shared" si="61"/>
        <v>0</v>
      </c>
      <c r="FH50" s="858">
        <f t="shared" si="61"/>
        <v>0</v>
      </c>
      <c r="FI50" s="858">
        <f t="shared" si="61"/>
        <v>0</v>
      </c>
      <c r="FJ50" s="858">
        <f t="shared" si="61"/>
        <v>0</v>
      </c>
      <c r="FK50" s="858">
        <f t="shared" si="61"/>
        <v>0</v>
      </c>
      <c r="FL50" s="858">
        <f t="shared" si="61"/>
        <v>0</v>
      </c>
      <c r="FM50" s="858">
        <f t="shared" si="61"/>
        <v>0</v>
      </c>
      <c r="FN50" s="858">
        <f t="shared" si="61"/>
        <v>0</v>
      </c>
      <c r="FO50" s="858">
        <f t="shared" si="61"/>
        <v>0</v>
      </c>
      <c r="FP50" s="858">
        <f t="shared" si="61"/>
        <v>0</v>
      </c>
      <c r="FQ50" s="858">
        <f t="shared" si="61"/>
        <v>0</v>
      </c>
      <c r="FR50" s="858">
        <f t="shared" si="61"/>
        <v>0</v>
      </c>
      <c r="FS50" s="858">
        <f t="shared" si="61"/>
        <v>0</v>
      </c>
      <c r="FT50" s="858">
        <f t="shared" si="61"/>
        <v>0</v>
      </c>
      <c r="FU50" s="858">
        <f t="shared" si="61"/>
        <v>0</v>
      </c>
      <c r="FV50" s="858">
        <f t="shared" si="61"/>
        <v>0</v>
      </c>
      <c r="FW50" s="1433"/>
      <c r="FX50" s="1435"/>
      <c r="FY50" s="875"/>
      <c r="FZ50" s="876"/>
    </row>
    <row r="51" spans="3:182" ht="23.25" customHeight="1">
      <c r="C51" s="877"/>
      <c r="D51" s="1476" t="s">
        <v>2256</v>
      </c>
      <c r="E51" s="1476"/>
      <c r="F51" s="1476"/>
      <c r="G51" s="878" t="s">
        <v>2257</v>
      </c>
      <c r="H51" s="839"/>
      <c r="I51" s="802"/>
      <c r="J51" s="802"/>
      <c r="K51" s="802"/>
      <c r="L51" s="802"/>
      <c r="M51" s="802"/>
      <c r="N51" s="802"/>
      <c r="O51" s="802"/>
      <c r="P51" s="802"/>
      <c r="Q51" s="802"/>
      <c r="R51" s="802"/>
      <c r="S51" s="802"/>
      <c r="T51" s="879"/>
      <c r="U51" s="879"/>
      <c r="V51" s="879"/>
      <c r="W51" s="879"/>
      <c r="X51" s="879"/>
      <c r="Y51" s="879"/>
      <c r="Z51" s="879"/>
      <c r="AA51" s="879"/>
      <c r="AB51" s="879"/>
      <c r="AC51" s="879"/>
      <c r="AD51" s="879"/>
      <c r="AE51" s="879"/>
      <c r="AF51" s="879"/>
      <c r="AG51" s="879"/>
      <c r="AH51" s="879"/>
      <c r="AI51" s="839"/>
      <c r="AJ51" s="880"/>
      <c r="AK51" s="880"/>
      <c r="AL51" s="880"/>
      <c r="AM51" s="852"/>
      <c r="AN51" s="852"/>
      <c r="AO51" s="852"/>
      <c r="AP51" s="852"/>
      <c r="AQ51" s="852"/>
      <c r="AR51" s="852"/>
      <c r="AS51" s="852"/>
      <c r="AT51" s="852"/>
      <c r="AU51" s="852"/>
      <c r="AV51" s="852"/>
      <c r="AW51" s="852"/>
      <c r="AX51" s="852"/>
      <c r="AY51" s="852"/>
      <c r="AZ51" s="852"/>
      <c r="BA51" s="852"/>
      <c r="BB51" s="852"/>
      <c r="BC51" s="852"/>
      <c r="BD51" s="852"/>
      <c r="BE51" s="852"/>
      <c r="BF51" s="852"/>
      <c r="BG51" s="852"/>
      <c r="BH51" s="852"/>
      <c r="BI51" s="852"/>
      <c r="BJ51" s="881"/>
      <c r="BK51" s="881"/>
      <c r="BL51" s="881"/>
      <c r="BM51" s="881"/>
      <c r="BN51" s="881"/>
      <c r="BO51" s="881"/>
      <c r="BP51" s="881"/>
      <c r="BQ51" s="881"/>
      <c r="BR51" s="881"/>
      <c r="BS51" s="881"/>
      <c r="BT51" s="881"/>
      <c r="BU51" s="881"/>
      <c r="BV51" s="881"/>
      <c r="BW51" s="881"/>
      <c r="BX51" s="881"/>
      <c r="BY51" s="881"/>
      <c r="BZ51" s="881"/>
      <c r="CA51" s="881"/>
      <c r="CB51" s="881"/>
      <c r="CC51" s="881"/>
      <c r="CD51" s="881"/>
      <c r="CE51" s="881"/>
      <c r="CF51" s="881"/>
      <c r="CG51" s="802">
        <v>1</v>
      </c>
      <c r="CH51" s="882" t="s">
        <v>2258</v>
      </c>
      <c r="CI51" s="840">
        <f t="shared" ref="CI51:CX52" si="62">ROUND(BJ51/$CG51,0)</f>
        <v>0</v>
      </c>
      <c r="CJ51" s="840">
        <f t="shared" si="62"/>
        <v>0</v>
      </c>
      <c r="CK51" s="840">
        <f t="shared" si="62"/>
        <v>0</v>
      </c>
      <c r="CL51" s="840">
        <f t="shared" si="62"/>
        <v>0</v>
      </c>
      <c r="CM51" s="840">
        <f t="shared" si="62"/>
        <v>0</v>
      </c>
      <c r="CN51" s="840">
        <f t="shared" si="62"/>
        <v>0</v>
      </c>
      <c r="CO51" s="840">
        <f t="shared" si="62"/>
        <v>0</v>
      </c>
      <c r="CP51" s="840">
        <f t="shared" si="62"/>
        <v>0</v>
      </c>
      <c r="CQ51" s="840">
        <f t="shared" si="62"/>
        <v>0</v>
      </c>
      <c r="CR51" s="840">
        <f t="shared" si="62"/>
        <v>0</v>
      </c>
      <c r="CS51" s="840">
        <f t="shared" si="62"/>
        <v>0</v>
      </c>
      <c r="CT51" s="840">
        <f t="shared" si="62"/>
        <v>0</v>
      </c>
      <c r="CU51" s="840">
        <f t="shared" si="62"/>
        <v>0</v>
      </c>
      <c r="CV51" s="840">
        <f t="shared" si="62"/>
        <v>0</v>
      </c>
      <c r="CW51" s="840">
        <f t="shared" si="62"/>
        <v>0</v>
      </c>
      <c r="CX51" s="840">
        <f t="shared" si="62"/>
        <v>0</v>
      </c>
      <c r="CY51" s="840">
        <f t="shared" ref="CY51:DE52" si="63">ROUND(BZ51/$CG51,0)</f>
        <v>0</v>
      </c>
      <c r="CZ51" s="840">
        <f t="shared" si="63"/>
        <v>0</v>
      </c>
      <c r="DA51" s="840">
        <f t="shared" si="63"/>
        <v>0</v>
      </c>
      <c r="DB51" s="840">
        <f t="shared" si="63"/>
        <v>0</v>
      </c>
      <c r="DC51" s="840">
        <f t="shared" si="63"/>
        <v>0</v>
      </c>
      <c r="DD51" s="840">
        <f t="shared" si="63"/>
        <v>0</v>
      </c>
      <c r="DE51" s="840">
        <f t="shared" si="63"/>
        <v>0</v>
      </c>
      <c r="DF51" s="852"/>
      <c r="DG51" s="852"/>
      <c r="DH51" s="852"/>
      <c r="DI51" s="852"/>
      <c r="DJ51" s="852"/>
      <c r="DK51" s="852"/>
      <c r="DL51" s="852"/>
      <c r="DM51" s="852"/>
      <c r="DN51" s="852"/>
      <c r="DO51" s="852"/>
      <c r="DP51" s="852"/>
      <c r="DQ51" s="852"/>
      <c r="DR51" s="852"/>
      <c r="DS51" s="852"/>
      <c r="DT51" s="852"/>
      <c r="DU51" s="852"/>
      <c r="DV51" s="852"/>
      <c r="DW51" s="852"/>
      <c r="DX51" s="852"/>
      <c r="DY51" s="852"/>
      <c r="DZ51" s="852"/>
      <c r="EA51" s="852"/>
      <c r="EB51" s="852"/>
      <c r="EC51" s="852"/>
      <c r="ED51" s="852"/>
      <c r="EE51" s="852"/>
      <c r="EF51" s="852"/>
      <c r="EG51" s="852"/>
      <c r="EH51" s="852"/>
      <c r="EI51" s="852"/>
      <c r="EJ51" s="852"/>
      <c r="EK51" s="852"/>
      <c r="EL51" s="852"/>
      <c r="EM51" s="852"/>
      <c r="EN51" s="852"/>
      <c r="EO51" s="852"/>
      <c r="EP51" s="852"/>
      <c r="EQ51" s="852"/>
      <c r="ER51" s="852"/>
      <c r="ES51" s="852"/>
      <c r="ET51" s="852"/>
      <c r="EU51" s="852"/>
      <c r="EV51" s="852"/>
      <c r="EW51" s="852"/>
      <c r="EX51" s="852"/>
      <c r="EY51" s="852"/>
      <c r="EZ51" s="842">
        <f t="shared" ref="EZ51:FO52" si="64">-ABS(L51)</f>
        <v>0</v>
      </c>
      <c r="FA51" s="842">
        <f t="shared" si="64"/>
        <v>0</v>
      </c>
      <c r="FB51" s="842">
        <f t="shared" si="64"/>
        <v>0</v>
      </c>
      <c r="FC51" s="842">
        <f t="shared" si="64"/>
        <v>0</v>
      </c>
      <c r="FD51" s="842">
        <f t="shared" si="64"/>
        <v>0</v>
      </c>
      <c r="FE51" s="842">
        <f t="shared" si="64"/>
        <v>0</v>
      </c>
      <c r="FF51" s="842">
        <f t="shared" si="64"/>
        <v>0</v>
      </c>
      <c r="FG51" s="842">
        <f t="shared" si="64"/>
        <v>0</v>
      </c>
      <c r="FH51" s="842">
        <f t="shared" si="64"/>
        <v>0</v>
      </c>
      <c r="FI51" s="842">
        <f t="shared" si="64"/>
        <v>0</v>
      </c>
      <c r="FJ51" s="842">
        <f t="shared" si="64"/>
        <v>0</v>
      </c>
      <c r="FK51" s="842">
        <f t="shared" si="64"/>
        <v>0</v>
      </c>
      <c r="FL51" s="842">
        <f t="shared" si="64"/>
        <v>0</v>
      </c>
      <c r="FM51" s="842">
        <f t="shared" si="64"/>
        <v>0</v>
      </c>
      <c r="FN51" s="842">
        <f t="shared" si="64"/>
        <v>0</v>
      </c>
      <c r="FO51" s="842">
        <f t="shared" si="64"/>
        <v>0</v>
      </c>
      <c r="FP51" s="842">
        <f t="shared" ref="FP51:FV52" si="65">-ABS(AB51)</f>
        <v>0</v>
      </c>
      <c r="FQ51" s="842">
        <f t="shared" si="65"/>
        <v>0</v>
      </c>
      <c r="FR51" s="842">
        <f t="shared" si="65"/>
        <v>0</v>
      </c>
      <c r="FS51" s="842">
        <f t="shared" si="65"/>
        <v>0</v>
      </c>
      <c r="FT51" s="842">
        <f t="shared" si="65"/>
        <v>0</v>
      </c>
      <c r="FU51" s="842">
        <f t="shared" si="65"/>
        <v>0</v>
      </c>
      <c r="FV51" s="842">
        <f t="shared" si="65"/>
        <v>0</v>
      </c>
      <c r="FW51" s="1477"/>
      <c r="FX51" s="1477"/>
      <c r="FY51" s="883"/>
      <c r="FZ51" s="884"/>
    </row>
    <row r="52" spans="3:182" ht="23.25" customHeight="1" thickBot="1">
      <c r="C52" s="885"/>
      <c r="D52" s="1478" t="s">
        <v>2259</v>
      </c>
      <c r="E52" s="1478"/>
      <c r="F52" s="1478"/>
      <c r="G52" s="886" t="s">
        <v>2257</v>
      </c>
      <c r="H52" s="887"/>
      <c r="I52" s="888"/>
      <c r="J52" s="888"/>
      <c r="K52" s="888"/>
      <c r="L52" s="888"/>
      <c r="M52" s="888"/>
      <c r="N52" s="888"/>
      <c r="O52" s="888"/>
      <c r="P52" s="888"/>
      <c r="Q52" s="888"/>
      <c r="R52" s="888"/>
      <c r="S52" s="888"/>
      <c r="T52" s="889"/>
      <c r="U52" s="889"/>
      <c r="V52" s="889"/>
      <c r="W52" s="889"/>
      <c r="X52" s="889"/>
      <c r="Y52" s="889"/>
      <c r="Z52" s="889"/>
      <c r="AA52" s="889"/>
      <c r="AB52" s="889"/>
      <c r="AC52" s="889"/>
      <c r="AD52" s="889"/>
      <c r="AE52" s="889"/>
      <c r="AF52" s="889"/>
      <c r="AG52" s="889"/>
      <c r="AH52" s="889"/>
      <c r="AI52" s="887"/>
      <c r="AJ52" s="890"/>
      <c r="AK52" s="890"/>
      <c r="AL52" s="890"/>
      <c r="AM52" s="891"/>
      <c r="AN52" s="891"/>
      <c r="AO52" s="891"/>
      <c r="AP52" s="891"/>
      <c r="AQ52" s="891"/>
      <c r="AR52" s="891"/>
      <c r="AS52" s="891"/>
      <c r="AT52" s="891"/>
      <c r="AU52" s="891"/>
      <c r="AV52" s="891"/>
      <c r="AW52" s="891"/>
      <c r="AX52" s="891"/>
      <c r="AY52" s="891"/>
      <c r="AZ52" s="891"/>
      <c r="BA52" s="891"/>
      <c r="BB52" s="891"/>
      <c r="BC52" s="891"/>
      <c r="BD52" s="891"/>
      <c r="BE52" s="891"/>
      <c r="BF52" s="891"/>
      <c r="BG52" s="891"/>
      <c r="BH52" s="891"/>
      <c r="BI52" s="891"/>
      <c r="BJ52" s="892"/>
      <c r="BK52" s="892"/>
      <c r="BL52" s="892"/>
      <c r="BM52" s="892"/>
      <c r="BN52" s="892"/>
      <c r="BO52" s="892"/>
      <c r="BP52" s="892"/>
      <c r="BQ52" s="892"/>
      <c r="BR52" s="892"/>
      <c r="BS52" s="892"/>
      <c r="BT52" s="892"/>
      <c r="BU52" s="892"/>
      <c r="BV52" s="892"/>
      <c r="BW52" s="892"/>
      <c r="BX52" s="892"/>
      <c r="BY52" s="892"/>
      <c r="BZ52" s="892"/>
      <c r="CA52" s="892"/>
      <c r="CB52" s="892"/>
      <c r="CC52" s="892"/>
      <c r="CD52" s="892"/>
      <c r="CE52" s="892"/>
      <c r="CF52" s="892"/>
      <c r="CG52" s="888">
        <v>1</v>
      </c>
      <c r="CH52" s="893" t="s">
        <v>2258</v>
      </c>
      <c r="CI52" s="894">
        <f t="shared" si="26"/>
        <v>0</v>
      </c>
      <c r="CJ52" s="894">
        <f t="shared" si="62"/>
        <v>0</v>
      </c>
      <c r="CK52" s="894">
        <f t="shared" si="62"/>
        <v>0</v>
      </c>
      <c r="CL52" s="894">
        <f t="shared" si="62"/>
        <v>0</v>
      </c>
      <c r="CM52" s="894">
        <f t="shared" si="62"/>
        <v>0</v>
      </c>
      <c r="CN52" s="894">
        <f t="shared" si="62"/>
        <v>0</v>
      </c>
      <c r="CO52" s="894">
        <f t="shared" si="62"/>
        <v>0</v>
      </c>
      <c r="CP52" s="894">
        <f t="shared" si="62"/>
        <v>0</v>
      </c>
      <c r="CQ52" s="894">
        <f t="shared" si="62"/>
        <v>0</v>
      </c>
      <c r="CR52" s="894">
        <f t="shared" si="62"/>
        <v>0</v>
      </c>
      <c r="CS52" s="894">
        <f t="shared" si="62"/>
        <v>0</v>
      </c>
      <c r="CT52" s="894">
        <f t="shared" si="62"/>
        <v>0</v>
      </c>
      <c r="CU52" s="894">
        <f t="shared" si="62"/>
        <v>0</v>
      </c>
      <c r="CV52" s="894">
        <f t="shared" si="62"/>
        <v>0</v>
      </c>
      <c r="CW52" s="894">
        <f t="shared" si="62"/>
        <v>0</v>
      </c>
      <c r="CX52" s="894">
        <f t="shared" si="62"/>
        <v>0</v>
      </c>
      <c r="CY52" s="894">
        <f t="shared" si="63"/>
        <v>0</v>
      </c>
      <c r="CZ52" s="894">
        <f t="shared" si="63"/>
        <v>0</v>
      </c>
      <c r="DA52" s="894">
        <f t="shared" si="63"/>
        <v>0</v>
      </c>
      <c r="DB52" s="894">
        <f t="shared" si="63"/>
        <v>0</v>
      </c>
      <c r="DC52" s="894">
        <f t="shared" si="63"/>
        <v>0</v>
      </c>
      <c r="DD52" s="894">
        <f t="shared" si="63"/>
        <v>0</v>
      </c>
      <c r="DE52" s="894">
        <f t="shared" si="63"/>
        <v>0</v>
      </c>
      <c r="DF52" s="891"/>
      <c r="DG52" s="891"/>
      <c r="DH52" s="891"/>
      <c r="DI52" s="891"/>
      <c r="DJ52" s="891"/>
      <c r="DK52" s="891"/>
      <c r="DL52" s="891"/>
      <c r="DM52" s="891"/>
      <c r="DN52" s="891"/>
      <c r="DO52" s="891"/>
      <c r="DP52" s="891"/>
      <c r="DQ52" s="891"/>
      <c r="DR52" s="891"/>
      <c r="DS52" s="891"/>
      <c r="DT52" s="891"/>
      <c r="DU52" s="891"/>
      <c r="DV52" s="891"/>
      <c r="DW52" s="891"/>
      <c r="DX52" s="891"/>
      <c r="DY52" s="891"/>
      <c r="DZ52" s="891"/>
      <c r="EA52" s="891"/>
      <c r="EB52" s="891"/>
      <c r="EC52" s="891"/>
      <c r="ED52" s="891"/>
      <c r="EE52" s="891"/>
      <c r="EF52" s="891"/>
      <c r="EG52" s="891"/>
      <c r="EH52" s="891"/>
      <c r="EI52" s="891"/>
      <c r="EJ52" s="891"/>
      <c r="EK52" s="891"/>
      <c r="EL52" s="891"/>
      <c r="EM52" s="891"/>
      <c r="EN52" s="891"/>
      <c r="EO52" s="891"/>
      <c r="EP52" s="891"/>
      <c r="EQ52" s="891"/>
      <c r="ER52" s="891"/>
      <c r="ES52" s="891"/>
      <c r="ET52" s="891"/>
      <c r="EU52" s="891"/>
      <c r="EV52" s="891"/>
      <c r="EW52" s="891"/>
      <c r="EX52" s="891"/>
      <c r="EY52" s="891"/>
      <c r="EZ52" s="895">
        <f t="shared" si="64"/>
        <v>0</v>
      </c>
      <c r="FA52" s="895">
        <f t="shared" si="64"/>
        <v>0</v>
      </c>
      <c r="FB52" s="895">
        <f t="shared" si="64"/>
        <v>0</v>
      </c>
      <c r="FC52" s="895">
        <f t="shared" si="64"/>
        <v>0</v>
      </c>
      <c r="FD52" s="895">
        <f t="shared" si="64"/>
        <v>0</v>
      </c>
      <c r="FE52" s="895">
        <f t="shared" si="64"/>
        <v>0</v>
      </c>
      <c r="FF52" s="895">
        <f t="shared" si="64"/>
        <v>0</v>
      </c>
      <c r="FG52" s="895">
        <f t="shared" si="64"/>
        <v>0</v>
      </c>
      <c r="FH52" s="895">
        <f t="shared" si="64"/>
        <v>0</v>
      </c>
      <c r="FI52" s="895">
        <f t="shared" si="64"/>
        <v>0</v>
      </c>
      <c r="FJ52" s="895">
        <f t="shared" si="64"/>
        <v>0</v>
      </c>
      <c r="FK52" s="895">
        <f t="shared" si="64"/>
        <v>0</v>
      </c>
      <c r="FL52" s="895">
        <f t="shared" si="64"/>
        <v>0</v>
      </c>
      <c r="FM52" s="895">
        <f t="shared" si="64"/>
        <v>0</v>
      </c>
      <c r="FN52" s="895">
        <f t="shared" si="64"/>
        <v>0</v>
      </c>
      <c r="FO52" s="895">
        <f t="shared" si="64"/>
        <v>0</v>
      </c>
      <c r="FP52" s="895">
        <f t="shared" si="65"/>
        <v>0</v>
      </c>
      <c r="FQ52" s="895">
        <f t="shared" si="65"/>
        <v>0</v>
      </c>
      <c r="FR52" s="895">
        <f t="shared" si="65"/>
        <v>0</v>
      </c>
      <c r="FS52" s="895">
        <f t="shared" si="65"/>
        <v>0</v>
      </c>
      <c r="FT52" s="895">
        <f t="shared" si="65"/>
        <v>0</v>
      </c>
      <c r="FU52" s="895">
        <f t="shared" si="65"/>
        <v>0</v>
      </c>
      <c r="FV52" s="895">
        <f t="shared" si="65"/>
        <v>0</v>
      </c>
      <c r="FW52" s="1479"/>
      <c r="FX52" s="1479"/>
      <c r="FY52" s="896"/>
      <c r="FZ52" s="897"/>
    </row>
    <row r="53" spans="3:182" ht="23.25" customHeight="1" thickTop="1" thickBot="1">
      <c r="C53" s="898"/>
      <c r="D53" s="1475" t="s">
        <v>2260</v>
      </c>
      <c r="E53" s="1475"/>
      <c r="F53" s="1475"/>
      <c r="G53" s="899"/>
      <c r="H53" s="900"/>
      <c r="I53" s="900"/>
      <c r="J53" s="900"/>
      <c r="K53" s="900"/>
      <c r="L53" s="900">
        <f>L35+L41+L47+L50</f>
        <v>0</v>
      </c>
      <c r="M53" s="900">
        <f t="shared" ref="M53:BI53" si="66">M35+M41+M47+M50</f>
        <v>0</v>
      </c>
      <c r="N53" s="900">
        <f t="shared" si="66"/>
        <v>0</v>
      </c>
      <c r="O53" s="900">
        <f t="shared" si="66"/>
        <v>0</v>
      </c>
      <c r="P53" s="900">
        <f t="shared" si="66"/>
        <v>0</v>
      </c>
      <c r="Q53" s="900">
        <f t="shared" si="66"/>
        <v>0</v>
      </c>
      <c r="R53" s="900">
        <f t="shared" si="66"/>
        <v>0</v>
      </c>
      <c r="S53" s="900">
        <f t="shared" si="66"/>
        <v>0</v>
      </c>
      <c r="T53" s="900">
        <f t="shared" si="66"/>
        <v>0</v>
      </c>
      <c r="U53" s="900">
        <f t="shared" si="66"/>
        <v>0</v>
      </c>
      <c r="V53" s="900">
        <f t="shared" si="66"/>
        <v>0</v>
      </c>
      <c r="W53" s="900">
        <f t="shared" si="66"/>
        <v>0</v>
      </c>
      <c r="X53" s="900">
        <f t="shared" si="66"/>
        <v>0</v>
      </c>
      <c r="Y53" s="900">
        <f t="shared" si="66"/>
        <v>0</v>
      </c>
      <c r="Z53" s="900">
        <f t="shared" si="66"/>
        <v>0</v>
      </c>
      <c r="AA53" s="900">
        <f t="shared" si="66"/>
        <v>0</v>
      </c>
      <c r="AB53" s="900">
        <f t="shared" si="66"/>
        <v>0</v>
      </c>
      <c r="AC53" s="900">
        <f t="shared" si="66"/>
        <v>0</v>
      </c>
      <c r="AD53" s="900">
        <f t="shared" si="66"/>
        <v>0</v>
      </c>
      <c r="AE53" s="900">
        <f t="shared" si="66"/>
        <v>0</v>
      </c>
      <c r="AF53" s="900">
        <f t="shared" si="66"/>
        <v>0</v>
      </c>
      <c r="AG53" s="900">
        <f t="shared" si="66"/>
        <v>0</v>
      </c>
      <c r="AH53" s="900">
        <f t="shared" si="66"/>
        <v>0</v>
      </c>
      <c r="AI53" s="900">
        <f t="shared" si="66"/>
        <v>0</v>
      </c>
      <c r="AJ53" s="900">
        <f t="shared" si="66"/>
        <v>0</v>
      </c>
      <c r="AK53" s="900">
        <f t="shared" si="66"/>
        <v>0</v>
      </c>
      <c r="AL53" s="900">
        <f t="shared" si="66"/>
        <v>0</v>
      </c>
      <c r="AM53" s="900">
        <f t="shared" si="66"/>
        <v>0</v>
      </c>
      <c r="AN53" s="900">
        <f t="shared" si="66"/>
        <v>0</v>
      </c>
      <c r="AO53" s="900">
        <f t="shared" si="66"/>
        <v>0</v>
      </c>
      <c r="AP53" s="900">
        <f t="shared" si="66"/>
        <v>0</v>
      </c>
      <c r="AQ53" s="900">
        <f t="shared" si="66"/>
        <v>0</v>
      </c>
      <c r="AR53" s="900">
        <f t="shared" si="66"/>
        <v>0</v>
      </c>
      <c r="AS53" s="900">
        <f t="shared" si="66"/>
        <v>0</v>
      </c>
      <c r="AT53" s="900">
        <f t="shared" si="66"/>
        <v>0</v>
      </c>
      <c r="AU53" s="900">
        <f t="shared" si="66"/>
        <v>0</v>
      </c>
      <c r="AV53" s="900">
        <f t="shared" si="66"/>
        <v>0</v>
      </c>
      <c r="AW53" s="900">
        <f t="shared" si="66"/>
        <v>0</v>
      </c>
      <c r="AX53" s="900">
        <f t="shared" si="66"/>
        <v>0</v>
      </c>
      <c r="AY53" s="900">
        <f t="shared" si="66"/>
        <v>0</v>
      </c>
      <c r="AZ53" s="900">
        <f t="shared" si="66"/>
        <v>0</v>
      </c>
      <c r="BA53" s="900">
        <f t="shared" si="66"/>
        <v>0</v>
      </c>
      <c r="BB53" s="900">
        <f t="shared" si="66"/>
        <v>0</v>
      </c>
      <c r="BC53" s="900">
        <f t="shared" si="66"/>
        <v>0</v>
      </c>
      <c r="BD53" s="900">
        <f t="shared" si="66"/>
        <v>0</v>
      </c>
      <c r="BE53" s="900">
        <f t="shared" si="66"/>
        <v>0</v>
      </c>
      <c r="BF53" s="900">
        <f t="shared" si="66"/>
        <v>0</v>
      </c>
      <c r="BG53" s="900">
        <f t="shared" si="66"/>
        <v>0</v>
      </c>
      <c r="BH53" s="900">
        <f t="shared" si="66"/>
        <v>0</v>
      </c>
      <c r="BI53" s="900">
        <f t="shared" si="66"/>
        <v>0</v>
      </c>
      <c r="BJ53" s="900"/>
      <c r="BK53" s="900"/>
      <c r="BL53" s="900"/>
      <c r="BM53" s="900"/>
      <c r="BN53" s="900"/>
      <c r="BO53" s="900"/>
      <c r="BP53" s="900"/>
      <c r="BQ53" s="900"/>
      <c r="BR53" s="900"/>
      <c r="BS53" s="900"/>
      <c r="BT53" s="900"/>
      <c r="BU53" s="900"/>
      <c r="BV53" s="900"/>
      <c r="BW53" s="900"/>
      <c r="BX53" s="900"/>
      <c r="BY53" s="900"/>
      <c r="BZ53" s="900"/>
      <c r="CA53" s="900"/>
      <c r="CB53" s="900"/>
      <c r="CC53" s="900"/>
      <c r="CD53" s="900"/>
      <c r="CE53" s="900"/>
      <c r="CF53" s="900"/>
      <c r="CG53" s="900"/>
      <c r="CH53" s="900"/>
      <c r="CI53" s="900"/>
      <c r="CJ53" s="900"/>
      <c r="CK53" s="900"/>
      <c r="CL53" s="900"/>
      <c r="CM53" s="900"/>
      <c r="CN53" s="900"/>
      <c r="CO53" s="900"/>
      <c r="CP53" s="900"/>
      <c r="CQ53" s="900"/>
      <c r="CR53" s="900"/>
      <c r="CS53" s="900"/>
      <c r="CT53" s="900"/>
      <c r="CU53" s="900"/>
      <c r="CV53" s="900"/>
      <c r="CW53" s="900"/>
      <c r="CX53" s="900"/>
      <c r="CY53" s="900"/>
      <c r="CZ53" s="900"/>
      <c r="DA53" s="900"/>
      <c r="DB53" s="900"/>
      <c r="DC53" s="900"/>
      <c r="DD53" s="900"/>
      <c r="DE53" s="900"/>
      <c r="DF53" s="900">
        <f>DF35+DF41+DF47</f>
        <v>0</v>
      </c>
      <c r="DG53" s="900">
        <f t="shared" ref="DG53:EB53" si="67">DG35+DG41+DG47</f>
        <v>0</v>
      </c>
      <c r="DH53" s="900">
        <f t="shared" si="67"/>
        <v>0</v>
      </c>
      <c r="DI53" s="900">
        <f t="shared" si="67"/>
        <v>0</v>
      </c>
      <c r="DJ53" s="900">
        <f t="shared" si="67"/>
        <v>0</v>
      </c>
      <c r="DK53" s="900">
        <f t="shared" si="67"/>
        <v>0</v>
      </c>
      <c r="DL53" s="900">
        <f t="shared" si="67"/>
        <v>0</v>
      </c>
      <c r="DM53" s="900">
        <f t="shared" si="67"/>
        <v>0</v>
      </c>
      <c r="DN53" s="900">
        <f t="shared" si="67"/>
        <v>0</v>
      </c>
      <c r="DO53" s="900">
        <f t="shared" si="67"/>
        <v>0</v>
      </c>
      <c r="DP53" s="900">
        <f t="shared" si="67"/>
        <v>0</v>
      </c>
      <c r="DQ53" s="900">
        <f t="shared" si="67"/>
        <v>0</v>
      </c>
      <c r="DR53" s="900">
        <f t="shared" si="67"/>
        <v>0</v>
      </c>
      <c r="DS53" s="900">
        <f t="shared" si="67"/>
        <v>0</v>
      </c>
      <c r="DT53" s="900">
        <f t="shared" si="67"/>
        <v>0</v>
      </c>
      <c r="DU53" s="900">
        <f t="shared" si="67"/>
        <v>0</v>
      </c>
      <c r="DV53" s="900">
        <f t="shared" si="67"/>
        <v>0</v>
      </c>
      <c r="DW53" s="900">
        <f t="shared" si="67"/>
        <v>0</v>
      </c>
      <c r="DX53" s="900">
        <f t="shared" si="67"/>
        <v>0</v>
      </c>
      <c r="DY53" s="900">
        <f t="shared" si="67"/>
        <v>0</v>
      </c>
      <c r="DZ53" s="900">
        <f t="shared" si="67"/>
        <v>0</v>
      </c>
      <c r="EA53" s="900">
        <f t="shared" si="67"/>
        <v>0</v>
      </c>
      <c r="EB53" s="900">
        <f t="shared" si="67"/>
        <v>0</v>
      </c>
      <c r="EC53" s="901">
        <f t="shared" ref="EC53:EY53" si="68">DF53*$GC$19</f>
        <v>0</v>
      </c>
      <c r="ED53" s="901">
        <f t="shared" si="68"/>
        <v>0</v>
      </c>
      <c r="EE53" s="901">
        <f t="shared" si="68"/>
        <v>0</v>
      </c>
      <c r="EF53" s="901">
        <f t="shared" si="68"/>
        <v>0</v>
      </c>
      <c r="EG53" s="901">
        <f t="shared" si="68"/>
        <v>0</v>
      </c>
      <c r="EH53" s="901">
        <f t="shared" si="68"/>
        <v>0</v>
      </c>
      <c r="EI53" s="901">
        <f t="shared" si="68"/>
        <v>0</v>
      </c>
      <c r="EJ53" s="901">
        <f t="shared" si="68"/>
        <v>0</v>
      </c>
      <c r="EK53" s="901">
        <f t="shared" si="68"/>
        <v>0</v>
      </c>
      <c r="EL53" s="901">
        <f t="shared" si="68"/>
        <v>0</v>
      </c>
      <c r="EM53" s="901">
        <f t="shared" si="68"/>
        <v>0</v>
      </c>
      <c r="EN53" s="901">
        <f t="shared" si="68"/>
        <v>0</v>
      </c>
      <c r="EO53" s="901">
        <f t="shared" si="68"/>
        <v>0</v>
      </c>
      <c r="EP53" s="901">
        <f t="shared" si="68"/>
        <v>0</v>
      </c>
      <c r="EQ53" s="901">
        <f t="shared" si="68"/>
        <v>0</v>
      </c>
      <c r="ER53" s="901">
        <f t="shared" si="68"/>
        <v>0</v>
      </c>
      <c r="ES53" s="901">
        <f t="shared" si="68"/>
        <v>0</v>
      </c>
      <c r="ET53" s="901">
        <f t="shared" si="68"/>
        <v>0</v>
      </c>
      <c r="EU53" s="901">
        <f t="shared" si="68"/>
        <v>0</v>
      </c>
      <c r="EV53" s="901">
        <f t="shared" si="68"/>
        <v>0</v>
      </c>
      <c r="EW53" s="901">
        <f t="shared" si="68"/>
        <v>0</v>
      </c>
      <c r="EX53" s="901">
        <f t="shared" si="68"/>
        <v>0</v>
      </c>
      <c r="EY53" s="901">
        <f t="shared" si="68"/>
        <v>0</v>
      </c>
      <c r="EZ53" s="900">
        <f>ROUND((IF(EZ35+EZ41+EZ47+EZ50+EZ52&lt;0,0,EZ35+EZ41+EZ47+EZ50+EZ52)),0)</f>
        <v>0</v>
      </c>
      <c r="FA53" s="900">
        <f t="shared" ref="FA53:FG53" si="69">ROUND((IF(FA35+FA41+FA47+FA50+FA52&lt;0,0,FA35+FA41+FA47+FA50+FA52)),0)</f>
        <v>0</v>
      </c>
      <c r="FB53" s="900">
        <f t="shared" si="69"/>
        <v>0</v>
      </c>
      <c r="FC53" s="900">
        <f t="shared" si="69"/>
        <v>0</v>
      </c>
      <c r="FD53" s="900">
        <f t="shared" si="69"/>
        <v>0</v>
      </c>
      <c r="FE53" s="900">
        <f t="shared" si="69"/>
        <v>0</v>
      </c>
      <c r="FF53" s="900">
        <f t="shared" si="69"/>
        <v>0</v>
      </c>
      <c r="FG53" s="900">
        <f t="shared" si="69"/>
        <v>0</v>
      </c>
      <c r="FH53" s="900">
        <f>ROUND((IF(FH35+FH41+FH47+FH50+FH52&lt;0,0,FH35+FH41+FH47+FH50+FH51+FH52)),0)</f>
        <v>0</v>
      </c>
      <c r="FI53" s="900">
        <f t="shared" ref="FI53:FV53" si="70">ROUND((IF(FI35+FI41+FI47+FI50+FI52&lt;0,0,FI35+FI41+FI47+FI50+FI51+FI52)),0)</f>
        <v>0</v>
      </c>
      <c r="FJ53" s="900">
        <f t="shared" si="70"/>
        <v>0</v>
      </c>
      <c r="FK53" s="900">
        <f t="shared" si="70"/>
        <v>0</v>
      </c>
      <c r="FL53" s="900">
        <f t="shared" si="70"/>
        <v>0</v>
      </c>
      <c r="FM53" s="900">
        <f t="shared" si="70"/>
        <v>0</v>
      </c>
      <c r="FN53" s="900">
        <f t="shared" si="70"/>
        <v>0</v>
      </c>
      <c r="FO53" s="900">
        <f t="shared" si="70"/>
        <v>0</v>
      </c>
      <c r="FP53" s="900">
        <f t="shared" si="70"/>
        <v>0</v>
      </c>
      <c r="FQ53" s="900">
        <f t="shared" si="70"/>
        <v>0</v>
      </c>
      <c r="FR53" s="900">
        <f t="shared" si="70"/>
        <v>0</v>
      </c>
      <c r="FS53" s="900">
        <f t="shared" si="70"/>
        <v>0</v>
      </c>
      <c r="FT53" s="900">
        <f t="shared" si="70"/>
        <v>0</v>
      </c>
      <c r="FU53" s="900">
        <f t="shared" si="70"/>
        <v>0</v>
      </c>
      <c r="FV53" s="900">
        <f t="shared" si="70"/>
        <v>0</v>
      </c>
      <c r="FW53" s="902"/>
      <c r="FX53" s="902"/>
      <c r="FY53" s="902"/>
      <c r="FZ53" s="903"/>
    </row>
    <row r="54" spans="3:182" ht="13.5" thickTop="1">
      <c r="G54" s="771"/>
      <c r="I54" s="771"/>
      <c r="J54" s="771"/>
      <c r="K54" s="771"/>
      <c r="L54" s="771"/>
      <c r="M54" s="771"/>
      <c r="N54" s="771"/>
      <c r="O54" s="771"/>
      <c r="P54" s="771"/>
      <c r="Q54" s="771"/>
      <c r="R54" s="771"/>
      <c r="S54" s="771"/>
      <c r="T54" s="771"/>
      <c r="U54" s="771"/>
      <c r="V54" s="771"/>
      <c r="W54" s="771"/>
      <c r="X54" s="771"/>
      <c r="Y54" s="771"/>
      <c r="Z54" s="771"/>
      <c r="AA54" s="771"/>
      <c r="AB54" s="771"/>
      <c r="AC54" s="771"/>
      <c r="AD54" s="771"/>
      <c r="AE54" s="771"/>
      <c r="AF54" s="771"/>
      <c r="AG54" s="771"/>
      <c r="AH54" s="771"/>
      <c r="AJ54" s="771"/>
      <c r="AK54" s="771"/>
      <c r="AL54" s="771"/>
      <c r="AM54" s="771"/>
      <c r="AN54" s="771"/>
      <c r="AO54" s="771"/>
      <c r="AP54" s="771"/>
      <c r="AQ54" s="771"/>
      <c r="AR54" s="771"/>
      <c r="AS54" s="771"/>
      <c r="AT54" s="771"/>
      <c r="AU54" s="771"/>
      <c r="AV54" s="771"/>
      <c r="AW54" s="771"/>
      <c r="AX54" s="771"/>
      <c r="AY54" s="771"/>
      <c r="AZ54" s="771"/>
      <c r="BA54" s="771"/>
      <c r="BB54" s="771"/>
      <c r="BC54" s="771"/>
      <c r="BD54" s="771"/>
      <c r="BE54" s="771"/>
      <c r="BF54" s="771"/>
      <c r="BG54" s="771"/>
      <c r="BH54" s="771"/>
      <c r="BI54" s="771"/>
      <c r="BJ54" s="771"/>
      <c r="BK54" s="771"/>
      <c r="BL54" s="771"/>
      <c r="BM54" s="771"/>
      <c r="BN54" s="771"/>
      <c r="BO54" s="771"/>
      <c r="BP54" s="771"/>
      <c r="BQ54" s="771"/>
      <c r="BR54" s="771"/>
      <c r="BS54" s="771"/>
      <c r="BT54" s="771"/>
      <c r="BU54" s="771"/>
      <c r="BV54" s="771"/>
      <c r="BW54" s="771"/>
      <c r="BX54" s="771"/>
      <c r="BY54" s="771"/>
      <c r="BZ54" s="771"/>
      <c r="CA54" s="771"/>
      <c r="CB54" s="771"/>
      <c r="CC54" s="771"/>
      <c r="CD54" s="771"/>
      <c r="CE54" s="771"/>
      <c r="CF54" s="771"/>
      <c r="CG54" s="771"/>
      <c r="CH54" s="771"/>
      <c r="CI54" s="771"/>
      <c r="CJ54" s="771"/>
      <c r="CK54" s="771"/>
      <c r="CL54" s="771"/>
      <c r="CM54" s="771"/>
      <c r="CN54" s="771"/>
      <c r="CO54" s="771"/>
      <c r="CP54" s="771"/>
      <c r="CQ54" s="771"/>
      <c r="CR54" s="771"/>
      <c r="CS54" s="771"/>
      <c r="CT54" s="771"/>
      <c r="CU54" s="771"/>
      <c r="CV54" s="771"/>
      <c r="CW54" s="771"/>
      <c r="CX54" s="771"/>
      <c r="CY54" s="771"/>
      <c r="CZ54" s="771"/>
      <c r="DA54" s="771"/>
      <c r="DB54" s="771"/>
      <c r="DC54" s="771"/>
      <c r="DD54" s="771"/>
      <c r="DE54" s="771"/>
    </row>
    <row r="55" spans="3:182">
      <c r="M55" s="771"/>
      <c r="N55" s="771"/>
      <c r="O55" s="771"/>
      <c r="P55" s="771"/>
      <c r="Q55" s="771"/>
      <c r="R55" s="771"/>
      <c r="S55" s="771"/>
      <c r="T55" s="771"/>
      <c r="U55" s="771"/>
      <c r="V55" s="771"/>
      <c r="W55" s="771"/>
      <c r="X55" s="771"/>
      <c r="Y55" s="771"/>
      <c r="Z55" s="771"/>
      <c r="AA55" s="771"/>
      <c r="AB55" s="771"/>
      <c r="AC55" s="771"/>
      <c r="AD55" s="771"/>
      <c r="AE55" s="771"/>
      <c r="AF55" s="771"/>
      <c r="AG55" s="771"/>
      <c r="AH55" s="771"/>
      <c r="AN55" s="771"/>
      <c r="AO55" s="771"/>
      <c r="AP55" s="771"/>
      <c r="AQ55" s="771"/>
      <c r="AR55" s="771"/>
      <c r="AS55" s="771"/>
      <c r="AT55" s="771"/>
      <c r="AU55" s="771"/>
      <c r="AV55" s="771"/>
      <c r="AW55" s="771"/>
      <c r="AX55" s="771"/>
      <c r="AY55" s="771"/>
      <c r="AZ55" s="771"/>
      <c r="BA55" s="771"/>
      <c r="BB55" s="771"/>
      <c r="BC55" s="771"/>
      <c r="BD55" s="771"/>
      <c r="BE55" s="771"/>
      <c r="BF55" s="771"/>
      <c r="BG55" s="771"/>
      <c r="BH55" s="771"/>
      <c r="BI55" s="771"/>
      <c r="BK55" s="771"/>
      <c r="BL55" s="771"/>
      <c r="BM55" s="771"/>
      <c r="BN55" s="771"/>
      <c r="BO55" s="771"/>
      <c r="BP55" s="771"/>
      <c r="BQ55" s="771"/>
      <c r="BR55" s="771"/>
      <c r="BS55" s="771"/>
      <c r="BT55" s="771"/>
      <c r="BU55" s="771"/>
      <c r="BV55" s="771"/>
      <c r="BW55" s="771"/>
      <c r="BX55" s="771"/>
      <c r="BY55" s="771"/>
      <c r="BZ55" s="771"/>
      <c r="CA55" s="771"/>
      <c r="CB55" s="771"/>
      <c r="CC55" s="771"/>
      <c r="CD55" s="771"/>
      <c r="CE55" s="771"/>
      <c r="CF55" s="771"/>
      <c r="CG55" s="771"/>
      <c r="CH55" s="771"/>
      <c r="CI55" s="771"/>
      <c r="CJ55" s="771"/>
      <c r="CK55" s="771"/>
      <c r="CL55" s="771"/>
      <c r="CM55" s="771"/>
      <c r="CN55" s="771"/>
      <c r="CO55" s="771"/>
      <c r="CP55" s="771"/>
      <c r="CQ55" s="771"/>
      <c r="CR55" s="771"/>
      <c r="CS55" s="771"/>
      <c r="CT55" s="771"/>
      <c r="CU55" s="771"/>
      <c r="CV55" s="771"/>
      <c r="CW55" s="771"/>
      <c r="CX55" s="771"/>
      <c r="CY55" s="771"/>
      <c r="CZ55" s="771"/>
      <c r="DA55" s="771"/>
      <c r="DB55" s="771"/>
      <c r="DC55" s="771"/>
      <c r="DD55" s="771"/>
      <c r="DE55" s="771"/>
      <c r="DF55" s="771"/>
      <c r="DG55" s="771"/>
      <c r="DH55" s="771"/>
      <c r="DI55" s="771"/>
      <c r="DJ55" s="771"/>
      <c r="DK55" s="771"/>
      <c r="DL55" s="771"/>
      <c r="DM55" s="771"/>
      <c r="DN55" s="771"/>
      <c r="DO55" s="771"/>
      <c r="DP55" s="771"/>
      <c r="DQ55" s="771"/>
      <c r="DR55" s="771"/>
      <c r="DS55" s="771"/>
      <c r="DT55" s="771"/>
      <c r="DU55" s="771"/>
      <c r="DV55" s="771"/>
      <c r="DW55" s="771"/>
      <c r="DX55" s="771"/>
      <c r="DY55" s="771"/>
      <c r="DZ55" s="771"/>
      <c r="EA55" s="771"/>
      <c r="EB55" s="771"/>
      <c r="EC55" s="771"/>
      <c r="ED55" s="771"/>
      <c r="EE55" s="771"/>
      <c r="EF55" s="771"/>
      <c r="EG55" s="771"/>
      <c r="EH55" s="771"/>
      <c r="EI55" s="771"/>
      <c r="EJ55" s="771"/>
      <c r="EK55" s="771"/>
      <c r="EL55" s="771"/>
      <c r="EM55" s="771"/>
      <c r="EN55" s="771"/>
      <c r="EO55" s="771"/>
      <c r="EP55" s="771"/>
      <c r="EQ55" s="771"/>
      <c r="ER55" s="771"/>
      <c r="ES55" s="771"/>
      <c r="ET55" s="771"/>
      <c r="EU55" s="771"/>
      <c r="EV55" s="771"/>
      <c r="EW55" s="771"/>
      <c r="EX55" s="771"/>
      <c r="EY55" s="771"/>
      <c r="EZ55" s="771"/>
      <c r="FA55" s="771"/>
      <c r="FB55" s="771"/>
      <c r="FC55" s="771"/>
      <c r="FD55" s="771"/>
      <c r="FE55" s="771"/>
      <c r="FF55" s="771"/>
      <c r="FG55" s="771"/>
      <c r="FH55" s="771"/>
      <c r="FI55" s="771"/>
      <c r="FJ55" s="771"/>
      <c r="FK55" s="771"/>
      <c r="FL55" s="771"/>
      <c r="FM55" s="771"/>
      <c r="FN55" s="771"/>
      <c r="FO55" s="771"/>
      <c r="FP55" s="771"/>
      <c r="FQ55" s="771"/>
      <c r="FR55" s="771"/>
      <c r="FS55" s="771"/>
      <c r="FT55" s="771"/>
      <c r="FU55" s="771"/>
      <c r="FV55" s="771"/>
    </row>
    <row r="56" spans="3:182" ht="21" customHeight="1">
      <c r="M56" s="771"/>
      <c r="N56" s="771"/>
      <c r="O56" s="771"/>
      <c r="P56" s="771"/>
      <c r="Q56" s="771"/>
      <c r="R56" s="771"/>
      <c r="S56" s="771"/>
      <c r="T56" s="771"/>
      <c r="U56" s="771"/>
      <c r="V56" s="771"/>
      <c r="W56" s="771"/>
      <c r="X56" s="771"/>
      <c r="Y56" s="771"/>
      <c r="Z56" s="771"/>
      <c r="AA56" s="771"/>
      <c r="AB56" s="771"/>
      <c r="AC56" s="771"/>
      <c r="AD56" s="771"/>
      <c r="AE56" s="771"/>
      <c r="AF56" s="771"/>
      <c r="AG56" s="771"/>
      <c r="AH56" s="771"/>
      <c r="AN56" s="771"/>
      <c r="AO56" s="771"/>
      <c r="AP56" s="771"/>
      <c r="AQ56" s="771"/>
      <c r="AR56" s="771"/>
      <c r="AS56" s="771"/>
      <c r="AT56" s="771"/>
      <c r="AU56" s="771"/>
      <c r="AV56" s="771"/>
      <c r="AW56" s="771"/>
      <c r="AX56" s="771"/>
      <c r="AY56" s="771"/>
      <c r="AZ56" s="771"/>
      <c r="BA56" s="771"/>
      <c r="BB56" s="771"/>
      <c r="BC56" s="771"/>
      <c r="BD56" s="771"/>
      <c r="BE56" s="771"/>
      <c r="BF56" s="771"/>
      <c r="BG56" s="771"/>
      <c r="BH56" s="771"/>
      <c r="BI56" s="771"/>
      <c r="BK56" s="771"/>
      <c r="BL56" s="771"/>
      <c r="BM56" s="771"/>
      <c r="BN56" s="771"/>
      <c r="BO56" s="771"/>
      <c r="BP56" s="771"/>
      <c r="BQ56" s="771"/>
      <c r="BR56" s="771"/>
      <c r="BS56" s="771"/>
      <c r="BT56" s="771"/>
      <c r="BU56" s="771"/>
      <c r="BV56" s="771"/>
      <c r="BW56" s="771"/>
      <c r="BX56" s="771"/>
      <c r="BY56" s="771"/>
      <c r="BZ56" s="771"/>
      <c r="CA56" s="771"/>
      <c r="CB56" s="771"/>
      <c r="CC56" s="771"/>
      <c r="CD56" s="771"/>
      <c r="CE56" s="771"/>
      <c r="CF56" s="771"/>
      <c r="CG56" s="771"/>
      <c r="CH56" s="771"/>
      <c r="CI56" s="771"/>
      <c r="CJ56" s="771"/>
      <c r="CK56" s="771"/>
      <c r="CL56" s="771"/>
      <c r="CM56" s="771"/>
      <c r="CN56" s="771"/>
      <c r="CO56" s="771"/>
      <c r="CP56" s="771"/>
      <c r="CQ56" s="771"/>
      <c r="CR56" s="771"/>
      <c r="CS56" s="771"/>
      <c r="CT56" s="771"/>
      <c r="CU56" s="771"/>
      <c r="CV56" s="771"/>
      <c r="CW56" s="771"/>
      <c r="CX56" s="771"/>
      <c r="CY56" s="771"/>
      <c r="CZ56" s="771"/>
      <c r="DA56" s="771"/>
      <c r="DB56" s="771"/>
      <c r="DC56" s="771"/>
      <c r="DD56" s="771"/>
      <c r="DE56" s="771"/>
      <c r="DF56" s="771"/>
      <c r="DG56" s="771"/>
      <c r="DH56" s="771"/>
      <c r="DI56" s="771"/>
      <c r="DJ56" s="771"/>
      <c r="DK56" s="771"/>
      <c r="DL56" s="771"/>
      <c r="DM56" s="771"/>
      <c r="DN56" s="771"/>
      <c r="DO56" s="771"/>
      <c r="DP56" s="771"/>
      <c r="DQ56" s="771"/>
      <c r="DR56" s="771"/>
      <c r="DS56" s="771"/>
      <c r="DT56" s="771"/>
      <c r="DU56" s="771"/>
      <c r="DV56" s="771"/>
      <c r="DW56" s="771"/>
      <c r="DX56" s="771"/>
      <c r="DY56" s="771"/>
      <c r="DZ56" s="771"/>
      <c r="EA56" s="771"/>
      <c r="EB56" s="771"/>
      <c r="EC56" s="771"/>
      <c r="ED56" s="771"/>
      <c r="EE56" s="771"/>
      <c r="EF56" s="771"/>
      <c r="EG56" s="771"/>
      <c r="EH56" s="771"/>
      <c r="EI56" s="771"/>
      <c r="EJ56" s="771"/>
      <c r="EK56" s="771"/>
      <c r="EL56" s="771"/>
      <c r="EM56" s="771"/>
      <c r="EN56" s="771"/>
      <c r="EO56" s="771"/>
      <c r="EP56" s="771"/>
      <c r="EQ56" s="771"/>
      <c r="ER56" s="771"/>
      <c r="ES56" s="771"/>
      <c r="ET56" s="771"/>
      <c r="EU56" s="771"/>
      <c r="EV56" s="771"/>
      <c r="EW56" s="771"/>
      <c r="EX56" s="771"/>
      <c r="EY56" s="771"/>
      <c r="EZ56" s="771"/>
      <c r="FA56" s="771"/>
      <c r="FB56" s="771"/>
      <c r="FC56" s="771"/>
      <c r="FD56" s="771"/>
      <c r="FE56" s="771"/>
      <c r="FF56" s="771"/>
      <c r="FG56" s="771"/>
      <c r="FH56" s="771"/>
      <c r="FI56" s="771"/>
      <c r="FJ56" s="771"/>
      <c r="FK56" s="771"/>
      <c r="FL56" s="771"/>
      <c r="FM56" s="771"/>
      <c r="FN56" s="771"/>
      <c r="FO56" s="771"/>
      <c r="FP56" s="771"/>
      <c r="FQ56" s="771"/>
      <c r="FR56" s="771"/>
      <c r="FS56" s="771"/>
      <c r="FT56" s="771"/>
      <c r="FU56" s="771"/>
      <c r="FV56" s="771"/>
    </row>
    <row r="57" spans="3:182" ht="21" customHeight="1">
      <c r="M57" s="771"/>
      <c r="N57" s="771"/>
      <c r="O57" s="771"/>
      <c r="P57" s="771"/>
      <c r="Q57" s="771"/>
      <c r="R57" s="771"/>
      <c r="S57" s="771"/>
      <c r="T57" s="771"/>
      <c r="U57" s="771"/>
      <c r="V57" s="771"/>
      <c r="W57" s="771"/>
      <c r="X57" s="771"/>
      <c r="Y57" s="771"/>
      <c r="Z57" s="771"/>
      <c r="AA57" s="771"/>
      <c r="AB57" s="771"/>
      <c r="AC57" s="771"/>
      <c r="AD57" s="771"/>
      <c r="AE57" s="771"/>
      <c r="AF57" s="771"/>
      <c r="AG57" s="771"/>
      <c r="AH57" s="771"/>
      <c r="AN57" s="771"/>
      <c r="AO57" s="771"/>
      <c r="AP57" s="771"/>
      <c r="AQ57" s="771"/>
      <c r="AR57" s="771"/>
      <c r="AS57" s="771"/>
      <c r="AT57" s="771"/>
      <c r="AU57" s="771"/>
      <c r="AV57" s="771"/>
      <c r="AW57" s="771"/>
      <c r="AX57" s="771"/>
      <c r="AY57" s="771"/>
      <c r="AZ57" s="771"/>
      <c r="BA57" s="771"/>
      <c r="BB57" s="771"/>
      <c r="BC57" s="771"/>
      <c r="BD57" s="771"/>
      <c r="BE57" s="771"/>
      <c r="BF57" s="771"/>
      <c r="BG57" s="771"/>
      <c r="BH57" s="771"/>
      <c r="BI57" s="771"/>
      <c r="BK57" s="771"/>
      <c r="BL57" s="771"/>
      <c r="BM57" s="771"/>
      <c r="BN57" s="771"/>
      <c r="BO57" s="771"/>
      <c r="BP57" s="771"/>
      <c r="BQ57" s="771"/>
      <c r="BR57" s="771"/>
      <c r="BS57" s="771"/>
      <c r="BT57" s="771"/>
      <c r="BU57" s="771"/>
      <c r="BV57" s="771"/>
      <c r="BW57" s="771"/>
      <c r="BX57" s="771"/>
      <c r="BY57" s="771"/>
      <c r="BZ57" s="771"/>
      <c r="CA57" s="771"/>
      <c r="CB57" s="771"/>
      <c r="CC57" s="771"/>
      <c r="CD57" s="771"/>
      <c r="CE57" s="771"/>
      <c r="CF57" s="771"/>
      <c r="CG57" s="771"/>
      <c r="CH57" s="771"/>
      <c r="CI57" s="771"/>
      <c r="CJ57" s="771"/>
      <c r="CK57" s="771"/>
      <c r="CL57" s="771"/>
      <c r="CM57" s="771"/>
      <c r="CN57" s="771"/>
      <c r="CO57" s="771"/>
      <c r="CP57" s="771"/>
      <c r="CQ57" s="771"/>
      <c r="CR57" s="771"/>
      <c r="CS57" s="771"/>
      <c r="CT57" s="771"/>
      <c r="CU57" s="771"/>
      <c r="CV57" s="771"/>
      <c r="CW57" s="771"/>
      <c r="CX57" s="771"/>
      <c r="CY57" s="771"/>
      <c r="CZ57" s="771"/>
      <c r="DA57" s="771"/>
      <c r="DB57" s="771"/>
      <c r="DC57" s="771"/>
      <c r="DD57" s="771"/>
      <c r="DE57" s="771"/>
      <c r="DF57" s="771"/>
      <c r="DG57" s="771"/>
      <c r="DH57" s="771"/>
      <c r="DI57" s="771"/>
      <c r="DJ57" s="771"/>
      <c r="DK57" s="771"/>
      <c r="DL57" s="771"/>
      <c r="DM57" s="771"/>
      <c r="DN57" s="771"/>
      <c r="DO57" s="771"/>
      <c r="DP57" s="771"/>
      <c r="DQ57" s="771"/>
      <c r="DR57" s="771"/>
      <c r="DS57" s="771"/>
      <c r="DT57" s="771"/>
      <c r="DU57" s="771"/>
      <c r="DV57" s="771"/>
      <c r="DW57" s="771"/>
      <c r="DX57" s="771"/>
      <c r="DY57" s="771"/>
      <c r="DZ57" s="771"/>
      <c r="EA57" s="771"/>
      <c r="EB57" s="771"/>
      <c r="EC57" s="771"/>
      <c r="ED57" s="771"/>
      <c r="EE57" s="771"/>
      <c r="EF57" s="771"/>
      <c r="EG57" s="771"/>
      <c r="EH57" s="771"/>
      <c r="EI57" s="771"/>
      <c r="EJ57" s="771"/>
      <c r="EK57" s="771"/>
      <c r="EL57" s="771"/>
      <c r="EM57" s="771"/>
      <c r="EN57" s="771"/>
      <c r="EO57" s="771"/>
      <c r="EP57" s="771"/>
      <c r="EQ57" s="771"/>
      <c r="ER57" s="771"/>
      <c r="ES57" s="771"/>
      <c r="ET57" s="771"/>
      <c r="EU57" s="771"/>
      <c r="EV57" s="771"/>
      <c r="EW57" s="771"/>
      <c r="EX57" s="771"/>
      <c r="EY57" s="771"/>
      <c r="EZ57" s="771"/>
      <c r="FA57" s="771"/>
      <c r="FB57" s="771"/>
      <c r="FC57" s="771"/>
      <c r="FD57" s="771"/>
      <c r="FE57" s="771"/>
      <c r="FF57" s="771"/>
      <c r="FG57" s="771"/>
      <c r="FH57" s="771"/>
      <c r="FI57" s="771"/>
      <c r="FJ57" s="771"/>
      <c r="FK57" s="771"/>
      <c r="FL57" s="771"/>
      <c r="FM57" s="771"/>
      <c r="FN57" s="771"/>
      <c r="FO57" s="771"/>
      <c r="FP57" s="771"/>
      <c r="FQ57" s="771"/>
      <c r="FR57" s="771"/>
      <c r="FS57" s="771"/>
      <c r="FT57" s="771"/>
      <c r="FU57" s="771"/>
      <c r="FV57" s="771"/>
    </row>
    <row r="58" spans="3:182" ht="21" customHeight="1">
      <c r="M58" s="771"/>
      <c r="N58" s="771"/>
      <c r="O58" s="771"/>
      <c r="P58" s="771"/>
      <c r="Q58" s="771"/>
      <c r="R58" s="771"/>
      <c r="S58" s="771"/>
      <c r="T58" s="771"/>
      <c r="U58" s="771"/>
      <c r="V58" s="771"/>
      <c r="W58" s="771"/>
      <c r="X58" s="771"/>
      <c r="Y58" s="771"/>
      <c r="Z58" s="771"/>
      <c r="AA58" s="771"/>
      <c r="AB58" s="771"/>
      <c r="AC58" s="771"/>
      <c r="AD58" s="771"/>
      <c r="AE58" s="771"/>
      <c r="AF58" s="771"/>
      <c r="AG58" s="771"/>
      <c r="AH58" s="771"/>
      <c r="AN58" s="771"/>
      <c r="AO58" s="771"/>
      <c r="AP58" s="771"/>
      <c r="AQ58" s="771"/>
      <c r="AR58" s="771"/>
      <c r="AS58" s="771"/>
      <c r="AT58" s="771"/>
      <c r="AU58" s="771"/>
      <c r="AV58" s="771"/>
      <c r="AW58" s="771"/>
      <c r="AX58" s="771"/>
      <c r="AY58" s="771"/>
      <c r="AZ58" s="771"/>
      <c r="BA58" s="771"/>
      <c r="BB58" s="771"/>
      <c r="BC58" s="771"/>
      <c r="BD58" s="771"/>
      <c r="BE58" s="771"/>
      <c r="BF58" s="771"/>
      <c r="BG58" s="771"/>
      <c r="BH58" s="771"/>
      <c r="BI58" s="771"/>
      <c r="BK58" s="771"/>
      <c r="BL58" s="771"/>
      <c r="BM58" s="771"/>
      <c r="BN58" s="771"/>
      <c r="BO58" s="771"/>
      <c r="BP58" s="771"/>
      <c r="BQ58" s="771"/>
      <c r="BR58" s="771"/>
      <c r="BS58" s="771"/>
      <c r="BT58" s="771"/>
      <c r="BU58" s="771"/>
      <c r="BV58" s="771"/>
      <c r="BW58" s="771"/>
      <c r="BX58" s="771"/>
      <c r="BY58" s="771"/>
      <c r="BZ58" s="771"/>
      <c r="CA58" s="771"/>
      <c r="CB58" s="771"/>
      <c r="CC58" s="771"/>
      <c r="CD58" s="771"/>
      <c r="CE58" s="771"/>
      <c r="CF58" s="771"/>
      <c r="CG58" s="771"/>
      <c r="CH58" s="771"/>
      <c r="CI58" s="771"/>
      <c r="CJ58" s="771"/>
      <c r="CK58" s="771"/>
      <c r="CL58" s="771"/>
      <c r="CM58" s="771"/>
      <c r="CN58" s="771"/>
      <c r="CO58" s="771"/>
      <c r="CP58" s="771"/>
      <c r="CQ58" s="771"/>
      <c r="CR58" s="771"/>
      <c r="CS58" s="771"/>
      <c r="CT58" s="771"/>
      <c r="CU58" s="771"/>
      <c r="CV58" s="771"/>
      <c r="CW58" s="771"/>
      <c r="CX58" s="771"/>
      <c r="CY58" s="771"/>
      <c r="CZ58" s="771"/>
      <c r="DA58" s="771"/>
      <c r="DB58" s="771"/>
      <c r="DC58" s="771"/>
      <c r="DD58" s="771"/>
      <c r="DE58" s="771"/>
      <c r="DF58" s="771"/>
      <c r="DG58" s="771"/>
      <c r="DH58" s="771"/>
      <c r="DI58" s="771"/>
      <c r="DJ58" s="771"/>
      <c r="DK58" s="771"/>
      <c r="DL58" s="771"/>
      <c r="DM58" s="771"/>
      <c r="DN58" s="771"/>
      <c r="DO58" s="771"/>
      <c r="DP58" s="771"/>
      <c r="DQ58" s="771"/>
      <c r="DR58" s="771"/>
      <c r="DS58" s="771"/>
      <c r="DT58" s="771"/>
      <c r="DU58" s="771"/>
      <c r="DV58" s="771"/>
      <c r="DW58" s="771"/>
      <c r="DX58" s="771"/>
      <c r="DY58" s="771"/>
      <c r="DZ58" s="771"/>
      <c r="EA58" s="771"/>
      <c r="EB58" s="771"/>
      <c r="EC58" s="771"/>
      <c r="ED58" s="771"/>
      <c r="EE58" s="771"/>
      <c r="EF58" s="771"/>
      <c r="EG58" s="771"/>
      <c r="EH58" s="771"/>
      <c r="EI58" s="771"/>
      <c r="EJ58" s="771"/>
      <c r="EK58" s="771"/>
      <c r="EL58" s="771"/>
      <c r="EM58" s="771"/>
      <c r="EN58" s="771"/>
      <c r="EO58" s="771"/>
      <c r="EP58" s="771"/>
      <c r="EQ58" s="771"/>
      <c r="ER58" s="771"/>
      <c r="ES58" s="771"/>
      <c r="ET58" s="771"/>
      <c r="EU58" s="771"/>
      <c r="EV58" s="771"/>
      <c r="EW58" s="771"/>
      <c r="EX58" s="771"/>
      <c r="EY58" s="771"/>
      <c r="EZ58" s="771"/>
      <c r="FA58" s="771"/>
      <c r="FB58" s="771"/>
      <c r="FC58" s="771"/>
      <c r="FD58" s="771"/>
      <c r="FE58" s="771"/>
      <c r="FF58" s="771"/>
      <c r="FG58" s="771"/>
      <c r="FH58" s="771"/>
      <c r="FI58" s="771"/>
      <c r="FJ58" s="771"/>
      <c r="FK58" s="771"/>
      <c r="FL58" s="771"/>
      <c r="FM58" s="771"/>
      <c r="FN58" s="771"/>
      <c r="FO58" s="771"/>
      <c r="FP58" s="771"/>
      <c r="FQ58" s="771"/>
      <c r="FR58" s="771"/>
      <c r="FS58" s="771"/>
      <c r="FT58" s="771"/>
      <c r="FU58" s="771"/>
      <c r="FV58" s="771"/>
    </row>
  </sheetData>
  <sheetProtection algorithmName="SHA-512" hashValue="XY/9s7PIcOlXpEDh4UZATJUmsmBdOUqC8TRfZ75HiaVi6Ejw+myYdkh5XZ3yzjVshAillCBXV8WQHBUnuEin9A==" saltValue="IkvcWBINIjxxrOj3KFIkjQ==" spinCount="100000" sheet="1" objects="1" scenarios="1" formatCells="0" formatColumns="0"/>
  <mergeCells count="77">
    <mergeCell ref="FX1:FZ1"/>
    <mergeCell ref="C3:C5"/>
    <mergeCell ref="D3:F5"/>
    <mergeCell ref="G3:G5"/>
    <mergeCell ref="H3:CU3"/>
    <mergeCell ref="FW3:FX5"/>
    <mergeCell ref="FY3:FZ5"/>
    <mergeCell ref="H4:AH4"/>
    <mergeCell ref="AI4:BI4"/>
    <mergeCell ref="BJ4:CA4"/>
    <mergeCell ref="EZ4:FV4"/>
    <mergeCell ref="CG4:CG5"/>
    <mergeCell ref="CH4:DE4"/>
    <mergeCell ref="DF4:EB4"/>
    <mergeCell ref="EC4:EY4"/>
    <mergeCell ref="D13:F13"/>
    <mergeCell ref="D14:F14"/>
    <mergeCell ref="D24:F24"/>
    <mergeCell ref="D16:D17"/>
    <mergeCell ref="E16:F16"/>
    <mergeCell ref="E17:F17"/>
    <mergeCell ref="D18:D19"/>
    <mergeCell ref="E18:F18"/>
    <mergeCell ref="E19:F19"/>
    <mergeCell ref="D20:D22"/>
    <mergeCell ref="E20:F20"/>
    <mergeCell ref="E21:F21"/>
    <mergeCell ref="E22:F22"/>
    <mergeCell ref="D23:F23"/>
    <mergeCell ref="D25:F25"/>
    <mergeCell ref="D26:F26"/>
    <mergeCell ref="D27:F27"/>
    <mergeCell ref="D28:D34"/>
    <mergeCell ref="E28:E32"/>
    <mergeCell ref="E33:F33"/>
    <mergeCell ref="E34:F34"/>
    <mergeCell ref="D35:F35"/>
    <mergeCell ref="C36:C41"/>
    <mergeCell ref="D36:F36"/>
    <mergeCell ref="D37:F37"/>
    <mergeCell ref="D38:F38"/>
    <mergeCell ref="D39:F39"/>
    <mergeCell ref="D40:F40"/>
    <mergeCell ref="C6:C35"/>
    <mergeCell ref="D6:F6"/>
    <mergeCell ref="D7:F7"/>
    <mergeCell ref="D8:F8"/>
    <mergeCell ref="D9:F9"/>
    <mergeCell ref="D15:F15"/>
    <mergeCell ref="D10:F10"/>
    <mergeCell ref="D11:F11"/>
    <mergeCell ref="D12:F12"/>
    <mergeCell ref="FW40:FX40"/>
    <mergeCell ref="D41:F41"/>
    <mergeCell ref="C42:C46"/>
    <mergeCell ref="D42:D43"/>
    <mergeCell ref="E42:F42"/>
    <mergeCell ref="E43:F43"/>
    <mergeCell ref="D44:F44"/>
    <mergeCell ref="D45:F45"/>
    <mergeCell ref="FW45:FX45"/>
    <mergeCell ref="D46:F46"/>
    <mergeCell ref="FW46:FX46"/>
    <mergeCell ref="D47:F47"/>
    <mergeCell ref="FW47:FX47"/>
    <mergeCell ref="C48:C49"/>
    <mergeCell ref="D48:F48"/>
    <mergeCell ref="FW48:FX48"/>
    <mergeCell ref="D49:F49"/>
    <mergeCell ref="FW49:FX49"/>
    <mergeCell ref="D53:F53"/>
    <mergeCell ref="D50:F50"/>
    <mergeCell ref="FW50:FX50"/>
    <mergeCell ref="D51:F51"/>
    <mergeCell ref="FW51:FX51"/>
    <mergeCell ref="D52:F52"/>
    <mergeCell ref="FW52:FX52"/>
  </mergeCells>
  <phoneticPr fontId="5"/>
  <conditionalFormatting sqref="E33:F34">
    <cfRule type="containsBlanks" dxfId="72" priority="27">
      <formula>LEN(TRIM(E33))=0</formula>
    </cfRule>
  </conditionalFormatting>
  <conditionalFormatting sqref="H6:BI52">
    <cfRule type="containsBlanks" dxfId="71" priority="6">
      <formula>LEN(TRIM(H6))=0</formula>
    </cfRule>
  </conditionalFormatting>
  <conditionalFormatting sqref="CH6:CH52">
    <cfRule type="containsBlanks" dxfId="70" priority="5">
      <formula>LEN(TRIM(CH6))=0</formula>
    </cfRule>
  </conditionalFormatting>
  <conditionalFormatting sqref="DF6:EB52">
    <cfRule type="containsBlanks" dxfId="69" priority="2">
      <formula>LEN(TRIM(DF6))=0</formula>
    </cfRule>
  </conditionalFormatting>
  <conditionalFormatting sqref="EC6:EY53">
    <cfRule type="containsBlanks" dxfId="68" priority="3">
      <formula>LEN(TRIM(EC6))=0</formula>
    </cfRule>
  </conditionalFormatting>
  <conditionalFormatting sqref="EZ6:FV52">
    <cfRule type="containsBlanks" dxfId="67" priority="4">
      <formula>LEN(TRIM(EZ6))=0</formula>
    </cfRule>
  </conditionalFormatting>
  <conditionalFormatting sqref="FW33:FW34">
    <cfRule type="containsBlanks" dxfId="66" priority="28">
      <formula>LEN(TRIM(FW33))=0</formula>
    </cfRule>
  </conditionalFormatting>
  <conditionalFormatting sqref="FY33:FY34">
    <cfRule type="containsBlanks" dxfId="65" priority="1">
      <formula>LEN(TRIM(FY33))=0</formula>
    </cfRule>
  </conditionalFormatting>
  <dataValidations count="8">
    <dataValidation type="list" allowBlank="1" showInputMessage="1" showErrorMessage="1" sqref="K6:K52 AL6:AL52" xr:uid="{590E35CF-3758-4C04-A957-39D7669B008B}">
      <formula1>"転記,自動"</formula1>
    </dataValidation>
    <dataValidation type="list" allowBlank="1" showInputMessage="1" showErrorMessage="1" sqref="J6:J52 AK6:AK52" xr:uid="{423881E3-DB23-434A-9C5B-4A2CBBAFC049}">
      <formula1>"有,無"</formula1>
    </dataValidation>
    <dataValidation type="list" allowBlank="1" showInputMessage="1" showErrorMessage="1" sqref="G17" xr:uid="{71A49D20-1719-4802-AB26-52B895CFB871}">
      <formula1>$GB$10:$GB$11</formula1>
    </dataValidation>
    <dataValidation type="list" allowBlank="1" showInputMessage="1" showErrorMessage="1" sqref="G20:G24 G14:G15 G18" xr:uid="{5C7048EA-D2D6-4238-AE0B-11D57B9D5857}">
      <formula1>$GB$8:$GB$9</formula1>
    </dataValidation>
    <dataValidation type="list" allowBlank="1" showInputMessage="1" showErrorMessage="1" sqref="G6:G13" xr:uid="{C319AF44-502B-49DA-9F1A-7D7A7A5FC51B}">
      <formula1>$GB$6:$GB$7</formula1>
    </dataValidation>
    <dataValidation type="list" allowBlank="1" showInputMessage="1" showErrorMessage="1" sqref="G42:G47" xr:uid="{87482A2B-1D3C-4371-8AC3-990061B3F6D5}">
      <formula1>$GB$16:$GB$17</formula1>
    </dataValidation>
    <dataValidation type="list" allowBlank="1" showInputMessage="1" showErrorMessage="1" sqref="G35:G41" xr:uid="{9897C717-5231-4760-A674-53CBFCDC58EE}">
      <formula1>$GB$12:$GB$13</formula1>
    </dataValidation>
    <dataValidation type="list" allowBlank="1" showInputMessage="1" showErrorMessage="1" sqref="G33:G34" xr:uid="{E8271C1B-5041-4FDA-8CD7-0C5ACA16F22E}">
      <formula1>"kg,t,L,kL,m3,Nm3"</formula1>
    </dataValidation>
  </dataValidations>
  <pageMargins left="0.78740157480314965" right="0.59055118110236227" top="0.78740157480314965" bottom="0.59055118110236227" header="0.31496062992125984" footer="0.31496062992125984"/>
  <pageSetup paperSize="9" scale="28" fitToHeight="0" orientation="portrait" r:id="rId1"/>
  <headerFooter>
    <oddHeader>&amp;R&amp;8ver.4.01</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025C9-8D44-49BD-BCAE-42162519F6D3}">
  <sheetPr codeName="Sheet25">
    <tabColor rgb="FFFF0000"/>
    <pageSetUpPr fitToPage="1"/>
  </sheetPr>
  <dimension ref="B1:AM66"/>
  <sheetViews>
    <sheetView showGridLines="0" showZeros="0" topLeftCell="A2" zoomScale="85" zoomScaleNormal="85" zoomScaleSheetLayoutView="70" workbookViewId="0">
      <selection activeCell="AA22" sqref="AA22"/>
    </sheetView>
  </sheetViews>
  <sheetFormatPr defaultColWidth="8.08203125" defaultRowHeight="13"/>
  <cols>
    <col min="1" max="1" width="2" style="772" customWidth="1"/>
    <col min="2" max="2" width="2.1640625" style="772" customWidth="1"/>
    <col min="3" max="4" width="3.33203125" style="772" customWidth="1"/>
    <col min="5" max="5" width="3.4140625" style="772" customWidth="1"/>
    <col min="6" max="6" width="4.9140625" style="772" hidden="1" customWidth="1"/>
    <col min="7" max="7" width="12.33203125" style="772" customWidth="1"/>
    <col min="8" max="9" width="6.4140625" style="772" customWidth="1"/>
    <col min="10" max="10" width="7.83203125" style="772" customWidth="1"/>
    <col min="11" max="13" width="7.83203125" style="772" hidden="1" customWidth="1"/>
    <col min="14" max="23" width="11" style="772" hidden="1" customWidth="1"/>
    <col min="24" max="26" width="11" style="772" customWidth="1"/>
    <col min="27" max="27" width="11.08203125" style="772" customWidth="1"/>
    <col min="28" max="38" width="11" style="772" customWidth="1"/>
    <col min="39" max="39" width="5" style="772" customWidth="1"/>
    <col min="40" max="46" width="11" style="772" customWidth="1"/>
    <col min="47" max="16384" width="8.08203125" style="772"/>
  </cols>
  <sheetData>
    <row r="1" spans="2:39" ht="7.25" customHeight="1">
      <c r="B1" s="1015"/>
      <c r="C1" s="1016"/>
      <c r="D1" s="1016"/>
      <c r="E1" s="1016"/>
      <c r="F1" s="1016"/>
      <c r="G1" s="1016"/>
      <c r="H1" s="1016"/>
      <c r="I1" s="1016"/>
      <c r="J1" s="1016"/>
      <c r="K1" s="1016"/>
      <c r="L1" s="1016"/>
      <c r="M1" s="1016"/>
      <c r="N1" s="1016"/>
      <c r="O1" s="1016"/>
      <c r="P1" s="1016"/>
      <c r="Q1" s="1017"/>
      <c r="R1" s="1017"/>
      <c r="S1" s="1018"/>
      <c r="T1" s="1019"/>
      <c r="U1" s="1019"/>
      <c r="V1" s="1622"/>
      <c r="W1" s="1622"/>
      <c r="X1" s="1016"/>
      <c r="Y1" s="1016"/>
      <c r="Z1" s="1016"/>
      <c r="AA1" s="1016"/>
      <c r="AB1" s="1016"/>
      <c r="AC1" s="1016"/>
      <c r="AD1" s="1016"/>
      <c r="AE1" s="1016"/>
      <c r="AF1" s="1016"/>
      <c r="AG1" s="1016"/>
      <c r="AH1" s="1016"/>
      <c r="AI1" s="1016"/>
      <c r="AJ1" s="1016"/>
      <c r="AK1" s="1016"/>
      <c r="AL1" s="1016"/>
      <c r="AM1" s="1020"/>
    </row>
    <row r="2" spans="2:39" ht="26.5">
      <c r="B2" s="1190"/>
      <c r="C2" s="1191" t="s">
        <v>2338</v>
      </c>
      <c r="D2" s="1192"/>
      <c r="E2" s="1192"/>
      <c r="F2" s="1192"/>
      <c r="G2" s="1192"/>
      <c r="H2" s="1192"/>
      <c r="I2" s="1192"/>
      <c r="J2" s="1192"/>
      <c r="K2" s="1192"/>
      <c r="L2" s="1192"/>
      <c r="M2" s="1016"/>
      <c r="N2" s="1016"/>
      <c r="O2" s="1016"/>
      <c r="P2" s="1192"/>
      <c r="Q2" s="1016"/>
      <c r="R2" s="1016"/>
      <c r="S2" s="1016"/>
      <c r="T2" s="1192"/>
      <c r="U2" s="1016"/>
      <c r="V2" s="1193"/>
      <c r="W2" s="1193"/>
      <c r="X2" s="1016"/>
      <c r="Y2" s="1016"/>
      <c r="Z2" s="1016"/>
      <c r="AA2" s="1016"/>
      <c r="AB2" s="1016"/>
      <c r="AC2" s="1016"/>
      <c r="AD2" s="1194"/>
      <c r="AE2" s="1195"/>
      <c r="AF2" s="1016"/>
      <c r="AG2" s="1196"/>
      <c r="AH2" s="1016"/>
      <c r="AI2" s="1016"/>
      <c r="AJ2" s="1016"/>
      <c r="AK2" s="1016"/>
      <c r="AL2" s="1016"/>
      <c r="AM2" s="1020"/>
    </row>
    <row r="3" spans="2:39" ht="7.5" customHeight="1">
      <c r="B3" s="1021"/>
      <c r="C3" s="1197"/>
      <c r="D3" s="1197"/>
      <c r="E3" s="1197"/>
      <c r="F3" s="1197"/>
      <c r="G3" s="1197"/>
      <c r="H3" s="1197"/>
      <c r="I3" s="1197"/>
      <c r="J3" s="1197"/>
      <c r="K3" s="1197"/>
      <c r="L3" s="1197"/>
      <c r="M3" s="1197"/>
      <c r="N3" s="1197"/>
      <c r="O3" s="1197"/>
      <c r="P3" s="1197"/>
      <c r="Q3" s="1197"/>
      <c r="R3" s="1197"/>
      <c r="S3" s="1197"/>
      <c r="T3" s="1197"/>
      <c r="AD3" s="1198"/>
      <c r="AM3" s="1022"/>
    </row>
    <row r="4" spans="2:39" ht="16.25" customHeight="1">
      <c r="B4" s="1021"/>
      <c r="C4" s="1199" t="s">
        <v>2339</v>
      </c>
      <c r="D4" s="1200"/>
      <c r="E4" s="1197"/>
      <c r="F4" s="1197"/>
      <c r="G4" s="1197"/>
      <c r="H4" s="1197"/>
      <c r="I4" s="1197"/>
      <c r="J4" s="1197"/>
      <c r="K4" s="1197"/>
      <c r="L4" s="1197"/>
      <c r="M4" s="1197"/>
      <c r="N4" s="1197"/>
      <c r="O4" s="1197"/>
      <c r="P4" s="1197"/>
      <c r="Q4" s="1197"/>
      <c r="R4" s="1623"/>
      <c r="S4" s="1623"/>
      <c r="T4" s="1623"/>
      <c r="U4" s="1623"/>
      <c r="V4" s="1623"/>
      <c r="AD4" s="1198"/>
      <c r="AE4" s="1201"/>
      <c r="AM4" s="1022"/>
    </row>
    <row r="5" spans="2:39" ht="13.25" customHeight="1">
      <c r="B5" s="1021"/>
      <c r="C5" s="1197"/>
      <c r="D5" s="1197"/>
      <c r="E5" s="1197"/>
      <c r="F5" s="1197"/>
      <c r="G5" s="1197"/>
      <c r="H5" s="1197"/>
      <c r="I5" s="1197"/>
      <c r="J5" s="1197"/>
      <c r="K5" s="1197"/>
      <c r="L5" s="1197"/>
      <c r="M5" s="1197"/>
      <c r="N5" s="1197"/>
      <c r="O5" s="1197"/>
      <c r="P5" s="1197"/>
      <c r="S5" s="1197"/>
      <c r="V5" s="1202"/>
      <c r="AC5" s="1203" t="s">
        <v>2340</v>
      </c>
      <c r="AL5" s="1202" t="s">
        <v>2341</v>
      </c>
      <c r="AM5" s="1022"/>
    </row>
    <row r="6" spans="2:39" ht="35.15" customHeight="1">
      <c r="B6" s="1021"/>
      <c r="C6" s="1599"/>
      <c r="D6" s="1600"/>
      <c r="E6" s="1600"/>
      <c r="F6" s="1600"/>
      <c r="G6" s="1600"/>
      <c r="H6" s="1600"/>
      <c r="I6" s="1600"/>
      <c r="J6" s="1624"/>
      <c r="K6" s="1023"/>
      <c r="L6" s="1023" t="s">
        <v>2342</v>
      </c>
      <c r="M6" s="1023" t="s">
        <v>2343</v>
      </c>
      <c r="N6" s="1023" t="s">
        <v>2344</v>
      </c>
      <c r="O6" s="1023" t="s">
        <v>2345</v>
      </c>
      <c r="P6" s="1023" t="s">
        <v>2346</v>
      </c>
      <c r="Q6" s="1023" t="s">
        <v>2347</v>
      </c>
      <c r="R6" s="1023" t="s">
        <v>2348</v>
      </c>
      <c r="S6" s="1023" t="s">
        <v>2349</v>
      </c>
      <c r="T6" s="1023" t="s">
        <v>2350</v>
      </c>
      <c r="U6" s="1023" t="s">
        <v>2351</v>
      </c>
      <c r="V6" s="1023" t="s">
        <v>2352</v>
      </c>
      <c r="W6" s="1023" t="s">
        <v>2353</v>
      </c>
      <c r="X6" s="1023" t="s">
        <v>2354</v>
      </c>
      <c r="Y6" s="1023" t="s">
        <v>2355</v>
      </c>
      <c r="Z6" s="1023" t="s">
        <v>2356</v>
      </c>
      <c r="AA6" s="1023" t="s">
        <v>2357</v>
      </c>
      <c r="AB6" s="1024" t="s">
        <v>2358</v>
      </c>
      <c r="AC6" s="1025" t="s">
        <v>2359</v>
      </c>
      <c r="AD6" s="1023" t="s">
        <v>2360</v>
      </c>
      <c r="AE6" s="1023" t="s">
        <v>2361</v>
      </c>
      <c r="AF6" s="1023" t="s">
        <v>2362</v>
      </c>
      <c r="AG6" s="1023" t="s">
        <v>2363</v>
      </c>
      <c r="AH6" s="1023" t="s">
        <v>2364</v>
      </c>
      <c r="AI6" s="1023" t="s">
        <v>2365</v>
      </c>
      <c r="AJ6" s="1023" t="s">
        <v>2366</v>
      </c>
      <c r="AK6" s="1023" t="s">
        <v>2367</v>
      </c>
      <c r="AL6" s="1023" t="s">
        <v>2368</v>
      </c>
      <c r="AM6" s="1022"/>
    </row>
    <row r="7" spans="2:39" ht="24.9" customHeight="1">
      <c r="B7" s="1021"/>
      <c r="C7" s="1625" t="s">
        <v>2369</v>
      </c>
      <c r="D7" s="1626"/>
      <c r="E7" s="1626"/>
      <c r="F7" s="1626"/>
      <c r="G7" s="1626"/>
      <c r="H7" s="1626"/>
      <c r="I7" s="1627"/>
      <c r="J7" s="1026" t="s">
        <v>69</v>
      </c>
      <c r="K7" s="1027"/>
      <c r="L7" s="1028"/>
      <c r="M7" s="1028"/>
      <c r="N7" s="1028"/>
      <c r="O7" s="1028"/>
      <c r="P7" s="1028"/>
      <c r="Q7" s="1028"/>
      <c r="R7" s="1028"/>
      <c r="S7" s="1028"/>
      <c r="T7" s="1028"/>
      <c r="U7" s="1028"/>
      <c r="V7" s="1028"/>
      <c r="W7" s="1028"/>
      <c r="X7" s="1182"/>
      <c r="Y7" s="1182"/>
      <c r="Z7" s="1182"/>
      <c r="AA7" s="1182"/>
      <c r="AB7" s="1183"/>
      <c r="AC7" s="1184"/>
      <c r="AD7" s="1182"/>
      <c r="AE7" s="1182"/>
      <c r="AF7" s="1182"/>
      <c r="AG7" s="1182"/>
      <c r="AH7" s="1182"/>
      <c r="AI7" s="1182"/>
      <c r="AJ7" s="1182"/>
      <c r="AK7" s="1182"/>
      <c r="AL7" s="1182"/>
      <c r="AM7" s="1022"/>
    </row>
    <row r="8" spans="2:39" ht="37.75" customHeight="1">
      <c r="B8" s="1021"/>
      <c r="C8" s="1628" t="s">
        <v>2370</v>
      </c>
      <c r="D8" s="1629"/>
      <c r="E8" s="1629"/>
      <c r="F8" s="1629"/>
      <c r="G8" s="1629"/>
      <c r="H8" s="1629"/>
      <c r="I8" s="1630"/>
      <c r="J8" s="1029" t="s">
        <v>2371</v>
      </c>
      <c r="K8" s="1030" t="e">
        <f>#REF!</f>
        <v>#REF!</v>
      </c>
      <c r="L8" s="1030">
        <f>ROUND('２．～R6建物系'!FF53,1)</f>
        <v>0</v>
      </c>
      <c r="M8" s="1030">
        <f>ROUND('２．～R6建物系'!FG53,1)</f>
        <v>0</v>
      </c>
      <c r="N8" s="1030">
        <f>ROUND('２．～R6建物系'!FH53,1)</f>
        <v>0</v>
      </c>
      <c r="O8" s="1030">
        <f>ROUND('２．～R6建物系'!FI53,1)</f>
        <v>0</v>
      </c>
      <c r="P8" s="1030">
        <f>ROUND('２．～R6建物系'!FJ53,1)</f>
        <v>0</v>
      </c>
      <c r="Q8" s="1030">
        <f>ROUND('２．～R6建物系'!FK53,1)</f>
        <v>0</v>
      </c>
      <c r="R8" s="1030">
        <f>ROUND('２．～R6建物系'!FL53,1)</f>
        <v>0</v>
      </c>
      <c r="S8" s="1030">
        <f>ROUND('２．～R6建物系'!FM53,1)</f>
        <v>0</v>
      </c>
      <c r="T8" s="1030">
        <f>ROUND('２．～R6建物系'!FN53,1)</f>
        <v>0</v>
      </c>
      <c r="U8" s="1030">
        <f>ROUND('２．～R6建物系'!FO53,1)</f>
        <v>0</v>
      </c>
      <c r="V8" s="1030">
        <f>ROUND('２．～R6建物系'!FP53,1)</f>
        <v>0</v>
      </c>
      <c r="W8" s="1030">
        <f>ROUND('２．～R6建物系'!FQ53,1)</f>
        <v>0</v>
      </c>
      <c r="X8" s="1030">
        <f>ROUND('２．～R6建物系'!FR53,1)</f>
        <v>0</v>
      </c>
      <c r="Y8" s="1030">
        <f>ROUND('２．～R6建物系'!FS53,1)</f>
        <v>0</v>
      </c>
      <c r="Z8" s="1030">
        <f>ROUND('２．～R6建物系'!FT53,1)</f>
        <v>0</v>
      </c>
      <c r="AA8" s="1030">
        <f>ROUND('２．～R6建物系'!FU53,1)</f>
        <v>0</v>
      </c>
      <c r="AB8" s="1031">
        <f>ROUND('２．～R6建物系'!FV53,1)</f>
        <v>0</v>
      </c>
      <c r="AC8" s="1032"/>
      <c r="AD8" s="1033"/>
      <c r="AE8" s="1033"/>
      <c r="AF8" s="1033"/>
      <c r="AG8" s="1033"/>
      <c r="AH8" s="1033"/>
      <c r="AI8" s="1033"/>
      <c r="AJ8" s="1033"/>
      <c r="AK8" s="1033"/>
      <c r="AL8" s="1033"/>
      <c r="AM8" s="1022"/>
    </row>
    <row r="9" spans="2:39" ht="37.75" customHeight="1">
      <c r="B9" s="1021"/>
      <c r="C9" s="1628" t="s">
        <v>2372</v>
      </c>
      <c r="D9" s="1629"/>
      <c r="E9" s="1629"/>
      <c r="F9" s="1629"/>
      <c r="G9" s="1629"/>
      <c r="H9" s="1629"/>
      <c r="I9" s="1630"/>
      <c r="J9" s="1029" t="s">
        <v>2371</v>
      </c>
      <c r="K9" s="1030" t="e">
        <f>#REF!</f>
        <v>#REF!</v>
      </c>
      <c r="L9" s="1030">
        <f>ROUND('５．～R6工場現場'!FF53,1)</f>
        <v>0</v>
      </c>
      <c r="M9" s="1030">
        <f>ROUND('５．～R6工場現場'!FG53,1)</f>
        <v>0</v>
      </c>
      <c r="N9" s="1030">
        <f>ROUND('５．～R6工場現場'!FH53,1)</f>
        <v>0</v>
      </c>
      <c r="O9" s="1030">
        <f>ROUND('５．～R6工場現場'!FI53,1)</f>
        <v>0</v>
      </c>
      <c r="P9" s="1030">
        <f>ROUND('５．～R6工場現場'!FJ53,1)</f>
        <v>0</v>
      </c>
      <c r="Q9" s="1030">
        <f>ROUND('５．～R6工場現場'!FK53,1)</f>
        <v>0</v>
      </c>
      <c r="R9" s="1030">
        <f>ROUND('５．～R6工場現場'!FL53,1)</f>
        <v>0</v>
      </c>
      <c r="S9" s="1030">
        <f>ROUND('５．～R6工場現場'!FM53,1)</f>
        <v>0</v>
      </c>
      <c r="T9" s="1030">
        <f>ROUND('５．～R6工場現場'!FN53,1)</f>
        <v>0</v>
      </c>
      <c r="U9" s="1030">
        <f>ROUND('５．～R6工場現場'!FO53,1)</f>
        <v>0</v>
      </c>
      <c r="V9" s="1030">
        <f>ROUND('５．～R6工場現場'!FP53,1)</f>
        <v>0</v>
      </c>
      <c r="W9" s="1030">
        <f>ROUND('５．～R6工場現場'!FQ53,1)</f>
        <v>0</v>
      </c>
      <c r="X9" s="1030">
        <f>ROUND('５．～R6工場現場'!FR53,1)</f>
        <v>0</v>
      </c>
      <c r="Y9" s="1030">
        <f>ROUND('５．～R6工場現場'!FS53,1)</f>
        <v>0</v>
      </c>
      <c r="Z9" s="1030">
        <f>ROUND('５．～R6工場現場'!FT53,1)</f>
        <v>0</v>
      </c>
      <c r="AA9" s="1030">
        <f>ROUND('５．～R6工場現場'!FU53,1)</f>
        <v>0</v>
      </c>
      <c r="AB9" s="1031">
        <f>ROUND('５．～R6工場現場'!FV53,1)</f>
        <v>0</v>
      </c>
      <c r="AC9" s="1032"/>
      <c r="AD9" s="1033"/>
      <c r="AE9" s="1033"/>
      <c r="AF9" s="1033"/>
      <c r="AG9" s="1033"/>
      <c r="AH9" s="1033"/>
      <c r="AI9" s="1033"/>
      <c r="AJ9" s="1033"/>
      <c r="AK9" s="1033"/>
      <c r="AL9" s="1033"/>
      <c r="AM9" s="1022"/>
    </row>
    <row r="10" spans="2:39" ht="37.75" customHeight="1" thickBot="1">
      <c r="B10" s="1021"/>
      <c r="C10" s="1631" t="s">
        <v>2373</v>
      </c>
      <c r="D10" s="1632"/>
      <c r="E10" s="1632"/>
      <c r="F10" s="1632"/>
      <c r="G10" s="1632"/>
      <c r="H10" s="1632"/>
      <c r="I10" s="1633"/>
      <c r="J10" s="1034" t="s">
        <v>2371</v>
      </c>
      <c r="K10" s="1035">
        <f>'３．自動車_～R6'!AF56</f>
        <v>0</v>
      </c>
      <c r="L10" s="1035">
        <f>ROUND('３．自動車_～R6'!AF56,1)</f>
        <v>0</v>
      </c>
      <c r="M10" s="1035">
        <f>ROUND('３．自動車_～R6'!AG56,1)</f>
        <v>0</v>
      </c>
      <c r="N10" s="1035">
        <f>ROUND('３．自動車_～R6'!AH56,1)</f>
        <v>0</v>
      </c>
      <c r="O10" s="1035">
        <f>ROUND('３．自動車_～R6'!AI56,1)</f>
        <v>0</v>
      </c>
      <c r="P10" s="1035">
        <f>ROUND('３．自動車_～R6'!AJ56,1)</f>
        <v>0</v>
      </c>
      <c r="Q10" s="1035">
        <f>ROUND('３．自動車_～R6'!AK56,1)</f>
        <v>0</v>
      </c>
      <c r="R10" s="1035">
        <f>ROUND('３．自動車_～R6'!AL56,1)</f>
        <v>0</v>
      </c>
      <c r="S10" s="1035">
        <f>ROUND('３．自動車_～R6'!AM56,1)</f>
        <v>0</v>
      </c>
      <c r="T10" s="1035">
        <f>ROUND('３．自動車_～R6'!AN56,1)</f>
        <v>0</v>
      </c>
      <c r="U10" s="1035">
        <f>ROUND('３．自動車_～R6'!AO56,1)</f>
        <v>0</v>
      </c>
      <c r="V10" s="1035">
        <f>ROUND('３．自動車_～R6'!AP56,1)</f>
        <v>0</v>
      </c>
      <c r="W10" s="1035">
        <f>ROUND('３．自動車_～R6'!AQ56,1)</f>
        <v>0</v>
      </c>
      <c r="X10" s="1035">
        <f>ROUND('３．自動車_～R6'!AR56,1)</f>
        <v>0</v>
      </c>
      <c r="Y10" s="1035">
        <f>ROUND('３．自動車_～R6'!AS56,1)</f>
        <v>0</v>
      </c>
      <c r="Z10" s="1035">
        <f>ROUND('３．自動車_～R6'!AT56,1)</f>
        <v>0</v>
      </c>
      <c r="AA10" s="1035">
        <f>ROUND('３．自動車_～R6'!AU56,1)</f>
        <v>0</v>
      </c>
      <c r="AB10" s="1036">
        <f>ROUND('３．自動車_～R6'!AV56,1)</f>
        <v>0</v>
      </c>
      <c r="AC10" s="1037"/>
      <c r="AD10" s="1038"/>
      <c r="AE10" s="1038"/>
      <c r="AF10" s="1038"/>
      <c r="AG10" s="1038"/>
      <c r="AH10" s="1038"/>
      <c r="AI10" s="1038"/>
      <c r="AJ10" s="1038"/>
      <c r="AK10" s="1038"/>
      <c r="AL10" s="1038"/>
      <c r="AM10" s="1022"/>
    </row>
    <row r="11" spans="2:39" ht="33" customHeight="1" thickTop="1">
      <c r="B11" s="1021"/>
      <c r="C11" s="1634" t="s">
        <v>2374</v>
      </c>
      <c r="D11" s="1635"/>
      <c r="E11" s="1635"/>
      <c r="F11" s="1635"/>
      <c r="G11" s="1635"/>
      <c r="H11" s="1635"/>
      <c r="I11" s="1635"/>
      <c r="J11" s="1039" t="str">
        <f>'２．～R6建物系'!G46</f>
        <v>kWh</v>
      </c>
      <c r="K11" s="1040"/>
      <c r="L11" s="1040"/>
      <c r="M11" s="1040"/>
      <c r="N11" s="1041"/>
      <c r="O11" s="1042"/>
      <c r="P11" s="1043">
        <f>'２．～R6建物系'!V46</f>
        <v>0</v>
      </c>
      <c r="Q11" s="1043">
        <f>'２．～R6建物系'!W46</f>
        <v>0</v>
      </c>
      <c r="R11" s="1043">
        <f>'２．～R6建物系'!X46</f>
        <v>0</v>
      </c>
      <c r="S11" s="1043">
        <f>'２．～R6建物系'!Y46</f>
        <v>0</v>
      </c>
      <c r="T11" s="1043">
        <f>'２．～R6建物系'!Z46</f>
        <v>0</v>
      </c>
      <c r="U11" s="1043">
        <f>'２．～R6建物系'!AA46</f>
        <v>0</v>
      </c>
      <c r="V11" s="1043">
        <f>'２．～R6建物系'!AB46</f>
        <v>0</v>
      </c>
      <c r="W11" s="1043">
        <f>'２．～R6建物系'!AC46</f>
        <v>0</v>
      </c>
      <c r="X11" s="1043">
        <f>'２．～R6建物系'!AD46</f>
        <v>0</v>
      </c>
      <c r="Y11" s="1043">
        <f>'２．～R6建物系'!AE46</f>
        <v>0</v>
      </c>
      <c r="Z11" s="1043">
        <f>'２．～R6建物系'!AF46</f>
        <v>0</v>
      </c>
      <c r="AA11" s="1043">
        <f>'２．～R6建物系'!AG46</f>
        <v>0</v>
      </c>
      <c r="AB11" s="1044">
        <f>'２．～R6建物系'!AH46</f>
        <v>0</v>
      </c>
      <c r="AC11" s="1227"/>
      <c r="AD11" s="1228"/>
      <c r="AE11" s="1228"/>
      <c r="AF11" s="1045"/>
      <c r="AG11" s="1045"/>
      <c r="AH11" s="1045"/>
      <c r="AI11" s="1045"/>
      <c r="AJ11" s="1045"/>
      <c r="AK11" s="1045"/>
      <c r="AL11" s="1045"/>
      <c r="AM11" s="1022"/>
    </row>
    <row r="12" spans="2:39" ht="33" customHeight="1" thickBot="1">
      <c r="B12" s="1021"/>
      <c r="C12" s="1636" t="s">
        <v>2375</v>
      </c>
      <c r="D12" s="1637"/>
      <c r="E12" s="1637"/>
      <c r="F12" s="1637"/>
      <c r="G12" s="1637"/>
      <c r="H12" s="1637"/>
      <c r="I12" s="1637"/>
      <c r="J12" s="1046" t="str">
        <f>'５．～R6工場現場'!G46</f>
        <v>kWh</v>
      </c>
      <c r="K12" s="1047"/>
      <c r="L12" s="1047"/>
      <c r="M12" s="1047"/>
      <c r="N12" s="1048"/>
      <c r="O12" s="1049"/>
      <c r="P12" s="1050">
        <f>'５．～R6工場現場'!V46</f>
        <v>0</v>
      </c>
      <c r="Q12" s="1050">
        <f>'５．～R6工場現場'!W46</f>
        <v>0</v>
      </c>
      <c r="R12" s="1050">
        <f>'５．～R6工場現場'!X46</f>
        <v>0</v>
      </c>
      <c r="S12" s="1050">
        <f>'５．～R6工場現場'!Y46</f>
        <v>0</v>
      </c>
      <c r="T12" s="1050">
        <f>'５．～R6工場現場'!Z46</f>
        <v>0</v>
      </c>
      <c r="U12" s="1050">
        <f>'５．～R6工場現場'!AA46</f>
        <v>0</v>
      </c>
      <c r="V12" s="1050">
        <f>'５．～R6工場現場'!AB46</f>
        <v>0</v>
      </c>
      <c r="W12" s="1050">
        <f>'５．～R6工場現場'!AC46</f>
        <v>0</v>
      </c>
      <c r="X12" s="1050">
        <f>'５．～R6工場現場'!AD46</f>
        <v>0</v>
      </c>
      <c r="Y12" s="1050">
        <f>'５．～R6工場現場'!AE46</f>
        <v>0</v>
      </c>
      <c r="Z12" s="1050">
        <f>'５．～R6工場現場'!AF46</f>
        <v>0</v>
      </c>
      <c r="AA12" s="1050">
        <f>'５．～R6工場現場'!AG46</f>
        <v>0</v>
      </c>
      <c r="AB12" s="1051">
        <f>'５．～R6工場現場'!AH46</f>
        <v>0</v>
      </c>
      <c r="AC12" s="1229"/>
      <c r="AD12" s="1230"/>
      <c r="AE12" s="1230"/>
      <c r="AF12" s="890"/>
      <c r="AG12" s="890"/>
      <c r="AH12" s="890"/>
      <c r="AI12" s="890"/>
      <c r="AJ12" s="890"/>
      <c r="AK12" s="890"/>
      <c r="AL12" s="890"/>
      <c r="AM12" s="1022"/>
    </row>
    <row r="13" spans="2:39" ht="33" hidden="1" customHeight="1" thickTop="1">
      <c r="B13" s="1021"/>
      <c r="C13" s="1619" t="s">
        <v>2376</v>
      </c>
      <c r="D13" s="1620"/>
      <c r="E13" s="1620"/>
      <c r="F13" s="1620"/>
      <c r="G13" s="1620"/>
      <c r="H13" s="1620"/>
      <c r="I13" s="1621"/>
      <c r="J13" s="1052" t="s">
        <v>2377</v>
      </c>
      <c r="K13" s="1053"/>
      <c r="L13" s="1053"/>
      <c r="M13" s="1054">
        <f>ROUND('２．～R6建物系'!FG46,1)</f>
        <v>0</v>
      </c>
      <c r="N13" s="1054">
        <f>ROUND('２．～R6建物系'!FH46,1)</f>
        <v>0</v>
      </c>
      <c r="O13" s="1054">
        <f>ROUND('２．～R6建物系'!FI46,1)</f>
        <v>0</v>
      </c>
      <c r="P13" s="1054">
        <f>ROUND('２．～R6建物系'!FJ46,1)</f>
        <v>0</v>
      </c>
      <c r="Q13" s="1054">
        <f>ROUND('２．～R6建物系'!FK46,1)</f>
        <v>0</v>
      </c>
      <c r="R13" s="1054">
        <f>ROUND('２．～R6建物系'!FL46,1)</f>
        <v>0</v>
      </c>
      <c r="S13" s="1054">
        <f>ROUND('２．～R6建物系'!FM46,1)</f>
        <v>0</v>
      </c>
      <c r="T13" s="1054">
        <f>ROUND('２．～R6建物系'!FN46,1)</f>
        <v>0</v>
      </c>
      <c r="U13" s="1054">
        <f>ROUND('２．～R6建物系'!FO46,1)</f>
        <v>0</v>
      </c>
      <c r="V13" s="1054">
        <f>ROUND('２．～R6建物系'!FP46,1)</f>
        <v>0</v>
      </c>
      <c r="W13" s="1054">
        <f>ROUND('２．～R6建物系'!FQ46,1)</f>
        <v>0</v>
      </c>
      <c r="X13" s="1054">
        <f>ROUND('２．～R6建物系'!FR46,1)</f>
        <v>0</v>
      </c>
      <c r="Y13" s="1054">
        <f>ROUND('２．～R6建物系'!FS46,1)</f>
        <v>0</v>
      </c>
      <c r="Z13" s="1054">
        <f>ROUND('２．～R6建物系'!FT46,1)</f>
        <v>0</v>
      </c>
      <c r="AA13" s="1054">
        <f>ROUND('２．～R6建物系'!FU46,1)</f>
        <v>0</v>
      </c>
      <c r="AB13" s="1055">
        <f>ROUND('２．～R6建物系'!FV46,1)</f>
        <v>0</v>
      </c>
      <c r="AC13" s="1243">
        <f t="shared" ref="AC13:AE14" si="0">ROUND(IF($J11="kWh",$AC$47*AC11*0.5*0.001,IF($J11="千kWh",$AC$47*AC11*0.5,"")),0)*-1</f>
        <v>0</v>
      </c>
      <c r="AD13" s="1244">
        <f t="shared" si="0"/>
        <v>0</v>
      </c>
      <c r="AE13" s="1244">
        <f t="shared" si="0"/>
        <v>0</v>
      </c>
      <c r="AF13" s="1056"/>
      <c r="AG13" s="1056"/>
      <c r="AH13" s="1056"/>
      <c r="AI13" s="1056"/>
      <c r="AJ13" s="1056"/>
      <c r="AK13" s="1056"/>
      <c r="AL13" s="1056"/>
      <c r="AM13" s="1022"/>
    </row>
    <row r="14" spans="2:39" ht="33" hidden="1" customHeight="1" thickBot="1">
      <c r="B14" s="1021"/>
      <c r="C14" s="1605" t="s">
        <v>2378</v>
      </c>
      <c r="D14" s="1606"/>
      <c r="E14" s="1606"/>
      <c r="F14" s="1606"/>
      <c r="G14" s="1606"/>
      <c r="H14" s="1606"/>
      <c r="I14" s="1607"/>
      <c r="J14" s="1029" t="s">
        <v>2371</v>
      </c>
      <c r="K14" s="1057"/>
      <c r="L14" s="1057"/>
      <c r="M14" s="1225">
        <f>ROUND('６．エコアップCO2量一覧'!FG47,1)</f>
        <v>0</v>
      </c>
      <c r="N14" s="1225">
        <f>ROUND('６．エコアップCO2量一覧'!FH47,1)</f>
        <v>0</v>
      </c>
      <c r="O14" s="1225">
        <f>ROUND('６．エコアップCO2量一覧'!FI47,1)</f>
        <v>0</v>
      </c>
      <c r="P14" s="1225">
        <f>ROUND('６．エコアップCO2量一覧'!FJ47,1)</f>
        <v>0</v>
      </c>
      <c r="Q14" s="1225">
        <f>ROUND('６．エコアップCO2量一覧'!FK47,1)</f>
        <v>0</v>
      </c>
      <c r="R14" s="1225">
        <f>ROUND('６．エコアップCO2量一覧'!FL47,1)</f>
        <v>0</v>
      </c>
      <c r="S14" s="1225">
        <f>ROUND('６．エコアップCO2量一覧'!FM47,1)</f>
        <v>0</v>
      </c>
      <c r="T14" s="1225">
        <f>ROUND('６．エコアップCO2量一覧'!FN47,1)</f>
        <v>0</v>
      </c>
      <c r="U14" s="1225">
        <f>ROUND('６．エコアップCO2量一覧'!FO47,1)</f>
        <v>0</v>
      </c>
      <c r="V14" s="1225">
        <f>ROUND('６．エコアップCO2量一覧'!FP47,1)</f>
        <v>0</v>
      </c>
      <c r="W14" s="1225">
        <f>ROUND('６．エコアップCO2量一覧'!FQ47,1)</f>
        <v>0</v>
      </c>
      <c r="X14" s="1225">
        <f>ROUND('６．エコアップCO2量一覧'!FR47,1)</f>
        <v>0</v>
      </c>
      <c r="Y14" s="1225">
        <f>ROUND('６．エコアップCO2量一覧'!FS47,1)</f>
        <v>0</v>
      </c>
      <c r="Z14" s="1225">
        <f>ROUND('６．エコアップCO2量一覧'!FT47,1)</f>
        <v>0</v>
      </c>
      <c r="AA14" s="1225">
        <f>ROUND('６．エコアップCO2量一覧'!FU47,1)</f>
        <v>0</v>
      </c>
      <c r="AB14" s="1226">
        <f>ROUND('６．エコアップCO2量一覧'!FV47,1)</f>
        <v>0</v>
      </c>
      <c r="AC14" s="1245">
        <f t="shared" si="0"/>
        <v>0</v>
      </c>
      <c r="AD14" s="1246">
        <f t="shared" si="0"/>
        <v>0</v>
      </c>
      <c r="AE14" s="1246">
        <f t="shared" si="0"/>
        <v>0</v>
      </c>
      <c r="AF14" s="1058"/>
      <c r="AG14" s="1058"/>
      <c r="AH14" s="1058"/>
      <c r="AI14" s="1058"/>
      <c r="AJ14" s="1058"/>
      <c r="AK14" s="1058"/>
      <c r="AL14" s="1058"/>
      <c r="AM14" s="1022"/>
    </row>
    <row r="15" spans="2:39" ht="33" customHeight="1" thickTop="1">
      <c r="B15" s="1021"/>
      <c r="C15" s="1619" t="s">
        <v>2379</v>
      </c>
      <c r="D15" s="1620"/>
      <c r="E15" s="1620"/>
      <c r="F15" s="1620"/>
      <c r="G15" s="1620"/>
      <c r="H15" s="1620"/>
      <c r="I15" s="1621"/>
      <c r="J15" s="1029" t="s">
        <v>2371</v>
      </c>
      <c r="K15" s="1059"/>
      <c r="L15" s="1059"/>
      <c r="M15" s="1059"/>
      <c r="N15" s="1060"/>
      <c r="O15" s="880"/>
      <c r="P15" s="1061"/>
      <c r="Q15" s="1061"/>
      <c r="R15" s="1061"/>
      <c r="S15" s="1061"/>
      <c r="T15" s="1061"/>
      <c r="U15" s="1061"/>
      <c r="V15" s="1061"/>
      <c r="W15" s="1061"/>
      <c r="X15" s="1061"/>
      <c r="Y15" s="1061"/>
      <c r="Z15" s="1061"/>
      <c r="AA15" s="1061"/>
      <c r="AB15" s="1220"/>
      <c r="AC15" s="1235">
        <f>AC13+AC8</f>
        <v>0</v>
      </c>
      <c r="AD15" s="1236">
        <f t="shared" ref="AD15:AE15" si="1">AD13+AD8</f>
        <v>0</v>
      </c>
      <c r="AE15" s="1237">
        <f t="shared" si="1"/>
        <v>0</v>
      </c>
      <c r="AF15" s="1221"/>
      <c r="AG15" s="1221"/>
      <c r="AH15" s="1221"/>
      <c r="AI15" s="1221"/>
      <c r="AJ15" s="1221"/>
      <c r="AK15" s="1221"/>
      <c r="AL15" s="880"/>
      <c r="AM15" s="1022"/>
    </row>
    <row r="16" spans="2:39" ht="33" customHeight="1" thickBot="1">
      <c r="B16" s="1021"/>
      <c r="C16" s="1605" t="s">
        <v>2380</v>
      </c>
      <c r="D16" s="1606"/>
      <c r="E16" s="1606"/>
      <c r="F16" s="1606"/>
      <c r="G16" s="1606"/>
      <c r="H16" s="1606"/>
      <c r="I16" s="1607"/>
      <c r="J16" s="1062" t="s">
        <v>2371</v>
      </c>
      <c r="K16" s="1063"/>
      <c r="L16" s="1063"/>
      <c r="M16" s="1063"/>
      <c r="N16" s="1064"/>
      <c r="O16" s="1065"/>
      <c r="P16" s="1066"/>
      <c r="Q16" s="1066"/>
      <c r="R16" s="1066"/>
      <c r="S16" s="1066"/>
      <c r="T16" s="1066"/>
      <c r="U16" s="1066"/>
      <c r="V16" s="1066"/>
      <c r="W16" s="1066"/>
      <c r="X16" s="1066"/>
      <c r="Y16" s="1066"/>
      <c r="Z16" s="1066"/>
      <c r="AA16" s="1066"/>
      <c r="AB16" s="1222"/>
      <c r="AC16" s="1238">
        <f>AC14+AC9</f>
        <v>0</v>
      </c>
      <c r="AD16" s="1239">
        <f t="shared" ref="AD16:AE16" si="2">AD14+AD9</f>
        <v>0</v>
      </c>
      <c r="AE16" s="1240">
        <f t="shared" si="2"/>
        <v>0</v>
      </c>
      <c r="AF16" s="1223"/>
      <c r="AG16" s="1223"/>
      <c r="AH16" s="1223"/>
      <c r="AI16" s="1223"/>
      <c r="AJ16" s="1223"/>
      <c r="AK16" s="1223"/>
      <c r="AL16" s="1224"/>
      <c r="AM16" s="1022"/>
    </row>
    <row r="17" spans="2:39" ht="37.75" customHeight="1" thickBot="1">
      <c r="B17" s="1021"/>
      <c r="C17" s="1608" t="s">
        <v>2381</v>
      </c>
      <c r="D17" s="1609"/>
      <c r="E17" s="1609"/>
      <c r="F17" s="1609"/>
      <c r="G17" s="1609"/>
      <c r="H17" s="1609"/>
      <c r="I17" s="1610"/>
      <c r="J17" s="1067" t="s">
        <v>2371</v>
      </c>
      <c r="K17" s="1247" t="e">
        <f t="shared" ref="K17:AB17" si="3">K8+K9+K10</f>
        <v>#REF!</v>
      </c>
      <c r="L17" s="1247">
        <f t="shared" si="3"/>
        <v>0</v>
      </c>
      <c r="M17" s="1247">
        <f t="shared" si="3"/>
        <v>0</v>
      </c>
      <c r="N17" s="1247">
        <f t="shared" si="3"/>
        <v>0</v>
      </c>
      <c r="O17" s="1247">
        <f t="shared" si="3"/>
        <v>0</v>
      </c>
      <c r="P17" s="1247">
        <f t="shared" si="3"/>
        <v>0</v>
      </c>
      <c r="Q17" s="1247">
        <f t="shared" si="3"/>
        <v>0</v>
      </c>
      <c r="R17" s="1247">
        <f t="shared" si="3"/>
        <v>0</v>
      </c>
      <c r="S17" s="1247">
        <f t="shared" si="3"/>
        <v>0</v>
      </c>
      <c r="T17" s="1247">
        <f t="shared" si="3"/>
        <v>0</v>
      </c>
      <c r="U17" s="1247">
        <f t="shared" si="3"/>
        <v>0</v>
      </c>
      <c r="V17" s="1247">
        <f t="shared" si="3"/>
        <v>0</v>
      </c>
      <c r="W17" s="1247">
        <f t="shared" si="3"/>
        <v>0</v>
      </c>
      <c r="X17" s="1247">
        <f t="shared" si="3"/>
        <v>0</v>
      </c>
      <c r="Y17" s="1247">
        <f t="shared" si="3"/>
        <v>0</v>
      </c>
      <c r="Z17" s="1247">
        <f t="shared" si="3"/>
        <v>0</v>
      </c>
      <c r="AA17" s="1247">
        <f t="shared" si="3"/>
        <v>0</v>
      </c>
      <c r="AB17" s="1248">
        <f t="shared" si="3"/>
        <v>0</v>
      </c>
      <c r="AC17" s="1242">
        <f>ROUND(AC8+AC9+AC10+(AC13+AC14),1)</f>
        <v>0</v>
      </c>
      <c r="AD17" s="1241">
        <f>ROUND(AD8+AD9+AD10+(AD13+AD14),1)</f>
        <v>0</v>
      </c>
      <c r="AE17" s="1241">
        <f>ROUND(AE8+AE9+AE10+(AE13+AE14),1)</f>
        <v>0</v>
      </c>
      <c r="AF17" s="1616" t="s">
        <v>2501</v>
      </c>
      <c r="AG17" s="1617"/>
      <c r="AH17" s="1617"/>
      <c r="AI17" s="1617"/>
      <c r="AJ17" s="1617"/>
      <c r="AK17" s="1617"/>
      <c r="AL17" s="1618"/>
      <c r="AM17" s="1022"/>
    </row>
    <row r="18" spans="2:39" ht="38.25" customHeight="1" thickBot="1">
      <c r="B18" s="1021"/>
      <c r="C18" s="1611" t="s">
        <v>2500</v>
      </c>
      <c r="D18" s="1612"/>
      <c r="E18" s="1612"/>
      <c r="F18" s="1612"/>
      <c r="G18" s="1612"/>
      <c r="H18" s="1612"/>
      <c r="I18" s="1613"/>
      <c r="J18" s="1034" t="s">
        <v>2371</v>
      </c>
      <c r="K18" s="1070"/>
      <c r="S18" s="1072">
        <f t="shared" ref="S18:W18" si="4">S8+S9+S10-(S13+S14)</f>
        <v>0</v>
      </c>
      <c r="T18" s="1068">
        <f t="shared" si="4"/>
        <v>0</v>
      </c>
      <c r="U18" s="1068">
        <f t="shared" si="4"/>
        <v>0</v>
      </c>
      <c r="V18" s="1068">
        <f t="shared" si="4"/>
        <v>0</v>
      </c>
      <c r="W18" s="1068">
        <f t="shared" si="4"/>
        <v>0</v>
      </c>
      <c r="X18" s="1068">
        <f t="shared" ref="X18:Y18" si="5">X8+X9+X10-(X13+X14)</f>
        <v>0</v>
      </c>
      <c r="Y18" s="1068">
        <f t="shared" si="5"/>
        <v>0</v>
      </c>
      <c r="Z18" s="1068">
        <f>Z8+Z9+Z10-(Z13+Z14)</f>
        <v>0</v>
      </c>
      <c r="AA18" s="1069">
        <f t="shared" ref="AA18:AB18" si="6">AA8+AA9+AA10-(AA13+AA14)</f>
        <v>0</v>
      </c>
      <c r="AB18" s="1069">
        <f t="shared" si="6"/>
        <v>0</v>
      </c>
      <c r="AC18" s="1249">
        <f t="shared" ref="AC18:AL18" si="7">ROUND(AC8+AC9+AC10,1)</f>
        <v>0</v>
      </c>
      <c r="AD18" s="1250">
        <f t="shared" si="7"/>
        <v>0</v>
      </c>
      <c r="AE18" s="1250">
        <f t="shared" si="7"/>
        <v>0</v>
      </c>
      <c r="AF18" s="1250">
        <f t="shared" si="7"/>
        <v>0</v>
      </c>
      <c r="AG18" s="1250">
        <f t="shared" si="7"/>
        <v>0</v>
      </c>
      <c r="AH18" s="1250">
        <f t="shared" si="7"/>
        <v>0</v>
      </c>
      <c r="AI18" s="1250">
        <f t="shared" si="7"/>
        <v>0</v>
      </c>
      <c r="AJ18" s="1250">
        <f t="shared" si="7"/>
        <v>0</v>
      </c>
      <c r="AK18" s="1250">
        <f t="shared" si="7"/>
        <v>0</v>
      </c>
      <c r="AL18" s="1251">
        <f t="shared" si="7"/>
        <v>0</v>
      </c>
      <c r="AM18" s="1022"/>
    </row>
    <row r="19" spans="2:39" ht="38.25" customHeight="1" thickBot="1">
      <c r="B19" s="1021"/>
      <c r="C19" s="1614" t="s">
        <v>2382</v>
      </c>
      <c r="D19" s="1614"/>
      <c r="E19" s="1614"/>
      <c r="F19" s="1614"/>
      <c r="G19" s="1614"/>
      <c r="H19" s="1614"/>
      <c r="I19" s="1614"/>
      <c r="J19" s="1614"/>
      <c r="K19" s="1073"/>
      <c r="S19" s="1071"/>
      <c r="T19" s="1071"/>
      <c r="U19" s="1071"/>
      <c r="V19" s="1071"/>
      <c r="W19" s="1071"/>
      <c r="X19" s="1071"/>
      <c r="Y19" s="1071"/>
      <c r="Z19" s="1071"/>
      <c r="AA19" s="1071"/>
      <c r="AB19" s="1074" t="s">
        <v>2524</v>
      </c>
      <c r="AC19" s="1592" t="str">
        <f>J57</f>
        <v/>
      </c>
      <c r="AD19" s="1593"/>
      <c r="AE19" s="1075" t="s">
        <v>2377</v>
      </c>
      <c r="AF19" s="1233" t="str">
        <f>IF(J59="","",IF(J58=3,"OK","？"))</f>
        <v/>
      </c>
      <c r="AG19" s="1234"/>
      <c r="AM19" s="1022"/>
    </row>
    <row r="20" spans="2:39" ht="37.25" hidden="1" customHeight="1" thickBot="1">
      <c r="B20" s="1021"/>
      <c r="C20" s="1594" t="s">
        <v>2383</v>
      </c>
      <c r="D20" s="1594"/>
      <c r="E20" s="1594"/>
      <c r="F20" s="1594"/>
      <c r="G20" s="1594"/>
      <c r="H20" s="1594"/>
      <c r="I20" s="1594"/>
      <c r="J20" s="1594"/>
      <c r="K20" s="1076"/>
      <c r="L20" s="1595"/>
      <c r="M20" s="1596"/>
      <c r="N20" s="1077" t="s">
        <v>2377</v>
      </c>
      <c r="S20" s="1071"/>
      <c r="T20" s="1071"/>
      <c r="U20" s="1071"/>
      <c r="V20" s="1071"/>
      <c r="W20" s="1071"/>
      <c r="X20" s="1071"/>
      <c r="Y20" s="1071"/>
      <c r="Z20" s="1071"/>
      <c r="AA20" s="1071"/>
      <c r="AB20" s="1204" t="s">
        <v>2384</v>
      </c>
      <c r="AC20" s="1597" t="str">
        <f>J59</f>
        <v/>
      </c>
      <c r="AD20" s="1598"/>
      <c r="AE20" s="1078" t="s">
        <v>2377</v>
      </c>
      <c r="AF20" s="1079" t="str">
        <f>IF(J57="","",IF(J58=3,"OK",""))</f>
        <v/>
      </c>
      <c r="AM20" s="1022"/>
    </row>
    <row r="21" spans="2:39" ht="19.5" customHeight="1">
      <c r="B21" s="1021"/>
      <c r="C21" s="1197"/>
      <c r="D21" s="1197"/>
      <c r="E21" s="1197"/>
      <c r="F21" s="1197"/>
      <c r="G21" s="1205"/>
      <c r="H21" s="1205"/>
      <c r="I21" s="1197"/>
      <c r="J21" s="1197"/>
      <c r="K21" s="1197"/>
      <c r="L21" s="1197"/>
      <c r="M21" s="1197"/>
      <c r="N21" s="1197"/>
      <c r="O21" s="1197"/>
      <c r="P21" s="1197"/>
      <c r="Q21" s="1197"/>
      <c r="R21" s="1197"/>
      <c r="S21" s="1197"/>
      <c r="T21" s="1197"/>
      <c r="AM21" s="1022"/>
    </row>
    <row r="22" spans="2:39" ht="19.5" customHeight="1">
      <c r="B22" s="1021"/>
      <c r="C22" s="1206" t="s">
        <v>2385</v>
      </c>
      <c r="D22" s="1197"/>
      <c r="E22" s="1197"/>
      <c r="F22" s="1197"/>
      <c r="G22" s="1197"/>
      <c r="H22" s="1197"/>
      <c r="I22" s="1197"/>
      <c r="J22" s="1197"/>
      <c r="K22" s="1197"/>
      <c r="L22" s="1197"/>
      <c r="M22" s="1197"/>
      <c r="N22" s="1197"/>
      <c r="O22" s="1197"/>
      <c r="S22" s="1197"/>
      <c r="T22" s="1197"/>
      <c r="AM22" s="1022"/>
    </row>
    <row r="23" spans="2:39" ht="11.4" customHeight="1">
      <c r="B23" s="1021"/>
      <c r="C23" s="1197"/>
      <c r="D23" s="1197"/>
      <c r="E23" s="1197"/>
      <c r="F23" s="1197"/>
      <c r="G23" s="1197"/>
      <c r="H23" s="1197"/>
      <c r="I23" s="1197"/>
      <c r="J23" s="1197"/>
      <c r="K23" s="1197"/>
      <c r="L23" s="1197"/>
      <c r="M23" s="1197"/>
      <c r="N23" s="1197"/>
      <c r="O23" s="1197"/>
      <c r="P23" s="1197"/>
      <c r="Q23" s="1197"/>
      <c r="R23" s="1197"/>
      <c r="T23" s="1197"/>
      <c r="U23" s="1197"/>
      <c r="V23" s="1202"/>
      <c r="X23" s="1202"/>
      <c r="Y23" s="1202"/>
      <c r="Z23" s="1202"/>
      <c r="AA23" s="1202"/>
      <c r="AL23" s="1202" t="s">
        <v>2386</v>
      </c>
      <c r="AM23" s="1022"/>
    </row>
    <row r="24" spans="2:39" ht="35.15" customHeight="1">
      <c r="B24" s="1021"/>
      <c r="C24" s="1599"/>
      <c r="D24" s="1600"/>
      <c r="E24" s="1600"/>
      <c r="F24" s="1600"/>
      <c r="G24" s="1600"/>
      <c r="H24" s="1600"/>
      <c r="I24" s="1600"/>
      <c r="J24" s="1601"/>
      <c r="K24" s="1023"/>
      <c r="L24" s="1023" t="s">
        <v>2342</v>
      </c>
      <c r="M24" s="1023" t="s">
        <v>2343</v>
      </c>
      <c r="N24" s="1023" t="s">
        <v>2344</v>
      </c>
      <c r="O24" s="1023" t="s">
        <v>2345</v>
      </c>
      <c r="P24" s="1023" t="s">
        <v>2346</v>
      </c>
      <c r="Q24" s="1023" t="s">
        <v>2347</v>
      </c>
      <c r="R24" s="1023" t="s">
        <v>2348</v>
      </c>
      <c r="S24" s="1023" t="s">
        <v>2349</v>
      </c>
      <c r="T24" s="1023" t="s">
        <v>2350</v>
      </c>
      <c r="U24" s="1023" t="s">
        <v>2351</v>
      </c>
      <c r="V24" s="1023" t="s">
        <v>2352</v>
      </c>
      <c r="W24" s="1023" t="s">
        <v>2353</v>
      </c>
      <c r="X24" s="1023" t="s">
        <v>2354</v>
      </c>
      <c r="Y24" s="1023" t="s">
        <v>2355</v>
      </c>
      <c r="Z24" s="1023" t="s">
        <v>2356</v>
      </c>
      <c r="AA24" s="1023" t="s">
        <v>2357</v>
      </c>
      <c r="AB24" s="1024" t="s">
        <v>2358</v>
      </c>
      <c r="AC24" s="1025" t="s">
        <v>2359</v>
      </c>
      <c r="AD24" s="1023" t="s">
        <v>2360</v>
      </c>
      <c r="AE24" s="1023" t="s">
        <v>2361</v>
      </c>
      <c r="AF24" s="1023" t="s">
        <v>2362</v>
      </c>
      <c r="AG24" s="1023" t="s">
        <v>2363</v>
      </c>
      <c r="AH24" s="1023" t="s">
        <v>2364</v>
      </c>
      <c r="AI24" s="1023" t="s">
        <v>2365</v>
      </c>
      <c r="AJ24" s="1023" t="s">
        <v>2366</v>
      </c>
      <c r="AK24" s="1023" t="s">
        <v>2367</v>
      </c>
      <c r="AL24" s="1023" t="s">
        <v>2368</v>
      </c>
      <c r="AM24" s="1022"/>
    </row>
    <row r="25" spans="2:39" ht="24.9" customHeight="1" thickBot="1">
      <c r="B25" s="1021"/>
      <c r="C25" s="1615" t="s">
        <v>2369</v>
      </c>
      <c r="D25" s="1615"/>
      <c r="E25" s="1615"/>
      <c r="F25" s="1615"/>
      <c r="G25" s="1615"/>
      <c r="H25" s="1615"/>
      <c r="I25" s="1615"/>
      <c r="J25" s="1337" t="str">
        <f t="shared" ref="J25:AB25" si="8">IF(J7="","",J7)</f>
        <v>単位</v>
      </c>
      <c r="K25" s="1315" t="str">
        <f t="shared" si="8"/>
        <v/>
      </c>
      <c r="L25" s="1315" t="str">
        <f t="shared" si="8"/>
        <v/>
      </c>
      <c r="M25" s="1315" t="str">
        <f t="shared" si="8"/>
        <v/>
      </c>
      <c r="N25" s="1315" t="str">
        <f t="shared" si="8"/>
        <v/>
      </c>
      <c r="O25" s="1315" t="str">
        <f t="shared" si="8"/>
        <v/>
      </c>
      <c r="P25" s="1315" t="str">
        <f t="shared" si="8"/>
        <v/>
      </c>
      <c r="Q25" s="1315" t="str">
        <f t="shared" si="8"/>
        <v/>
      </c>
      <c r="R25" s="1315" t="str">
        <f t="shared" si="8"/>
        <v/>
      </c>
      <c r="S25" s="1315" t="str">
        <f t="shared" si="8"/>
        <v/>
      </c>
      <c r="T25" s="1315" t="str">
        <f t="shared" si="8"/>
        <v/>
      </c>
      <c r="U25" s="1315" t="str">
        <f t="shared" si="8"/>
        <v/>
      </c>
      <c r="V25" s="1315" t="str">
        <f t="shared" si="8"/>
        <v/>
      </c>
      <c r="W25" s="1315" t="str">
        <f t="shared" si="8"/>
        <v/>
      </c>
      <c r="X25" s="1316" t="str">
        <f t="shared" si="8"/>
        <v/>
      </c>
      <c r="Y25" s="1316" t="str">
        <f t="shared" si="8"/>
        <v/>
      </c>
      <c r="Z25" s="1316" t="str">
        <f t="shared" si="8"/>
        <v/>
      </c>
      <c r="AA25" s="1316" t="str">
        <f t="shared" si="8"/>
        <v/>
      </c>
      <c r="AB25" s="1317" t="str">
        <f t="shared" si="8"/>
        <v/>
      </c>
      <c r="AC25" s="1219" t="str">
        <f t="shared" ref="AC25:AL25" si="9">IF(AC7="","",AC7)</f>
        <v/>
      </c>
      <c r="AD25" s="1218" t="str">
        <f t="shared" si="9"/>
        <v/>
      </c>
      <c r="AE25" s="1218" t="str">
        <f t="shared" si="9"/>
        <v/>
      </c>
      <c r="AF25" s="1218" t="str">
        <f t="shared" si="9"/>
        <v/>
      </c>
      <c r="AG25" s="1218" t="str">
        <f t="shared" si="9"/>
        <v/>
      </c>
      <c r="AH25" s="1218" t="str">
        <f t="shared" si="9"/>
        <v/>
      </c>
      <c r="AI25" s="1218" t="str">
        <f t="shared" si="9"/>
        <v/>
      </c>
      <c r="AJ25" s="1218" t="str">
        <f t="shared" si="9"/>
        <v/>
      </c>
      <c r="AK25" s="1218" t="str">
        <f t="shared" si="9"/>
        <v/>
      </c>
      <c r="AL25" s="1218" t="str">
        <f t="shared" si="9"/>
        <v/>
      </c>
      <c r="AM25" s="1022"/>
    </row>
    <row r="26" spans="2:39" ht="29.4" customHeight="1" thickBot="1">
      <c r="B26" s="1021"/>
      <c r="C26" s="1602" t="s">
        <v>2387</v>
      </c>
      <c r="D26" s="1603"/>
      <c r="E26" s="1603"/>
      <c r="F26" s="1603"/>
      <c r="G26" s="1603"/>
      <c r="H26" s="1603"/>
      <c r="I26" s="1604"/>
      <c r="J26" s="1322" t="str">
        <f>AE36</f>
        <v>t-CO₂/台</v>
      </c>
      <c r="K26" s="1323" t="str">
        <f>IF(ISERROR(K17/INDEX(K28:K34,$F$28)),"",K17/INDEX(K28:K34,$F$28))</f>
        <v/>
      </c>
      <c r="L26" s="1324" t="str">
        <f t="shared" ref="L26:AB26" si="10">IF(ISERROR(ROUND(L17/INDEX(L28:L34,$F$28),4)),"",ROUND(L17/INDEX(L28:L34,$F$28),4))</f>
        <v/>
      </c>
      <c r="M26" s="1324" t="str">
        <f t="shared" si="10"/>
        <v/>
      </c>
      <c r="N26" s="1324" t="str">
        <f t="shared" si="10"/>
        <v/>
      </c>
      <c r="O26" s="1324" t="str">
        <f t="shared" si="10"/>
        <v/>
      </c>
      <c r="P26" s="1324" t="str">
        <f t="shared" si="10"/>
        <v/>
      </c>
      <c r="Q26" s="1324" t="str">
        <f t="shared" si="10"/>
        <v/>
      </c>
      <c r="R26" s="1324" t="str">
        <f t="shared" si="10"/>
        <v/>
      </c>
      <c r="S26" s="1324" t="str">
        <f t="shared" si="10"/>
        <v/>
      </c>
      <c r="T26" s="1324" t="str">
        <f t="shared" si="10"/>
        <v/>
      </c>
      <c r="U26" s="1324" t="str">
        <f t="shared" si="10"/>
        <v/>
      </c>
      <c r="V26" s="1324" t="str">
        <f t="shared" si="10"/>
        <v/>
      </c>
      <c r="W26" s="1324" t="str">
        <f t="shared" si="10"/>
        <v/>
      </c>
      <c r="X26" s="1324" t="str">
        <f t="shared" si="10"/>
        <v/>
      </c>
      <c r="Y26" s="1324" t="str">
        <f t="shared" si="10"/>
        <v/>
      </c>
      <c r="Z26" s="1324" t="str">
        <f t="shared" si="10"/>
        <v/>
      </c>
      <c r="AA26" s="1324" t="str">
        <f t="shared" si="10"/>
        <v/>
      </c>
      <c r="AB26" s="1325" t="str">
        <f t="shared" si="10"/>
        <v/>
      </c>
      <c r="AC26" s="1326" t="str">
        <f>IF(ISERROR(ROUND(AC17/INDEX(AC28:AC34,$F$28),4)),"",ROUND(AC17/INDEX(AC28:AC34,$F$28),4))</f>
        <v/>
      </c>
      <c r="AD26" s="1327" t="str">
        <f>IF(ISERROR(ROUND(AD17/INDEX(AD28:AD34,$F$28),4)),"",ROUND(AD17/INDEX(AD28:AD34,$F$28),4))</f>
        <v/>
      </c>
      <c r="AE26" s="1327" t="str">
        <f>IF(ISERROR(ROUND(AE17/INDEX(AE28:AE34,$F$28),4)),"",ROUND(AE17/INDEX(AE28:AE34,$F$28),4))</f>
        <v/>
      </c>
      <c r="AF26" s="1328"/>
      <c r="AG26" s="1328"/>
      <c r="AH26" s="1328"/>
      <c r="AI26" s="1328"/>
      <c r="AJ26" s="1328"/>
      <c r="AK26" s="1328"/>
      <c r="AL26" s="1329"/>
      <c r="AM26" s="1022"/>
    </row>
    <row r="27" spans="2:39" ht="29.4" customHeight="1" thickBot="1">
      <c r="B27" s="1021"/>
      <c r="C27" s="1585" t="s">
        <v>2502</v>
      </c>
      <c r="D27" s="1585"/>
      <c r="E27" s="1586"/>
      <c r="F27" s="1586"/>
      <c r="G27" s="1586"/>
      <c r="H27" s="1586"/>
      <c r="I27" s="1586"/>
      <c r="J27" s="1318" t="str">
        <f>AE36</f>
        <v>t-CO₂/台</v>
      </c>
      <c r="K27" s="1319"/>
      <c r="L27" s="1320"/>
      <c r="M27" s="1320"/>
      <c r="N27" s="1320"/>
      <c r="O27" s="1320"/>
      <c r="P27" s="1320"/>
      <c r="Q27" s="1320"/>
      <c r="R27" s="1320"/>
      <c r="S27" s="1321" t="str">
        <f t="shared" ref="S27:W27" si="11">IF(ISERROR(ROUND(S18/INDEX(S28:S34,$F$28),4)),"",ROUND(S18/INDEX(S28:S34,$F$28),4))</f>
        <v/>
      </c>
      <c r="T27" s="1321" t="str">
        <f t="shared" si="11"/>
        <v/>
      </c>
      <c r="U27" s="1321" t="str">
        <f t="shared" si="11"/>
        <v/>
      </c>
      <c r="V27" s="1321" t="str">
        <f t="shared" si="11"/>
        <v/>
      </c>
      <c r="W27" s="1321" t="str">
        <f t="shared" si="11"/>
        <v/>
      </c>
      <c r="X27" s="1321" t="str">
        <f t="shared" ref="X27:AB27" si="12">IF(ISERROR(ROUND(X18/INDEX(X28:X34,$F$28),4)),"",ROUND(X18/INDEX(X28:X34,$F$28),4))</f>
        <v/>
      </c>
      <c r="Y27" s="1321" t="str">
        <f t="shared" si="12"/>
        <v/>
      </c>
      <c r="Z27" s="1321" t="str">
        <f t="shared" si="12"/>
        <v/>
      </c>
      <c r="AA27" s="1321" t="str">
        <f t="shared" si="12"/>
        <v/>
      </c>
      <c r="AB27" s="1321" t="str">
        <f t="shared" si="12"/>
        <v/>
      </c>
      <c r="AC27" s="1332" t="str">
        <f t="shared" ref="AC27:AL27" si="13">IF(ISERROR(ROUND(AC18/INDEX(AC28:AC34,$F$28),4)),"",ROUND(AC18/INDEX(AC28:AC34,$F$28),4))</f>
        <v/>
      </c>
      <c r="AD27" s="1324" t="str">
        <f t="shared" si="13"/>
        <v/>
      </c>
      <c r="AE27" s="1324" t="str">
        <f t="shared" si="13"/>
        <v/>
      </c>
      <c r="AF27" s="1324" t="str">
        <f t="shared" si="13"/>
        <v/>
      </c>
      <c r="AG27" s="1324" t="str">
        <f t="shared" si="13"/>
        <v/>
      </c>
      <c r="AH27" s="1324" t="str">
        <f t="shared" si="13"/>
        <v/>
      </c>
      <c r="AI27" s="1324" t="str">
        <f t="shared" si="13"/>
        <v/>
      </c>
      <c r="AJ27" s="1324" t="str">
        <f t="shared" si="13"/>
        <v/>
      </c>
      <c r="AK27" s="1324" t="str">
        <f t="shared" si="13"/>
        <v/>
      </c>
      <c r="AL27" s="1324" t="str">
        <f t="shared" si="13"/>
        <v/>
      </c>
      <c r="AM27" s="1022"/>
    </row>
    <row r="28" spans="2:39" ht="30" customHeight="1">
      <c r="B28" s="1021"/>
      <c r="C28" s="1587" t="s">
        <v>2388</v>
      </c>
      <c r="D28" s="1080">
        <v>1</v>
      </c>
      <c r="E28" s="1081"/>
      <c r="F28" s="838">
        <v>5</v>
      </c>
      <c r="G28" s="1588" t="s">
        <v>2389</v>
      </c>
      <c r="H28" s="1589"/>
      <c r="I28" s="1082" t="s">
        <v>19</v>
      </c>
      <c r="J28" s="1083"/>
      <c r="K28" s="1084"/>
      <c r="L28" s="1085"/>
      <c r="M28" s="1085"/>
      <c r="N28" s="1085"/>
      <c r="O28" s="1085"/>
      <c r="P28" s="1085"/>
      <c r="Q28" s="1085"/>
      <c r="R28" s="1085"/>
      <c r="S28" s="1085"/>
      <c r="T28" s="1085"/>
      <c r="U28" s="1085"/>
      <c r="V28" s="1085"/>
      <c r="W28" s="1085"/>
      <c r="X28" s="1085"/>
      <c r="Y28" s="1085"/>
      <c r="Z28" s="1085"/>
      <c r="AA28" s="1085"/>
      <c r="AB28" s="1312"/>
      <c r="AC28" s="1330"/>
      <c r="AD28" s="1331"/>
      <c r="AE28" s="1331"/>
      <c r="AF28" s="1331"/>
      <c r="AG28" s="1331"/>
      <c r="AH28" s="1331"/>
      <c r="AI28" s="1331"/>
      <c r="AJ28" s="1331"/>
      <c r="AK28" s="1331"/>
      <c r="AL28" s="1331"/>
      <c r="AM28" s="1022"/>
    </row>
    <row r="29" spans="2:39" ht="30" customHeight="1">
      <c r="B29" s="1021"/>
      <c r="C29" s="1587"/>
      <c r="D29" s="1080">
        <v>2</v>
      </c>
      <c r="E29" s="1081"/>
      <c r="F29" s="1081"/>
      <c r="G29" s="1588" t="s">
        <v>2390</v>
      </c>
      <c r="H29" s="1589"/>
      <c r="I29" s="1082" t="s">
        <v>2391</v>
      </c>
      <c r="J29" s="1083"/>
      <c r="K29" s="1084"/>
      <c r="L29" s="1085"/>
      <c r="M29" s="1085"/>
      <c r="N29" s="1085"/>
      <c r="O29" s="1085"/>
      <c r="P29" s="1085"/>
      <c r="Q29" s="1085"/>
      <c r="R29" s="1085"/>
      <c r="S29" s="1085"/>
      <c r="T29" s="1085"/>
      <c r="U29" s="1085"/>
      <c r="V29" s="1085"/>
      <c r="W29" s="1085"/>
      <c r="X29" s="1085"/>
      <c r="Y29" s="1085"/>
      <c r="Z29" s="1085"/>
      <c r="AA29" s="1085"/>
      <c r="AB29" s="1312"/>
      <c r="AC29" s="1310"/>
      <c r="AD29" s="1085"/>
      <c r="AE29" s="1085"/>
      <c r="AF29" s="1085"/>
      <c r="AG29" s="1085"/>
      <c r="AH29" s="1085"/>
      <c r="AI29" s="1085"/>
      <c r="AJ29" s="1085"/>
      <c r="AK29" s="1085"/>
      <c r="AL29" s="1085"/>
      <c r="AM29" s="1022"/>
    </row>
    <row r="30" spans="2:39" ht="30" customHeight="1">
      <c r="B30" s="1021"/>
      <c r="C30" s="1587"/>
      <c r="D30" s="1080">
        <v>3</v>
      </c>
      <c r="E30" s="1081"/>
      <c r="F30" s="1081"/>
      <c r="G30" s="1588" t="s">
        <v>2392</v>
      </c>
      <c r="H30" s="1589"/>
      <c r="I30" s="1082" t="s">
        <v>2393</v>
      </c>
      <c r="J30" s="1083"/>
      <c r="K30" s="1084"/>
      <c r="L30" s="1085"/>
      <c r="M30" s="1085"/>
      <c r="N30" s="1085"/>
      <c r="O30" s="1085"/>
      <c r="P30" s="1085"/>
      <c r="Q30" s="1085"/>
      <c r="R30" s="1085"/>
      <c r="S30" s="1085"/>
      <c r="T30" s="1085"/>
      <c r="U30" s="1085"/>
      <c r="V30" s="1085"/>
      <c r="W30" s="1085"/>
      <c r="X30" s="1085"/>
      <c r="Y30" s="1085"/>
      <c r="Z30" s="1085"/>
      <c r="AA30" s="1085"/>
      <c r="AB30" s="1312"/>
      <c r="AC30" s="1310"/>
      <c r="AD30" s="1085"/>
      <c r="AE30" s="1085"/>
      <c r="AF30" s="1085"/>
      <c r="AG30" s="1085"/>
      <c r="AH30" s="1085"/>
      <c r="AI30" s="1085"/>
      <c r="AJ30" s="1085"/>
      <c r="AK30" s="1085"/>
      <c r="AL30" s="1085"/>
      <c r="AM30" s="1022"/>
    </row>
    <row r="31" spans="2:39" ht="30" customHeight="1">
      <c r="B31" s="1021"/>
      <c r="C31" s="1587"/>
      <c r="D31" s="1080">
        <v>4</v>
      </c>
      <c r="E31" s="1081"/>
      <c r="F31" s="1081"/>
      <c r="G31" s="1588" t="s">
        <v>2394</v>
      </c>
      <c r="H31" s="1589"/>
      <c r="I31" s="1082" t="s">
        <v>2395</v>
      </c>
      <c r="J31" s="1083"/>
      <c r="K31" s="1084"/>
      <c r="L31" s="1085"/>
      <c r="M31" s="1085"/>
      <c r="N31" s="1085"/>
      <c r="O31" s="1085"/>
      <c r="P31" s="1085"/>
      <c r="Q31" s="1085"/>
      <c r="R31" s="1085"/>
      <c r="S31" s="1085"/>
      <c r="T31" s="1085"/>
      <c r="U31" s="1085"/>
      <c r="V31" s="1085"/>
      <c r="W31" s="1085"/>
      <c r="X31" s="1085"/>
      <c r="Y31" s="1085"/>
      <c r="Z31" s="1085"/>
      <c r="AA31" s="1085"/>
      <c r="AB31" s="1312"/>
      <c r="AC31" s="1310"/>
      <c r="AD31" s="1085"/>
      <c r="AE31" s="1085"/>
      <c r="AF31" s="1085"/>
      <c r="AG31" s="1085"/>
      <c r="AH31" s="1085"/>
      <c r="AI31" s="1085"/>
      <c r="AJ31" s="1085"/>
      <c r="AK31" s="1085"/>
      <c r="AL31" s="1085"/>
      <c r="AM31" s="1022"/>
    </row>
    <row r="32" spans="2:39" ht="30" customHeight="1">
      <c r="B32" s="1021"/>
      <c r="C32" s="1587"/>
      <c r="D32" s="1080">
        <v>5</v>
      </c>
      <c r="E32" s="1081"/>
      <c r="F32" s="1081"/>
      <c r="G32" s="1588" t="s">
        <v>2396</v>
      </c>
      <c r="H32" s="1589"/>
      <c r="I32" s="1082" t="s">
        <v>2397</v>
      </c>
      <c r="J32" s="1083"/>
      <c r="K32" s="1084"/>
      <c r="L32" s="1085"/>
      <c r="M32" s="1085"/>
      <c r="N32" s="1085"/>
      <c r="O32" s="1085"/>
      <c r="P32" s="1085"/>
      <c r="Q32" s="1085"/>
      <c r="R32" s="1085"/>
      <c r="S32" s="1085"/>
      <c r="T32" s="1085"/>
      <c r="U32" s="1085"/>
      <c r="V32" s="1085"/>
      <c r="W32" s="1085"/>
      <c r="X32" s="1085"/>
      <c r="Y32" s="1085"/>
      <c r="Z32" s="1085"/>
      <c r="AA32" s="1085"/>
      <c r="AB32" s="1312"/>
      <c r="AC32" s="1310"/>
      <c r="AD32" s="1085"/>
      <c r="AE32" s="1085"/>
      <c r="AF32" s="1085"/>
      <c r="AG32" s="1085"/>
      <c r="AH32" s="1085"/>
      <c r="AI32" s="1085"/>
      <c r="AJ32" s="1085"/>
      <c r="AK32" s="1085"/>
      <c r="AL32" s="1085"/>
      <c r="AM32" s="1022"/>
    </row>
    <row r="33" spans="2:39" ht="30" customHeight="1">
      <c r="B33" s="1021"/>
      <c r="C33" s="1587"/>
      <c r="D33" s="1080">
        <v>6</v>
      </c>
      <c r="E33" s="1081"/>
      <c r="F33" s="1081"/>
      <c r="G33" s="1588" t="s">
        <v>2398</v>
      </c>
      <c r="H33" s="1589"/>
      <c r="I33" s="1082" t="s">
        <v>2399</v>
      </c>
      <c r="J33" s="1083"/>
      <c r="K33" s="1084"/>
      <c r="L33" s="1085"/>
      <c r="M33" s="1085"/>
      <c r="N33" s="1085"/>
      <c r="O33" s="1085"/>
      <c r="P33" s="1085"/>
      <c r="Q33" s="1085"/>
      <c r="R33" s="1085"/>
      <c r="S33" s="1085"/>
      <c r="T33" s="1085"/>
      <c r="U33" s="1085"/>
      <c r="V33" s="1085"/>
      <c r="W33" s="1085"/>
      <c r="X33" s="1085"/>
      <c r="Y33" s="1085"/>
      <c r="Z33" s="1085"/>
      <c r="AA33" s="1085"/>
      <c r="AB33" s="1312"/>
      <c r="AC33" s="1310"/>
      <c r="AD33" s="1085"/>
      <c r="AE33" s="1085"/>
      <c r="AF33" s="1085"/>
      <c r="AG33" s="1085"/>
      <c r="AH33" s="1085"/>
      <c r="AI33" s="1085"/>
      <c r="AJ33" s="1085"/>
      <c r="AK33" s="1085"/>
      <c r="AL33" s="1085"/>
      <c r="AM33" s="1022"/>
    </row>
    <row r="34" spans="2:39" ht="30" customHeight="1" thickBot="1">
      <c r="B34" s="1021"/>
      <c r="C34" s="1587"/>
      <c r="D34" s="1080">
        <v>7</v>
      </c>
      <c r="E34" s="1081"/>
      <c r="F34" s="1081"/>
      <c r="G34" s="1590"/>
      <c r="H34" s="1591"/>
      <c r="I34" s="1086"/>
      <c r="J34" s="1083"/>
      <c r="K34" s="1084"/>
      <c r="L34" s="1085"/>
      <c r="M34" s="1085"/>
      <c r="N34" s="1085"/>
      <c r="O34" s="1085"/>
      <c r="P34" s="1085"/>
      <c r="Q34" s="1085"/>
      <c r="R34" s="1085"/>
      <c r="S34" s="1085"/>
      <c r="T34" s="1085"/>
      <c r="U34" s="1085"/>
      <c r="V34" s="1085"/>
      <c r="W34" s="1085"/>
      <c r="X34" s="1085"/>
      <c r="Y34" s="1085"/>
      <c r="Z34" s="1085"/>
      <c r="AA34" s="1085"/>
      <c r="AB34" s="1312"/>
      <c r="AC34" s="1311"/>
      <c r="AD34" s="1085"/>
      <c r="AE34" s="1085"/>
      <c r="AF34" s="1085"/>
      <c r="AG34" s="1085"/>
      <c r="AH34" s="1085"/>
      <c r="AI34" s="1085"/>
      <c r="AJ34" s="1085"/>
      <c r="AK34" s="1085"/>
      <c r="AL34" s="1085"/>
      <c r="AM34" s="1022"/>
    </row>
    <row r="35" spans="2:39" ht="37.75" customHeight="1" thickBot="1">
      <c r="B35" s="1021"/>
      <c r="C35" s="1580" t="s">
        <v>2400</v>
      </c>
      <c r="D35" s="1581"/>
      <c r="E35" s="1581"/>
      <c r="F35" s="1581"/>
      <c r="G35" s="1581"/>
      <c r="H35" s="1581"/>
      <c r="I35" s="1581"/>
      <c r="J35" s="1582"/>
      <c r="K35" s="1087"/>
      <c r="L35" s="1583"/>
      <c r="M35" s="1584"/>
      <c r="N35" s="1088"/>
      <c r="S35" s="1207"/>
      <c r="T35" s="1207"/>
      <c r="U35" s="1207"/>
      <c r="V35" s="1207"/>
      <c r="W35" s="1207"/>
      <c r="X35" s="1207"/>
      <c r="Y35" s="1207"/>
      <c r="Z35" s="1207"/>
      <c r="AA35" s="1207"/>
      <c r="AB35" s="1074" t="s">
        <v>2524</v>
      </c>
      <c r="AC35" s="1570" t="str">
        <f>J65</f>
        <v/>
      </c>
      <c r="AD35" s="1571"/>
      <c r="AE35" s="1089" t="str">
        <f>"t-CO₂"&amp;"/"&amp;J54</f>
        <v>t-CO₂/台</v>
      </c>
      <c r="AF35" s="1232" t="str">
        <f>IF(J64="","",IF(J64=3,"OK","？"))</f>
        <v>？</v>
      </c>
      <c r="AG35" s="1234"/>
      <c r="AM35" s="1022"/>
    </row>
    <row r="36" spans="2:39" ht="38.25" hidden="1" customHeight="1" thickBot="1">
      <c r="B36" s="1021"/>
      <c r="C36" s="1572" t="s">
        <v>2401</v>
      </c>
      <c r="D36" s="1573"/>
      <c r="E36" s="1573"/>
      <c r="F36" s="1573"/>
      <c r="G36" s="1573"/>
      <c r="H36" s="1573"/>
      <c r="I36" s="1573"/>
      <c r="J36" s="1574"/>
      <c r="K36" s="1091"/>
      <c r="S36" s="1207"/>
      <c r="T36" s="1207"/>
      <c r="U36" s="1207"/>
      <c r="V36" s="1207"/>
      <c r="W36" s="1207"/>
      <c r="X36" s="1207"/>
      <c r="Y36" s="1207"/>
      <c r="Z36" s="1207"/>
      <c r="AC36" s="1575" t="str">
        <f>J65</f>
        <v/>
      </c>
      <c r="AD36" s="1576"/>
      <c r="AE36" s="1089" t="str">
        <f>"t-CO₂"&amp;"/"&amp;J54</f>
        <v>t-CO₂/台</v>
      </c>
      <c r="AF36" s="1090" t="str">
        <f>IF(J63="","",IF(J64=3,"OK",""))</f>
        <v/>
      </c>
      <c r="AM36" s="1022"/>
    </row>
    <row r="37" spans="2:39" ht="32.25" hidden="1" customHeight="1" thickBot="1">
      <c r="B37" s="1021"/>
      <c r="C37" s="1577" t="s">
        <v>2402</v>
      </c>
      <c r="D37" s="1577"/>
      <c r="E37" s="1577"/>
      <c r="F37" s="1577"/>
      <c r="G37" s="1577"/>
      <c r="H37" s="1577"/>
      <c r="I37" s="1577"/>
      <c r="J37" s="1577"/>
      <c r="K37" s="1087"/>
      <c r="L37" s="1578" t="str">
        <f>IFERROR(AC36/+L35,"")</f>
        <v/>
      </c>
      <c r="M37" s="1579"/>
      <c r="N37" s="1071"/>
      <c r="P37" s="1204"/>
      <c r="Q37" s="1207"/>
      <c r="R37" s="1207"/>
      <c r="S37" s="1207"/>
      <c r="T37" s="1207"/>
      <c r="U37" s="1207"/>
      <c r="V37" s="1207"/>
      <c r="W37" s="1207"/>
      <c r="X37" s="1207"/>
      <c r="Y37" s="1207"/>
      <c r="Z37" s="1207"/>
      <c r="AA37" s="1207"/>
      <c r="AB37" s="1207"/>
      <c r="AM37" s="1022"/>
    </row>
    <row r="38" spans="2:39" ht="18" hidden="1" customHeight="1">
      <c r="B38" s="1092"/>
      <c r="AM38" s="1022"/>
    </row>
    <row r="39" spans="2:39" ht="18" hidden="1" customHeight="1">
      <c r="B39" s="1092"/>
      <c r="C39" s="1208"/>
      <c r="AM39" s="1022"/>
    </row>
    <row r="40" spans="2:39" ht="18" hidden="1" customHeight="1">
      <c r="B40" s="1092"/>
      <c r="AM40" s="1022"/>
    </row>
    <row r="41" spans="2:39" ht="23.4" hidden="1" customHeight="1">
      <c r="B41" s="1092"/>
      <c r="C41" s="829"/>
      <c r="D41" s="829"/>
      <c r="E41" s="829"/>
      <c r="F41" s="829"/>
      <c r="G41" s="829"/>
      <c r="H41" s="829"/>
      <c r="I41" s="1209"/>
      <c r="J41" s="1209"/>
      <c r="K41" s="1210"/>
      <c r="L41" s="1210"/>
      <c r="M41" s="1211"/>
      <c r="N41" s="1211"/>
      <c r="O41" s="1211"/>
      <c r="P41" s="1211"/>
      <c r="Q41" s="1211"/>
      <c r="R41" s="1211"/>
      <c r="S41" s="1211"/>
      <c r="T41" s="1211"/>
      <c r="U41" s="1211"/>
      <c r="V41" s="1211"/>
      <c r="W41" s="1211"/>
      <c r="X41" s="1211"/>
      <c r="Y41" s="1211"/>
      <c r="Z41" s="1211"/>
      <c r="AA41" s="1211"/>
      <c r="AB41" s="1211"/>
      <c r="AM41" s="1022"/>
    </row>
    <row r="42" spans="2:39" ht="23.4" hidden="1" customHeight="1">
      <c r="B42" s="1092"/>
      <c r="C42" s="829"/>
      <c r="D42" s="829"/>
      <c r="E42" s="829"/>
      <c r="F42" s="829"/>
      <c r="G42" s="829"/>
      <c r="H42" s="829"/>
      <c r="I42" s="1212"/>
      <c r="J42" s="1212"/>
      <c r="K42" s="1213"/>
      <c r="L42" s="1213"/>
      <c r="M42" s="1093"/>
      <c r="N42" s="1093"/>
      <c r="O42" s="1093"/>
      <c r="P42" s="1093"/>
      <c r="Q42" s="1093"/>
      <c r="R42" s="1093"/>
      <c r="S42" s="1093"/>
      <c r="T42" s="1093"/>
      <c r="U42" s="1093"/>
      <c r="V42" s="1093"/>
      <c r="W42" s="1093"/>
      <c r="X42" s="1093"/>
      <c r="Y42" s="1093"/>
      <c r="Z42" s="1093"/>
      <c r="AA42" s="1093"/>
      <c r="AB42" s="1093"/>
      <c r="AM42" s="1022"/>
    </row>
    <row r="43" spans="2:39" ht="23.4" hidden="1" customHeight="1">
      <c r="B43" s="1092"/>
      <c r="C43" s="829"/>
      <c r="D43" s="829"/>
      <c r="E43" s="829"/>
      <c r="F43" s="829"/>
      <c r="G43" s="829"/>
      <c r="H43" s="829"/>
      <c r="I43" s="1212"/>
      <c r="J43" s="1212"/>
      <c r="K43" s="1213"/>
      <c r="L43" s="1213"/>
      <c r="M43" s="1094"/>
      <c r="N43" s="1094"/>
      <c r="O43" s="1094"/>
      <c r="P43" s="1094"/>
      <c r="Q43" s="1094"/>
      <c r="R43" s="1094"/>
      <c r="S43" s="1094"/>
      <c r="T43" s="1094"/>
      <c r="U43" s="1094"/>
      <c r="V43" s="1094"/>
      <c r="W43" s="1094"/>
      <c r="X43" s="1094"/>
      <c r="Y43" s="1094"/>
      <c r="Z43" s="1094"/>
      <c r="AA43" s="1094"/>
      <c r="AB43" s="1094"/>
      <c r="AM43" s="1022"/>
    </row>
    <row r="44" spans="2:39" ht="23.4" hidden="1" customHeight="1">
      <c r="B44" s="1092"/>
      <c r="C44" s="829"/>
      <c r="D44" s="829"/>
      <c r="E44" s="829"/>
      <c r="F44" s="829"/>
      <c r="G44" s="829"/>
      <c r="H44" s="829"/>
      <c r="I44" s="1214"/>
      <c r="J44" s="1214"/>
      <c r="K44" s="1213"/>
      <c r="L44" s="1213"/>
      <c r="M44" s="1095"/>
      <c r="N44" s="1095"/>
      <c r="O44" s="1095"/>
      <c r="P44" s="1095"/>
      <c r="Q44" s="1095"/>
      <c r="R44" s="1095"/>
      <c r="S44" s="1095"/>
      <c r="T44" s="1095"/>
      <c r="U44" s="1095"/>
      <c r="V44" s="1095"/>
      <c r="W44" s="1095"/>
      <c r="X44" s="1095"/>
      <c r="Y44" s="1095"/>
      <c r="Z44" s="1095"/>
      <c r="AA44" s="1095"/>
      <c r="AB44" s="1095"/>
      <c r="AM44" s="1022"/>
    </row>
    <row r="45" spans="2:39" ht="23.4" customHeight="1">
      <c r="B45" s="1092"/>
      <c r="C45" s="829"/>
      <c r="D45" s="829"/>
      <c r="E45" s="829"/>
      <c r="F45" s="829"/>
      <c r="G45" s="829"/>
      <c r="H45" s="829"/>
      <c r="I45" s="1214"/>
      <c r="J45" s="1214"/>
      <c r="K45" s="1213"/>
      <c r="L45" s="1213"/>
      <c r="M45" s="1096"/>
      <c r="N45" s="1096"/>
      <c r="O45" s="1096"/>
      <c r="P45" s="1096"/>
      <c r="Q45" s="1096"/>
      <c r="R45" s="1096"/>
      <c r="S45" s="1096"/>
      <c r="T45" s="1096"/>
      <c r="U45" s="1096"/>
      <c r="V45" s="1096"/>
      <c r="W45" s="1096"/>
      <c r="X45" s="1096"/>
      <c r="Y45" s="1096"/>
      <c r="Z45" s="1096"/>
      <c r="AA45" s="1096"/>
      <c r="AB45" s="1096"/>
      <c r="AM45" s="1022"/>
    </row>
    <row r="46" spans="2:39" ht="24" customHeight="1" thickBot="1">
      <c r="B46" s="1092"/>
      <c r="AM46" s="1022"/>
    </row>
    <row r="47" spans="2:39" ht="24" customHeight="1" thickBot="1">
      <c r="B47" s="1092"/>
      <c r="AB47" s="816" t="s">
        <v>2478</v>
      </c>
      <c r="AC47" s="1097">
        <v>0.42199999999999999</v>
      </c>
      <c r="AD47" s="772" t="s">
        <v>2403</v>
      </c>
      <c r="AM47" s="1022"/>
    </row>
    <row r="48" spans="2:39" ht="24" customHeight="1">
      <c r="B48" s="1215"/>
      <c r="C48" s="1216"/>
      <c r="D48" s="1216"/>
      <c r="E48" s="1216"/>
      <c r="F48" s="1216"/>
      <c r="G48" s="1216"/>
      <c r="H48" s="1216"/>
      <c r="I48" s="1216"/>
      <c r="J48" s="1216"/>
      <c r="K48" s="1216"/>
      <c r="L48" s="1216"/>
      <c r="M48" s="1216"/>
      <c r="N48" s="1216"/>
      <c r="O48" s="1216"/>
      <c r="P48" s="1216"/>
      <c r="Q48" s="1216"/>
      <c r="R48" s="1216"/>
      <c r="S48" s="1216"/>
      <c r="T48" s="1216"/>
      <c r="U48" s="1216"/>
      <c r="V48" s="1216"/>
      <c r="W48" s="1216"/>
      <c r="X48" s="1216"/>
      <c r="Y48" s="1216"/>
      <c r="Z48" s="1216"/>
      <c r="AA48" s="1216"/>
      <c r="AB48" s="1216"/>
      <c r="AC48" s="1216"/>
      <c r="AD48" s="1216"/>
      <c r="AE48" s="1216"/>
      <c r="AF48" s="1216"/>
      <c r="AG48" s="1216"/>
      <c r="AH48" s="1216"/>
      <c r="AI48" s="1216"/>
      <c r="AJ48" s="1216"/>
      <c r="AK48" s="1216"/>
      <c r="AL48" s="1216"/>
      <c r="AM48" s="1217"/>
    </row>
    <row r="49" spans="2:39" ht="10.75" customHeight="1">
      <c r="B49" s="1016"/>
      <c r="C49" s="1016"/>
      <c r="D49" s="1016"/>
      <c r="E49" s="1016"/>
      <c r="F49" s="1016"/>
      <c r="G49" s="1016"/>
      <c r="H49" s="1016"/>
      <c r="I49" s="1016"/>
      <c r="J49" s="1016"/>
      <c r="K49" s="1016"/>
      <c r="L49" s="1016"/>
      <c r="M49" s="1016"/>
      <c r="N49" s="1016"/>
      <c r="O49" s="1016"/>
      <c r="P49" s="1016"/>
      <c r="Q49" s="1016"/>
      <c r="R49" s="1016"/>
      <c r="S49" s="1016"/>
      <c r="T49" s="1016"/>
      <c r="U49" s="1016"/>
      <c r="V49" s="1016"/>
      <c r="W49" s="1016"/>
      <c r="X49" s="1016"/>
      <c r="Y49" s="1016"/>
      <c r="Z49" s="1016"/>
      <c r="AA49" s="1016"/>
      <c r="AB49" s="1098"/>
      <c r="AC49" s="1016"/>
      <c r="AD49" s="1016"/>
      <c r="AE49" s="1016"/>
      <c r="AF49" s="1016"/>
      <c r="AG49" s="1016"/>
      <c r="AH49" s="1016"/>
      <c r="AI49" s="1016"/>
      <c r="AJ49" s="1016"/>
      <c r="AK49" s="1016"/>
      <c r="AL49" s="1016"/>
      <c r="AM49" s="1016"/>
    </row>
    <row r="50" spans="2:39" ht="11.25" customHeight="1">
      <c r="C50" s="1099"/>
    </row>
    <row r="51" spans="2:39" ht="18" customHeight="1"/>
    <row r="52" spans="2:39" ht="18" hidden="1" customHeight="1"/>
    <row r="53" spans="2:39" hidden="1"/>
    <row r="54" spans="2:39" hidden="1">
      <c r="B54" s="1092"/>
      <c r="J54" s="1100" t="str">
        <f>INDEX(I28:I34,$F$28)</f>
        <v>台</v>
      </c>
    </row>
    <row r="55" spans="2:39" hidden="1">
      <c r="B55" s="1092"/>
      <c r="N55" s="772">
        <f t="shared" ref="N55:AB55" si="14">IF(N7="○",1,0)</f>
        <v>0</v>
      </c>
      <c r="O55" s="772">
        <f t="shared" si="14"/>
        <v>0</v>
      </c>
      <c r="P55" s="772">
        <f t="shared" si="14"/>
        <v>0</v>
      </c>
      <c r="Q55" s="772">
        <f t="shared" si="14"/>
        <v>0</v>
      </c>
      <c r="R55" s="772">
        <f t="shared" si="14"/>
        <v>0</v>
      </c>
      <c r="S55" s="772">
        <f t="shared" si="14"/>
        <v>0</v>
      </c>
      <c r="T55" s="772">
        <f t="shared" si="14"/>
        <v>0</v>
      </c>
      <c r="U55" s="772">
        <f t="shared" si="14"/>
        <v>0</v>
      </c>
      <c r="V55" s="772">
        <f t="shared" si="14"/>
        <v>0</v>
      </c>
      <c r="W55" s="772">
        <f t="shared" si="14"/>
        <v>0</v>
      </c>
      <c r="X55" s="772">
        <f t="shared" si="14"/>
        <v>0</v>
      </c>
      <c r="Y55" s="772">
        <f t="shared" si="14"/>
        <v>0</v>
      </c>
      <c r="Z55" s="772">
        <f t="shared" si="14"/>
        <v>0</v>
      </c>
      <c r="AA55" s="772">
        <f t="shared" si="14"/>
        <v>0</v>
      </c>
      <c r="AB55" s="772">
        <f t="shared" si="14"/>
        <v>0</v>
      </c>
      <c r="AC55" s="772">
        <f t="shared" ref="AC55:AL55" si="15">IF(AC7="○",1,0)</f>
        <v>0</v>
      </c>
      <c r="AD55" s="772">
        <f t="shared" si="15"/>
        <v>0</v>
      </c>
      <c r="AE55" s="772">
        <f t="shared" si="15"/>
        <v>0</v>
      </c>
      <c r="AF55" s="772">
        <f t="shared" si="15"/>
        <v>0</v>
      </c>
      <c r="AG55" s="772">
        <f t="shared" si="15"/>
        <v>0</v>
      </c>
      <c r="AH55" s="772">
        <f t="shared" si="15"/>
        <v>0</v>
      </c>
      <c r="AI55" s="772">
        <f t="shared" si="15"/>
        <v>0</v>
      </c>
      <c r="AJ55" s="772">
        <f t="shared" si="15"/>
        <v>0</v>
      </c>
      <c r="AK55" s="772">
        <f t="shared" si="15"/>
        <v>0</v>
      </c>
      <c r="AL55" s="772">
        <f t="shared" si="15"/>
        <v>0</v>
      </c>
    </row>
    <row r="56" spans="2:39" ht="13.5" hidden="1" thickBot="1">
      <c r="B56" s="1092"/>
      <c r="J56" s="772">
        <f>SUM(N56:AA56)</f>
        <v>0</v>
      </c>
      <c r="N56" s="772">
        <f t="shared" ref="N56:Y56" si="16">N55*O55</f>
        <v>0</v>
      </c>
      <c r="O56" s="772">
        <f t="shared" si="16"/>
        <v>0</v>
      </c>
      <c r="P56" s="772">
        <f t="shared" si="16"/>
        <v>0</v>
      </c>
      <c r="Q56" s="772">
        <f t="shared" si="16"/>
        <v>0</v>
      </c>
      <c r="R56" s="772">
        <f t="shared" si="16"/>
        <v>0</v>
      </c>
      <c r="S56" s="772">
        <f t="shared" si="16"/>
        <v>0</v>
      </c>
      <c r="T56" s="772">
        <f t="shared" si="16"/>
        <v>0</v>
      </c>
      <c r="U56" s="772">
        <f t="shared" si="16"/>
        <v>0</v>
      </c>
      <c r="V56" s="772">
        <f t="shared" si="16"/>
        <v>0</v>
      </c>
      <c r="W56" s="772">
        <f t="shared" si="16"/>
        <v>0</v>
      </c>
      <c r="X56" s="772">
        <f t="shared" si="16"/>
        <v>0</v>
      </c>
      <c r="Y56" s="772">
        <f t="shared" si="16"/>
        <v>0</v>
      </c>
      <c r="Z56" s="772">
        <f>Z55*AA55</f>
        <v>0</v>
      </c>
      <c r="AA56" s="772">
        <f t="shared" ref="AA56:AF56" si="17">AA55*AB55</f>
        <v>0</v>
      </c>
      <c r="AB56" s="772">
        <f>AB55*AC55</f>
        <v>0</v>
      </c>
      <c r="AC56" s="772">
        <f t="shared" si="17"/>
        <v>0</v>
      </c>
      <c r="AD56" s="772">
        <f t="shared" si="17"/>
        <v>0</v>
      </c>
      <c r="AE56" s="772">
        <f t="shared" si="17"/>
        <v>0</v>
      </c>
      <c r="AF56" s="772">
        <f t="shared" si="17"/>
        <v>0</v>
      </c>
      <c r="AG56" s="772">
        <f>AG55*AH55</f>
        <v>0</v>
      </c>
      <c r="AH56" s="772">
        <f t="shared" ref="AH56:AK56" si="18">AH55*AI55</f>
        <v>0</v>
      </c>
      <c r="AI56" s="772">
        <f t="shared" si="18"/>
        <v>0</v>
      </c>
      <c r="AJ56" s="772">
        <f t="shared" si="18"/>
        <v>0</v>
      </c>
      <c r="AK56" s="772">
        <f t="shared" si="18"/>
        <v>0</v>
      </c>
      <c r="AL56" s="772">
        <f>AL55*AM55</f>
        <v>0</v>
      </c>
    </row>
    <row r="57" spans="2:39" ht="13.5" hidden="1" thickBot="1">
      <c r="B57" s="1092"/>
      <c r="I57" s="816" t="s">
        <v>2404</v>
      </c>
      <c r="J57" s="1101" t="str">
        <f>IFERROR(IF(COUNTA(AC7:AL7)&lt;&gt;0,ROUND(AVERAGE(S58:AL58),1),ROUND(AVERAGE(N57:AB57),1)),"")</f>
        <v/>
      </c>
      <c r="L57" s="1102" t="str">
        <f>IF(H7="○",L17,"")</f>
        <v/>
      </c>
      <c r="M57" s="1102" t="str">
        <f>IF(I7="○",M17,"")</f>
        <v/>
      </c>
      <c r="N57" s="1102" t="str">
        <f t="shared" ref="N57:AE57" si="19">IF(N7="○",N17,"")</f>
        <v/>
      </c>
      <c r="O57" s="1102" t="str">
        <f t="shared" si="19"/>
        <v/>
      </c>
      <c r="P57" s="1102" t="str">
        <f t="shared" si="19"/>
        <v/>
      </c>
      <c r="Q57" s="1102" t="str">
        <f t="shared" si="19"/>
        <v/>
      </c>
      <c r="R57" s="1102" t="str">
        <f t="shared" si="19"/>
        <v/>
      </c>
      <c r="S57" s="1102" t="str">
        <f t="shared" si="19"/>
        <v/>
      </c>
      <c r="T57" s="1102" t="str">
        <f t="shared" si="19"/>
        <v/>
      </c>
      <c r="U57" s="1102" t="str">
        <f t="shared" si="19"/>
        <v/>
      </c>
      <c r="V57" s="1102" t="str">
        <f t="shared" si="19"/>
        <v/>
      </c>
      <c r="W57" s="1102" t="str">
        <f t="shared" si="19"/>
        <v/>
      </c>
      <c r="X57" s="1102" t="str">
        <f t="shared" si="19"/>
        <v/>
      </c>
      <c r="Y57" s="1102" t="str">
        <f t="shared" si="19"/>
        <v/>
      </c>
      <c r="Z57" s="1102" t="str">
        <f t="shared" si="19"/>
        <v/>
      </c>
      <c r="AA57" s="1102" t="str">
        <f t="shared" si="19"/>
        <v/>
      </c>
      <c r="AB57" s="1102" t="str">
        <f t="shared" si="19"/>
        <v/>
      </c>
      <c r="AC57" s="1102" t="str">
        <f t="shared" si="19"/>
        <v/>
      </c>
      <c r="AD57" s="1102" t="str">
        <f t="shared" si="19"/>
        <v/>
      </c>
      <c r="AE57" s="1102" t="str">
        <f t="shared" si="19"/>
        <v/>
      </c>
      <c r="AF57" s="1102"/>
      <c r="AG57" s="1102"/>
      <c r="AH57" s="1102"/>
      <c r="AI57" s="1102"/>
      <c r="AJ57" s="1102"/>
      <c r="AK57" s="1102"/>
      <c r="AL57" s="1102"/>
    </row>
    <row r="58" spans="2:39" ht="13.5" hidden="1" thickBot="1">
      <c r="B58" s="1092"/>
      <c r="J58" s="772">
        <f>(COUNTA(L7:AL7)+COUNT(N57:AL57))/2</f>
        <v>0</v>
      </c>
      <c r="S58" s="802" t="str">
        <f t="shared" ref="S58:W58" si="20">IF(S7="○",S18,"")</f>
        <v/>
      </c>
      <c r="T58" s="802" t="str">
        <f t="shared" si="20"/>
        <v/>
      </c>
      <c r="U58" s="802" t="str">
        <f t="shared" si="20"/>
        <v/>
      </c>
      <c r="V58" s="802" t="str">
        <f t="shared" si="20"/>
        <v/>
      </c>
      <c r="W58" s="802" t="str">
        <f t="shared" si="20"/>
        <v/>
      </c>
      <c r="X58" s="802" t="str">
        <f t="shared" ref="X58:Z58" si="21">IF(X7="○",X18,"")</f>
        <v/>
      </c>
      <c r="Y58" s="802" t="str">
        <f t="shared" si="21"/>
        <v/>
      </c>
      <c r="Z58" s="802" t="str">
        <f t="shared" si="21"/>
        <v/>
      </c>
      <c r="AA58" s="802" t="str">
        <f t="shared" ref="AA58:AL58" si="22">IF(AA7="○",AA18,"")</f>
        <v/>
      </c>
      <c r="AB58" s="802" t="str">
        <f t="shared" si="22"/>
        <v/>
      </c>
      <c r="AC58" s="802" t="str">
        <f t="shared" si="22"/>
        <v/>
      </c>
      <c r="AD58" s="802" t="str">
        <f t="shared" si="22"/>
        <v/>
      </c>
      <c r="AE58" s="802" t="str">
        <f t="shared" si="22"/>
        <v/>
      </c>
      <c r="AF58" s="802" t="str">
        <f t="shared" si="22"/>
        <v/>
      </c>
      <c r="AG58" s="802" t="str">
        <f t="shared" si="22"/>
        <v/>
      </c>
      <c r="AH58" s="802" t="str">
        <f t="shared" si="22"/>
        <v/>
      </c>
      <c r="AI58" s="802" t="str">
        <f t="shared" si="22"/>
        <v/>
      </c>
      <c r="AJ58" s="802" t="str">
        <f t="shared" si="22"/>
        <v/>
      </c>
      <c r="AK58" s="802" t="str">
        <f t="shared" si="22"/>
        <v/>
      </c>
      <c r="AL58" s="802" t="str">
        <f t="shared" si="22"/>
        <v/>
      </c>
    </row>
    <row r="59" spans="2:39" ht="13.5" hidden="1" thickBot="1">
      <c r="B59" s="1092"/>
      <c r="I59" s="816"/>
      <c r="J59" s="1103" t="str">
        <f>IFERROR(IF(COUNTA(S7:AL7)&gt;0,AVERAGE(S58:AL58),""),"")</f>
        <v/>
      </c>
    </row>
    <row r="60" spans="2:39" hidden="1">
      <c r="B60" s="1092"/>
    </row>
    <row r="61" spans="2:39" hidden="1">
      <c r="B61" s="1092"/>
      <c r="N61" s="772">
        <f t="shared" ref="N61:AB61" si="23">IF(N25="○",1,0)</f>
        <v>0</v>
      </c>
      <c r="O61" s="772">
        <f t="shared" si="23"/>
        <v>0</v>
      </c>
      <c r="P61" s="772">
        <f t="shared" si="23"/>
        <v>0</v>
      </c>
      <c r="Q61" s="772">
        <f t="shared" si="23"/>
        <v>0</v>
      </c>
      <c r="R61" s="772">
        <f t="shared" si="23"/>
        <v>0</v>
      </c>
      <c r="S61" s="772">
        <f t="shared" si="23"/>
        <v>0</v>
      </c>
      <c r="T61" s="772">
        <f t="shared" si="23"/>
        <v>0</v>
      </c>
      <c r="U61" s="772">
        <f t="shared" si="23"/>
        <v>0</v>
      </c>
      <c r="V61" s="772">
        <f t="shared" si="23"/>
        <v>0</v>
      </c>
      <c r="W61" s="772">
        <f t="shared" si="23"/>
        <v>0</v>
      </c>
      <c r="X61" s="772">
        <f t="shared" si="23"/>
        <v>0</v>
      </c>
      <c r="Y61" s="772">
        <f t="shared" si="23"/>
        <v>0</v>
      </c>
      <c r="Z61" s="772">
        <f t="shared" si="23"/>
        <v>0</v>
      </c>
      <c r="AA61" s="772">
        <f t="shared" si="23"/>
        <v>0</v>
      </c>
      <c r="AB61" s="772">
        <f t="shared" si="23"/>
        <v>0</v>
      </c>
      <c r="AC61" s="772">
        <f t="shared" ref="AC61:AL61" si="24">IF(AC25="○",1,0)</f>
        <v>0</v>
      </c>
      <c r="AD61" s="772">
        <f t="shared" si="24"/>
        <v>0</v>
      </c>
      <c r="AE61" s="772">
        <f t="shared" si="24"/>
        <v>0</v>
      </c>
      <c r="AF61" s="772">
        <f t="shared" si="24"/>
        <v>0</v>
      </c>
      <c r="AG61" s="772">
        <f t="shared" si="24"/>
        <v>0</v>
      </c>
      <c r="AH61" s="772">
        <f t="shared" si="24"/>
        <v>0</v>
      </c>
      <c r="AI61" s="772">
        <f t="shared" si="24"/>
        <v>0</v>
      </c>
      <c r="AJ61" s="772">
        <f t="shared" si="24"/>
        <v>0</v>
      </c>
      <c r="AK61" s="772">
        <f t="shared" si="24"/>
        <v>0</v>
      </c>
      <c r="AL61" s="772">
        <f t="shared" si="24"/>
        <v>0</v>
      </c>
    </row>
    <row r="62" spans="2:39" ht="13.5" hidden="1" thickBot="1">
      <c r="B62" s="1092"/>
      <c r="J62" s="772">
        <f>SUM(N62:AA62)</f>
        <v>0</v>
      </c>
      <c r="N62" s="772">
        <f t="shared" ref="N62:Y62" si="25">N61*O61</f>
        <v>0</v>
      </c>
      <c r="O62" s="772">
        <f t="shared" si="25"/>
        <v>0</v>
      </c>
      <c r="P62" s="772">
        <f t="shared" si="25"/>
        <v>0</v>
      </c>
      <c r="Q62" s="772">
        <f t="shared" si="25"/>
        <v>0</v>
      </c>
      <c r="R62" s="772">
        <f t="shared" si="25"/>
        <v>0</v>
      </c>
      <c r="S62" s="772">
        <f t="shared" si="25"/>
        <v>0</v>
      </c>
      <c r="T62" s="772">
        <f t="shared" si="25"/>
        <v>0</v>
      </c>
      <c r="U62" s="772">
        <f t="shared" si="25"/>
        <v>0</v>
      </c>
      <c r="V62" s="772">
        <f t="shared" si="25"/>
        <v>0</v>
      </c>
      <c r="W62" s="772">
        <f t="shared" si="25"/>
        <v>0</v>
      </c>
      <c r="X62" s="772">
        <f t="shared" si="25"/>
        <v>0</v>
      </c>
      <c r="Y62" s="772">
        <f t="shared" si="25"/>
        <v>0</v>
      </c>
      <c r="Z62" s="772">
        <f>Z61*AA61</f>
        <v>0</v>
      </c>
      <c r="AA62" s="772">
        <f t="shared" ref="AA62:AF62" si="26">AA61*AB61</f>
        <v>0</v>
      </c>
      <c r="AB62" s="772">
        <f>AB61*AC61</f>
        <v>0</v>
      </c>
      <c r="AC62" s="772">
        <f t="shared" si="26"/>
        <v>0</v>
      </c>
      <c r="AD62" s="772">
        <f t="shared" si="26"/>
        <v>0</v>
      </c>
      <c r="AE62" s="772">
        <f t="shared" si="26"/>
        <v>0</v>
      </c>
      <c r="AF62" s="772">
        <f t="shared" si="26"/>
        <v>0</v>
      </c>
      <c r="AG62" s="772">
        <f>AG61*AH61</f>
        <v>0</v>
      </c>
      <c r="AH62" s="772">
        <f t="shared" ref="AH62:AK62" si="27">AH61*AI61</f>
        <v>0</v>
      </c>
      <c r="AI62" s="772">
        <f t="shared" si="27"/>
        <v>0</v>
      </c>
      <c r="AJ62" s="772">
        <f t="shared" si="27"/>
        <v>0</v>
      </c>
      <c r="AK62" s="772">
        <f t="shared" si="27"/>
        <v>0</v>
      </c>
      <c r="AL62" s="772">
        <f>AL61*AM61</f>
        <v>0</v>
      </c>
    </row>
    <row r="63" spans="2:39" ht="13.5" hidden="1" thickBot="1">
      <c r="B63" s="1092"/>
      <c r="I63" s="816" t="s">
        <v>2405</v>
      </c>
      <c r="J63" s="1314" t="str">
        <f>IFERROR(IF(COUNTA(AC7:AL7)&lt;&gt;0,ROUND(AVERAGE(S64:AL64),4),ROUND(AVERAGE(N63:AB63),4)),"")</f>
        <v/>
      </c>
      <c r="L63" s="1102" t="str">
        <f>IF(H7="○",L26,"")</f>
        <v/>
      </c>
      <c r="M63" s="1102" t="str">
        <f>IF(I7="○",M26,"")</f>
        <v/>
      </c>
      <c r="N63" s="1102" t="str">
        <f t="shared" ref="N63:AB63" si="28">IF(N7="○",N26,"")</f>
        <v/>
      </c>
      <c r="O63" s="1102" t="str">
        <f t="shared" si="28"/>
        <v/>
      </c>
      <c r="P63" s="1102" t="str">
        <f t="shared" si="28"/>
        <v/>
      </c>
      <c r="Q63" s="1102" t="str">
        <f t="shared" si="28"/>
        <v/>
      </c>
      <c r="R63" s="1102" t="str">
        <f t="shared" si="28"/>
        <v/>
      </c>
      <c r="S63" s="1102" t="str">
        <f t="shared" si="28"/>
        <v/>
      </c>
      <c r="T63" s="1102" t="str">
        <f t="shared" si="28"/>
        <v/>
      </c>
      <c r="U63" s="1102" t="str">
        <f t="shared" si="28"/>
        <v/>
      </c>
      <c r="V63" s="1102" t="str">
        <f t="shared" si="28"/>
        <v/>
      </c>
      <c r="W63" s="1102" t="str">
        <f t="shared" si="28"/>
        <v/>
      </c>
      <c r="X63" s="1102" t="str">
        <f t="shared" si="28"/>
        <v/>
      </c>
      <c r="Y63" s="1102" t="str">
        <f t="shared" si="28"/>
        <v/>
      </c>
      <c r="Z63" s="1102" t="str">
        <f t="shared" si="28"/>
        <v/>
      </c>
      <c r="AA63" s="1102" t="str">
        <f t="shared" si="28"/>
        <v/>
      </c>
      <c r="AB63" s="1102" t="str">
        <f t="shared" si="28"/>
        <v/>
      </c>
      <c r="AC63" s="1102" t="str">
        <f t="shared" ref="AC63:AE63" si="29">IF(AC7="○",AC26,"")</f>
        <v/>
      </c>
      <c r="AD63" s="1102" t="str">
        <f t="shared" si="29"/>
        <v/>
      </c>
      <c r="AE63" s="1102" t="str">
        <f t="shared" si="29"/>
        <v/>
      </c>
      <c r="AF63" s="1102"/>
      <c r="AG63" s="1102"/>
      <c r="AH63" s="1102"/>
      <c r="AI63" s="1102"/>
      <c r="AJ63" s="1102"/>
      <c r="AK63" s="1102"/>
      <c r="AL63" s="1102"/>
    </row>
    <row r="64" spans="2:39" ht="13.5" hidden="1" thickBot="1">
      <c r="B64" s="1092"/>
      <c r="J64" s="772">
        <f>(COUNTIF(L25:AL25,"○")+COUNT(N63:AL63))/2</f>
        <v>0</v>
      </c>
      <c r="S64" s="802" t="str">
        <f t="shared" ref="S64:W64" si="30">IF(S7="○",S27,"")</f>
        <v/>
      </c>
      <c r="T64" s="802" t="str">
        <f t="shared" si="30"/>
        <v/>
      </c>
      <c r="U64" s="802" t="str">
        <f t="shared" si="30"/>
        <v/>
      </c>
      <c r="V64" s="802" t="str">
        <f t="shared" si="30"/>
        <v/>
      </c>
      <c r="W64" s="802" t="str">
        <f t="shared" si="30"/>
        <v/>
      </c>
      <c r="X64" s="802" t="str">
        <f t="shared" ref="X64:AB64" si="31">IF(X7="○",X27,"")</f>
        <v/>
      </c>
      <c r="Y64" s="802" t="str">
        <f t="shared" si="31"/>
        <v/>
      </c>
      <c r="Z64" s="802" t="str">
        <f t="shared" si="31"/>
        <v/>
      </c>
      <c r="AA64" s="802" t="str">
        <f t="shared" si="31"/>
        <v/>
      </c>
      <c r="AB64" s="802" t="str">
        <f t="shared" si="31"/>
        <v/>
      </c>
      <c r="AC64" s="802" t="str">
        <f t="shared" ref="AC64:AL64" si="32">IF(AC7="○",AC27,"")</f>
        <v/>
      </c>
      <c r="AD64" s="802" t="str">
        <f t="shared" si="32"/>
        <v/>
      </c>
      <c r="AE64" s="802" t="str">
        <f t="shared" si="32"/>
        <v/>
      </c>
      <c r="AF64" s="802" t="str">
        <f t="shared" si="32"/>
        <v/>
      </c>
      <c r="AG64" s="802" t="str">
        <f t="shared" si="32"/>
        <v/>
      </c>
      <c r="AH64" s="802" t="str">
        <f t="shared" si="32"/>
        <v/>
      </c>
      <c r="AI64" s="802" t="str">
        <f t="shared" si="32"/>
        <v/>
      </c>
      <c r="AJ64" s="802" t="str">
        <f t="shared" si="32"/>
        <v/>
      </c>
      <c r="AK64" s="802" t="str">
        <f t="shared" si="32"/>
        <v/>
      </c>
      <c r="AL64" s="802" t="str">
        <f t="shared" si="32"/>
        <v/>
      </c>
    </row>
    <row r="65" spans="2:10" ht="13.5" hidden="1" thickBot="1">
      <c r="B65" s="1092"/>
      <c r="J65" s="1231" t="str">
        <f>IFERROR(IF(COUNTA(S7:AL7)&gt;0,AVERAGE(S64:AL64),""),"")</f>
        <v/>
      </c>
    </row>
    <row r="66" spans="2:10" hidden="1">
      <c r="B66" s="1092"/>
    </row>
  </sheetData>
  <sheetProtection algorithmName="SHA-512" hashValue="/xp67C5jKk0hpMlMbZaRZlstlm7O5N7z7W7tJwXyOm2Q9f/LYFOSfoL5DWbPgYo2Jb5LiRlCveukWywknv2arA==" saltValue="/wOTOlD5A9JJtUqADMLTdg==" spinCount="100000" sheet="1" formatCells="0"/>
  <mergeCells count="40">
    <mergeCell ref="AF17:AL17"/>
    <mergeCell ref="C15:I15"/>
    <mergeCell ref="V1:W1"/>
    <mergeCell ref="R4:V4"/>
    <mergeCell ref="C6:J6"/>
    <mergeCell ref="C7:I7"/>
    <mergeCell ref="C8:I8"/>
    <mergeCell ref="C9:I9"/>
    <mergeCell ref="C10:I10"/>
    <mergeCell ref="C11:I11"/>
    <mergeCell ref="C12:I12"/>
    <mergeCell ref="C13:I13"/>
    <mergeCell ref="C14:I14"/>
    <mergeCell ref="C26:I26"/>
    <mergeCell ref="C16:I16"/>
    <mergeCell ref="C17:I17"/>
    <mergeCell ref="C18:I18"/>
    <mergeCell ref="C19:J19"/>
    <mergeCell ref="C25:I25"/>
    <mergeCell ref="AC19:AD19"/>
    <mergeCell ref="C20:J20"/>
    <mergeCell ref="L20:M20"/>
    <mergeCell ref="AC20:AD20"/>
    <mergeCell ref="C24:J24"/>
    <mergeCell ref="C27:I27"/>
    <mergeCell ref="C28:C34"/>
    <mergeCell ref="G28:H28"/>
    <mergeCell ref="G29:H29"/>
    <mergeCell ref="G30:H30"/>
    <mergeCell ref="G31:H31"/>
    <mergeCell ref="G32:H32"/>
    <mergeCell ref="G33:H33"/>
    <mergeCell ref="G34:H34"/>
    <mergeCell ref="AC35:AD35"/>
    <mergeCell ref="C36:J36"/>
    <mergeCell ref="AC36:AD36"/>
    <mergeCell ref="C37:J37"/>
    <mergeCell ref="L37:M37"/>
    <mergeCell ref="C35:J35"/>
    <mergeCell ref="L35:M35"/>
  </mergeCells>
  <phoneticPr fontId="5"/>
  <conditionalFormatting sqref="G34:I35">
    <cfRule type="containsBlanks" dxfId="64" priority="8">
      <formula>LEN(TRIM(G34))=0</formula>
    </cfRule>
  </conditionalFormatting>
  <conditionalFormatting sqref="L20:M20">
    <cfRule type="containsBlanks" dxfId="63" priority="7">
      <formula>LEN(TRIM(L20))=0</formula>
    </cfRule>
  </conditionalFormatting>
  <conditionalFormatting sqref="L35:M35">
    <cfRule type="containsBlanks" dxfId="62" priority="6">
      <formula>LEN(TRIM(L35))=0</formula>
    </cfRule>
  </conditionalFormatting>
  <conditionalFormatting sqref="N28:AL34">
    <cfRule type="containsBlanks" dxfId="61" priority="1">
      <formula>LEN(TRIM(N28))=0</formula>
    </cfRule>
  </conditionalFormatting>
  <conditionalFormatting sqref="AC5">
    <cfRule type="expression" dxfId="60" priority="2">
      <formula>COUNTIF($Z$17:$AL$17,0)&gt;9</formula>
    </cfRule>
  </conditionalFormatting>
  <conditionalFormatting sqref="AC47">
    <cfRule type="containsBlanks" dxfId="59" priority="9">
      <formula>LEN(TRIM(AC47))=0</formula>
    </cfRule>
  </conditionalFormatting>
  <conditionalFormatting sqref="AC11:AE12">
    <cfRule type="containsBlanks" dxfId="58" priority="3">
      <formula>LEN(TRIM(AC11))=0</formula>
    </cfRule>
  </conditionalFormatting>
  <conditionalFormatting sqref="AC8:AL10">
    <cfRule type="containsBlanks" dxfId="57" priority="4">
      <formula>LEN(TRIM(AC8))=0</formula>
    </cfRule>
  </conditionalFormatting>
  <dataValidations count="1">
    <dataValidation type="list" allowBlank="1" showInputMessage="1" showErrorMessage="1" sqref="K7:AL7" xr:uid="{A6E0F2CD-9024-4BB8-ACAF-9237D93DFF00}">
      <formula1>"○"</formula1>
    </dataValidation>
  </dataValidations>
  <pageMargins left="0.27" right="0.18" top="0.57999999999999996" bottom="0.35433070866141736" header="0.31496062992125984" footer="0.31496062992125984"/>
  <pageSetup paperSize="9" scale="60" fitToHeight="0" orientation="landscape" r:id="rId1"/>
  <headerFooter>
    <oddHeader>&amp;R&amp;8ver.4.01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Option Button 1">
              <controlPr defaultSize="0" autoFill="0" autoLine="0" autoPict="0">
                <anchor moveWithCells="1">
                  <from>
                    <xdr:col>4</xdr:col>
                    <xdr:colOff>38100</xdr:colOff>
                    <xdr:row>27</xdr:row>
                    <xdr:rowOff>44450</xdr:rowOff>
                  </from>
                  <to>
                    <xdr:col>6</xdr:col>
                    <xdr:colOff>69850</xdr:colOff>
                    <xdr:row>27</xdr:row>
                    <xdr:rowOff>260350</xdr:rowOff>
                  </to>
                </anchor>
              </controlPr>
            </control>
          </mc:Choice>
        </mc:AlternateContent>
        <mc:AlternateContent xmlns:mc="http://schemas.openxmlformats.org/markup-compatibility/2006">
          <mc:Choice Requires="x14">
            <control shapeId="50178" r:id="rId5" name="Option Button 2">
              <controlPr defaultSize="0" autoFill="0" autoLine="0" autoPict="0">
                <anchor moveWithCells="1">
                  <from>
                    <xdr:col>4</xdr:col>
                    <xdr:colOff>38100</xdr:colOff>
                    <xdr:row>28</xdr:row>
                    <xdr:rowOff>38100</xdr:rowOff>
                  </from>
                  <to>
                    <xdr:col>6</xdr:col>
                    <xdr:colOff>107950</xdr:colOff>
                    <xdr:row>28</xdr:row>
                    <xdr:rowOff>273050</xdr:rowOff>
                  </to>
                </anchor>
              </controlPr>
            </control>
          </mc:Choice>
        </mc:AlternateContent>
        <mc:AlternateContent xmlns:mc="http://schemas.openxmlformats.org/markup-compatibility/2006">
          <mc:Choice Requires="x14">
            <control shapeId="50179" r:id="rId6" name="Option Button 3">
              <controlPr defaultSize="0" autoFill="0" autoLine="0" autoPict="0">
                <anchor moveWithCells="1">
                  <from>
                    <xdr:col>4</xdr:col>
                    <xdr:colOff>38100</xdr:colOff>
                    <xdr:row>29</xdr:row>
                    <xdr:rowOff>38100</xdr:rowOff>
                  </from>
                  <to>
                    <xdr:col>6</xdr:col>
                    <xdr:colOff>107950</xdr:colOff>
                    <xdr:row>29</xdr:row>
                    <xdr:rowOff>273050</xdr:rowOff>
                  </to>
                </anchor>
              </controlPr>
            </control>
          </mc:Choice>
        </mc:AlternateContent>
        <mc:AlternateContent xmlns:mc="http://schemas.openxmlformats.org/markup-compatibility/2006">
          <mc:Choice Requires="x14">
            <control shapeId="50180" r:id="rId7" name="Option Button 4">
              <controlPr defaultSize="0" autoFill="0" autoLine="0" autoPict="0">
                <anchor moveWithCells="1">
                  <from>
                    <xdr:col>4</xdr:col>
                    <xdr:colOff>38100</xdr:colOff>
                    <xdr:row>30</xdr:row>
                    <xdr:rowOff>38100</xdr:rowOff>
                  </from>
                  <to>
                    <xdr:col>6</xdr:col>
                    <xdr:colOff>107950</xdr:colOff>
                    <xdr:row>30</xdr:row>
                    <xdr:rowOff>273050</xdr:rowOff>
                  </to>
                </anchor>
              </controlPr>
            </control>
          </mc:Choice>
        </mc:AlternateContent>
        <mc:AlternateContent xmlns:mc="http://schemas.openxmlformats.org/markup-compatibility/2006">
          <mc:Choice Requires="x14">
            <control shapeId="50181" r:id="rId8" name="Option Button 5">
              <controlPr defaultSize="0" autoFill="0" autoLine="0" autoPict="0">
                <anchor moveWithCells="1">
                  <from>
                    <xdr:col>4</xdr:col>
                    <xdr:colOff>38100</xdr:colOff>
                    <xdr:row>31</xdr:row>
                    <xdr:rowOff>38100</xdr:rowOff>
                  </from>
                  <to>
                    <xdr:col>6</xdr:col>
                    <xdr:colOff>107950</xdr:colOff>
                    <xdr:row>31</xdr:row>
                    <xdr:rowOff>273050</xdr:rowOff>
                  </to>
                </anchor>
              </controlPr>
            </control>
          </mc:Choice>
        </mc:AlternateContent>
        <mc:AlternateContent xmlns:mc="http://schemas.openxmlformats.org/markup-compatibility/2006">
          <mc:Choice Requires="x14">
            <control shapeId="50182" r:id="rId9" name="Option Button 6">
              <controlPr defaultSize="0" autoFill="0" autoLine="0" autoPict="0">
                <anchor moveWithCells="1">
                  <from>
                    <xdr:col>4</xdr:col>
                    <xdr:colOff>38100</xdr:colOff>
                    <xdr:row>32</xdr:row>
                    <xdr:rowOff>38100</xdr:rowOff>
                  </from>
                  <to>
                    <xdr:col>6</xdr:col>
                    <xdr:colOff>107950</xdr:colOff>
                    <xdr:row>32</xdr:row>
                    <xdr:rowOff>273050</xdr:rowOff>
                  </to>
                </anchor>
              </controlPr>
            </control>
          </mc:Choice>
        </mc:AlternateContent>
        <mc:AlternateContent xmlns:mc="http://schemas.openxmlformats.org/markup-compatibility/2006">
          <mc:Choice Requires="x14">
            <control shapeId="50183" r:id="rId10" name="Option Button 7">
              <controlPr defaultSize="0" autoFill="0" autoLine="0" autoPict="0">
                <anchor moveWithCells="1">
                  <from>
                    <xdr:col>4</xdr:col>
                    <xdr:colOff>38100</xdr:colOff>
                    <xdr:row>33</xdr:row>
                    <xdr:rowOff>38100</xdr:rowOff>
                  </from>
                  <to>
                    <xdr:col>6</xdr:col>
                    <xdr:colOff>107950</xdr:colOff>
                    <xdr:row>33</xdr:row>
                    <xdr:rowOff>273050</xdr:rowOff>
                  </to>
                </anchor>
              </controlPr>
            </control>
          </mc:Choice>
        </mc:AlternateContent>
        <mc:AlternateContent xmlns:mc="http://schemas.openxmlformats.org/markup-compatibility/2006">
          <mc:Choice Requires="x14">
            <control shapeId="50184" r:id="rId11" name="Group Box 8">
              <controlPr defaultSize="0" autoFill="0" autoPict="0">
                <anchor moveWithCells="1">
                  <from>
                    <xdr:col>29</xdr:col>
                    <xdr:colOff>488950</xdr:colOff>
                    <xdr:row>0</xdr:row>
                    <xdr:rowOff>76200</xdr:rowOff>
                  </from>
                  <to>
                    <xdr:col>30</xdr:col>
                    <xdr:colOff>273050</xdr:colOff>
                    <xdr:row>5</xdr:row>
                    <xdr:rowOff>0</xdr:rowOff>
                  </to>
                </anchor>
              </controlPr>
            </control>
          </mc:Choice>
        </mc:AlternateContent>
        <mc:AlternateContent xmlns:mc="http://schemas.openxmlformats.org/markup-compatibility/2006">
          <mc:Choice Requires="x14">
            <control shapeId="50185" r:id="rId12" name="Group Box 9">
              <controlPr defaultSize="0" autoFill="0" autoPict="0">
                <anchor moveWithCells="1">
                  <from>
                    <xdr:col>3</xdr:col>
                    <xdr:colOff>107950</xdr:colOff>
                    <xdr:row>26</xdr:row>
                    <xdr:rowOff>273050</xdr:rowOff>
                  </from>
                  <to>
                    <xdr:col>6</xdr:col>
                    <xdr:colOff>260350</xdr:colOff>
                    <xdr:row>34</xdr:row>
                    <xdr:rowOff>222250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C5C5-ECDC-43F3-9760-65BCE73575DA}">
  <sheetPr codeName="Sheet26">
    <tabColor rgb="FFFF0000"/>
    <pageSetUpPr fitToPage="1"/>
  </sheetPr>
  <dimension ref="A1:AS52"/>
  <sheetViews>
    <sheetView view="pageBreakPreview" topLeftCell="B1" zoomScale="115" zoomScaleNormal="100" zoomScaleSheetLayoutView="115" zoomScalePageLayoutView="40" workbookViewId="0">
      <selection activeCell="H2" sqref="H2"/>
    </sheetView>
  </sheetViews>
  <sheetFormatPr defaultColWidth="8.08203125" defaultRowHeight="17.25" customHeight="1"/>
  <cols>
    <col min="1" max="1" width="3.08203125" customWidth="1"/>
    <col min="2" max="2" width="9.58203125" customWidth="1"/>
    <col min="3" max="3" width="6.1640625" customWidth="1"/>
    <col min="4" max="4" width="8.6640625" customWidth="1"/>
    <col min="5" max="5" width="5.5" customWidth="1"/>
    <col min="6" max="11" width="10.83203125" customWidth="1"/>
    <col min="12" max="12" width="7.33203125" hidden="1" customWidth="1"/>
    <col min="13" max="13" width="8.08203125" customWidth="1"/>
    <col min="14" max="14" width="10" bestFit="1" customWidth="1"/>
    <col min="16" max="45" width="8.08203125" hidden="1" customWidth="1"/>
  </cols>
  <sheetData>
    <row r="1" spans="1:45" ht="17.25" customHeight="1" thickBot="1">
      <c r="A1" s="1313" t="s">
        <v>2406</v>
      </c>
      <c r="B1" s="1104"/>
      <c r="H1" s="1105" t="s">
        <v>2407</v>
      </c>
    </row>
    <row r="2" spans="1:45" ht="17.25" customHeight="1" thickBot="1">
      <c r="A2" s="1106"/>
      <c r="B2" s="1252" t="s">
        <v>2408</v>
      </c>
      <c r="C2" s="1176"/>
      <c r="G2" s="1107" t="s">
        <v>2505</v>
      </c>
      <c r="H2" s="1253"/>
      <c r="I2" s="1108" t="s">
        <v>2409</v>
      </c>
      <c r="P2" s="1109">
        <v>1</v>
      </c>
      <c r="R2" t="s">
        <v>2410</v>
      </c>
    </row>
    <row r="3" spans="1:45" ht="17.25" customHeight="1" thickBot="1">
      <c r="A3" s="1106"/>
      <c r="B3" s="1252" t="s">
        <v>2504</v>
      </c>
      <c r="C3" s="1176"/>
    </row>
    <row r="4" spans="1:45" ht="17.25" customHeight="1" thickBot="1">
      <c r="A4" s="1110"/>
      <c r="F4" s="1111" t="s">
        <v>2503</v>
      </c>
      <c r="G4" s="1112"/>
      <c r="P4" s="120" t="str">
        <f>IF(AND(H2&lt;8,G4="有り"),"有り","無し")</f>
        <v>無し</v>
      </c>
      <c r="R4" t="s">
        <v>2411</v>
      </c>
    </row>
    <row r="5" spans="1:45" ht="16" customHeight="1">
      <c r="A5" s="1110"/>
      <c r="B5" t="s">
        <v>2412</v>
      </c>
      <c r="R5" t="s">
        <v>1658</v>
      </c>
      <c r="S5">
        <v>20</v>
      </c>
      <c r="T5">
        <v>21</v>
      </c>
      <c r="U5">
        <v>22</v>
      </c>
      <c r="V5">
        <v>23</v>
      </c>
      <c r="W5">
        <v>24</v>
      </c>
      <c r="X5">
        <v>25</v>
      </c>
      <c r="Y5">
        <v>26</v>
      </c>
      <c r="Z5">
        <v>27</v>
      </c>
      <c r="AA5">
        <v>28</v>
      </c>
      <c r="AB5">
        <v>29</v>
      </c>
      <c r="AC5">
        <v>30</v>
      </c>
      <c r="AD5" s="1113" t="s">
        <v>2413</v>
      </c>
      <c r="AE5">
        <v>2</v>
      </c>
      <c r="AF5" s="1114">
        <v>3</v>
      </c>
      <c r="AG5" s="1115">
        <v>4</v>
      </c>
      <c r="AH5" s="1115">
        <v>5</v>
      </c>
      <c r="AI5" s="1115">
        <v>6</v>
      </c>
      <c r="AJ5" s="1115">
        <v>7</v>
      </c>
      <c r="AK5" s="1115">
        <v>8</v>
      </c>
      <c r="AL5" s="1115">
        <v>9</v>
      </c>
      <c r="AM5" s="1115">
        <v>10</v>
      </c>
      <c r="AN5" s="1115">
        <v>11</v>
      </c>
      <c r="AO5" s="1115">
        <v>12</v>
      </c>
      <c r="AP5" s="1115">
        <v>13</v>
      </c>
      <c r="AQ5" s="1115">
        <v>14</v>
      </c>
      <c r="AR5" s="1115">
        <v>15</v>
      </c>
      <c r="AS5" s="1116">
        <v>16</v>
      </c>
    </row>
    <row r="6" spans="1:45" ht="14" customHeight="1">
      <c r="B6" s="1648" t="s">
        <v>2414</v>
      </c>
      <c r="C6" s="1649"/>
      <c r="D6" s="1648" t="s">
        <v>2415</v>
      </c>
      <c r="E6" s="1649"/>
      <c r="F6" s="1117">
        <f>IF($I6="","",$I6-3)</f>
        <v>4</v>
      </c>
      <c r="G6" s="1117">
        <f>IF($I6="","",$I6-2)</f>
        <v>5</v>
      </c>
      <c r="H6" s="1117">
        <f>IF($I6="","",$I6-1)</f>
        <v>6</v>
      </c>
      <c r="I6" s="1118">
        <v>7</v>
      </c>
      <c r="R6" t="s">
        <v>2497</v>
      </c>
      <c r="S6">
        <f t="shared" ref="S6:AH8" si="0">S12</f>
        <v>0</v>
      </c>
      <c r="T6">
        <f t="shared" si="0"/>
        <v>0</v>
      </c>
      <c r="U6">
        <f t="shared" si="0"/>
        <v>0</v>
      </c>
      <c r="V6">
        <f t="shared" si="0"/>
        <v>0</v>
      </c>
      <c r="W6">
        <f t="shared" si="0"/>
        <v>0</v>
      </c>
      <c r="X6">
        <f t="shared" si="0"/>
        <v>0</v>
      </c>
      <c r="Y6">
        <f t="shared" si="0"/>
        <v>0</v>
      </c>
      <c r="Z6">
        <f t="shared" si="0"/>
        <v>0</v>
      </c>
      <c r="AA6">
        <f t="shared" si="0"/>
        <v>0</v>
      </c>
      <c r="AB6">
        <f t="shared" si="0"/>
        <v>0</v>
      </c>
      <c r="AC6">
        <f t="shared" si="0"/>
        <v>0</v>
      </c>
      <c r="AD6">
        <f t="shared" si="0"/>
        <v>0</v>
      </c>
      <c r="AE6">
        <f t="shared" si="0"/>
        <v>0</v>
      </c>
      <c r="AF6">
        <f t="shared" si="0"/>
        <v>0</v>
      </c>
      <c r="AG6">
        <f t="shared" si="0"/>
        <v>0</v>
      </c>
      <c r="AH6">
        <f t="shared" si="0"/>
        <v>0</v>
      </c>
      <c r="AI6">
        <f>AI12</f>
        <v>0</v>
      </c>
      <c r="AJ6" s="1119">
        <f t="shared" ref="AJ6:AS6" si="1">ROUND(AJ12+AJ21,0)</f>
        <v>0</v>
      </c>
      <c r="AK6" s="1119">
        <f t="shared" si="1"/>
        <v>0</v>
      </c>
      <c r="AL6" s="1119">
        <f t="shared" si="1"/>
        <v>0</v>
      </c>
      <c r="AM6">
        <f t="shared" si="1"/>
        <v>0</v>
      </c>
      <c r="AN6">
        <f t="shared" si="1"/>
        <v>0</v>
      </c>
      <c r="AO6">
        <f t="shared" si="1"/>
        <v>0</v>
      </c>
      <c r="AP6">
        <f t="shared" si="1"/>
        <v>0</v>
      </c>
      <c r="AQ6">
        <f t="shared" si="1"/>
        <v>0</v>
      </c>
      <c r="AR6">
        <f t="shared" si="1"/>
        <v>0</v>
      </c>
      <c r="AS6">
        <f t="shared" si="1"/>
        <v>0</v>
      </c>
    </row>
    <row r="7" spans="1:45" ht="14" customHeight="1">
      <c r="B7" s="1645"/>
      <c r="C7" s="1647"/>
      <c r="D7" s="1645"/>
      <c r="E7" s="1647"/>
      <c r="F7" s="1120" t="s">
        <v>1658</v>
      </c>
      <c r="G7" s="1120" t="s">
        <v>1658</v>
      </c>
      <c r="H7" s="1120" t="s">
        <v>1658</v>
      </c>
      <c r="I7" s="1121" t="s">
        <v>1658</v>
      </c>
      <c r="R7" t="s">
        <v>2498</v>
      </c>
      <c r="S7">
        <f t="shared" si="0"/>
        <v>0</v>
      </c>
      <c r="T7">
        <f t="shared" si="0"/>
        <v>0</v>
      </c>
      <c r="U7">
        <f t="shared" si="0"/>
        <v>0</v>
      </c>
      <c r="V7">
        <f t="shared" si="0"/>
        <v>0</v>
      </c>
      <c r="W7">
        <f t="shared" si="0"/>
        <v>0</v>
      </c>
      <c r="X7">
        <f t="shared" si="0"/>
        <v>0</v>
      </c>
      <c r="Y7">
        <f t="shared" si="0"/>
        <v>0</v>
      </c>
      <c r="Z7">
        <f t="shared" si="0"/>
        <v>0</v>
      </c>
      <c r="AA7">
        <f t="shared" si="0"/>
        <v>0</v>
      </c>
      <c r="AB7">
        <f t="shared" si="0"/>
        <v>0</v>
      </c>
      <c r="AC7">
        <f t="shared" si="0"/>
        <v>0</v>
      </c>
      <c r="AD7">
        <f t="shared" si="0"/>
        <v>0</v>
      </c>
      <c r="AE7">
        <f t="shared" si="0"/>
        <v>0</v>
      </c>
      <c r="AF7">
        <f t="shared" si="0"/>
        <v>0</v>
      </c>
      <c r="AG7">
        <f t="shared" si="0"/>
        <v>0</v>
      </c>
      <c r="AH7">
        <f t="shared" si="0"/>
        <v>0</v>
      </c>
      <c r="AI7">
        <f>AI13</f>
        <v>0</v>
      </c>
      <c r="AJ7" s="1119">
        <f t="shared" ref="AJ7:AS7" si="2">ROUND(AJ13+AJ22,0)</f>
        <v>0</v>
      </c>
      <c r="AK7" s="1119">
        <f t="shared" si="2"/>
        <v>0</v>
      </c>
      <c r="AL7" s="1119">
        <f t="shared" si="2"/>
        <v>0</v>
      </c>
      <c r="AM7">
        <f t="shared" si="2"/>
        <v>0</v>
      </c>
      <c r="AN7">
        <f t="shared" si="2"/>
        <v>0</v>
      </c>
      <c r="AO7">
        <f t="shared" si="2"/>
        <v>0</v>
      </c>
      <c r="AP7">
        <f t="shared" si="2"/>
        <v>0</v>
      </c>
      <c r="AQ7">
        <f t="shared" si="2"/>
        <v>0</v>
      </c>
      <c r="AR7">
        <f t="shared" si="2"/>
        <v>0</v>
      </c>
      <c r="AS7">
        <f t="shared" si="2"/>
        <v>0</v>
      </c>
    </row>
    <row r="8" spans="1:45" ht="14" customHeight="1">
      <c r="B8" s="1122" t="s">
        <v>2416</v>
      </c>
      <c r="C8" s="1123"/>
      <c r="D8" s="1640" t="s">
        <v>2417</v>
      </c>
      <c r="E8" s="1641"/>
      <c r="F8" s="1124">
        <f>IFERROR(ROUND(HLOOKUP(F6,$S$11:$AS$14,2,FALSE),1),"")</f>
        <v>0</v>
      </c>
      <c r="G8" s="1124">
        <f t="shared" ref="G8:I8" si="3">IFERROR(ROUND(HLOOKUP(G6,$S$11:$AS$14,2,FALSE),1),"")</f>
        <v>0</v>
      </c>
      <c r="H8" s="1124">
        <f t="shared" si="3"/>
        <v>0</v>
      </c>
      <c r="I8" s="1124">
        <f t="shared" si="3"/>
        <v>0</v>
      </c>
      <c r="R8" t="s">
        <v>2499</v>
      </c>
      <c r="S8">
        <f>S14</f>
        <v>0</v>
      </c>
      <c r="T8">
        <f t="shared" si="0"/>
        <v>0</v>
      </c>
      <c r="U8">
        <f t="shared" si="0"/>
        <v>0</v>
      </c>
      <c r="V8">
        <f t="shared" si="0"/>
        <v>0</v>
      </c>
      <c r="W8">
        <f t="shared" si="0"/>
        <v>0</v>
      </c>
      <c r="X8">
        <f t="shared" si="0"/>
        <v>0</v>
      </c>
      <c r="Y8">
        <f t="shared" si="0"/>
        <v>0</v>
      </c>
      <c r="Z8">
        <f t="shared" si="0"/>
        <v>0</v>
      </c>
      <c r="AA8">
        <f t="shared" si="0"/>
        <v>0</v>
      </c>
      <c r="AB8">
        <f t="shared" si="0"/>
        <v>0</v>
      </c>
      <c r="AC8">
        <f t="shared" si="0"/>
        <v>0</v>
      </c>
      <c r="AD8">
        <f t="shared" si="0"/>
        <v>0</v>
      </c>
      <c r="AE8">
        <f t="shared" si="0"/>
        <v>0</v>
      </c>
      <c r="AF8">
        <f t="shared" si="0"/>
        <v>0</v>
      </c>
      <c r="AG8">
        <f t="shared" si="0"/>
        <v>0</v>
      </c>
      <c r="AH8">
        <f t="shared" si="0"/>
        <v>0</v>
      </c>
      <c r="AI8">
        <f>AI14</f>
        <v>0</v>
      </c>
      <c r="AJ8">
        <f t="shared" ref="AJ8:AS8" si="4">AJ14</f>
        <v>0</v>
      </c>
      <c r="AK8">
        <f t="shared" si="4"/>
        <v>0</v>
      </c>
      <c r="AL8">
        <f t="shared" si="4"/>
        <v>0</v>
      </c>
      <c r="AM8">
        <f t="shared" si="4"/>
        <v>0</v>
      </c>
      <c r="AN8">
        <f t="shared" si="4"/>
        <v>0</v>
      </c>
      <c r="AO8">
        <f t="shared" si="4"/>
        <v>0</v>
      </c>
      <c r="AP8">
        <f t="shared" si="4"/>
        <v>0</v>
      </c>
      <c r="AQ8">
        <f t="shared" si="4"/>
        <v>0</v>
      </c>
      <c r="AR8">
        <f t="shared" si="4"/>
        <v>0</v>
      </c>
      <c r="AS8">
        <f t="shared" si="4"/>
        <v>0</v>
      </c>
    </row>
    <row r="9" spans="1:45" ht="14" customHeight="1">
      <c r="B9" s="1125" t="s">
        <v>2418</v>
      </c>
      <c r="C9" s="1126"/>
      <c r="D9" s="1127" t="s">
        <v>2419</v>
      </c>
      <c r="E9" s="1128" t="str">
        <f>IFERROR(E10,"")</f>
        <v/>
      </c>
      <c r="F9" s="1129" t="str">
        <f>IFERROR(ROUND(F8/F10,4),"")</f>
        <v/>
      </c>
      <c r="G9" s="1129" t="str">
        <f t="shared" ref="G9:I9" si="5">IFERROR(ROUND(G8/G10,4),"")</f>
        <v/>
      </c>
      <c r="H9" s="1129" t="str">
        <f t="shared" si="5"/>
        <v/>
      </c>
      <c r="I9" s="1129" t="str">
        <f t="shared" si="5"/>
        <v/>
      </c>
      <c r="L9" s="1130" t="e">
        <f>MATCH(D10,$N$12:$N$21,0)</f>
        <v>#N/A</v>
      </c>
      <c r="AJ9" s="1333">
        <f>IF($I$6&lt;AJ5,"",'６．エコアップCO2量一覧'!AC17)</f>
        <v>0</v>
      </c>
      <c r="AK9" s="1333" t="str">
        <f>IF($I$6&lt;AK5,"",'６．エコアップCO2量一覧'!AD17)</f>
        <v/>
      </c>
      <c r="AL9" s="1333" t="str">
        <f>IF($I$6&lt;AL5,"",'６．エコアップCO2量一覧'!AE17)</f>
        <v/>
      </c>
      <c r="AM9" s="1145">
        <f t="shared" ref="AM9:AS9" si="6">AM6+AM7+AM8</f>
        <v>0</v>
      </c>
      <c r="AN9">
        <f t="shared" si="6"/>
        <v>0</v>
      </c>
      <c r="AO9">
        <f t="shared" si="6"/>
        <v>0</v>
      </c>
      <c r="AP9">
        <f t="shared" si="6"/>
        <v>0</v>
      </c>
      <c r="AQ9">
        <f t="shared" si="6"/>
        <v>0</v>
      </c>
      <c r="AR9">
        <f t="shared" si="6"/>
        <v>0</v>
      </c>
      <c r="AS9">
        <f t="shared" si="6"/>
        <v>0</v>
      </c>
    </row>
    <row r="10" spans="1:45" ht="14" customHeight="1">
      <c r="B10" s="1125" t="s">
        <v>2420</v>
      </c>
      <c r="D10" s="1131"/>
      <c r="E10" s="169" t="str">
        <f>IFERROR(INDEX($O$12:$O$21,L9),"")</f>
        <v/>
      </c>
      <c r="F10" s="1132"/>
      <c r="G10" s="1132"/>
      <c r="H10" s="1133"/>
      <c r="I10" s="1133"/>
      <c r="M10" s="1134"/>
      <c r="N10" t="s">
        <v>2421</v>
      </c>
      <c r="R10" t="s">
        <v>2422</v>
      </c>
    </row>
    <row r="11" spans="1:45" ht="14" customHeight="1">
      <c r="B11" s="1135"/>
      <c r="C11" s="1135"/>
      <c r="D11" s="1136"/>
      <c r="E11" s="1136"/>
      <c r="F11" s="1136"/>
      <c r="G11" s="1137"/>
      <c r="H11" s="1137"/>
      <c r="I11" s="1137"/>
      <c r="M11" s="1134"/>
      <c r="N11" t="s">
        <v>2423</v>
      </c>
      <c r="R11" t="s">
        <v>1658</v>
      </c>
      <c r="S11">
        <v>20</v>
      </c>
      <c r="T11">
        <v>21</v>
      </c>
      <c r="U11">
        <v>22</v>
      </c>
      <c r="V11">
        <v>23</v>
      </c>
      <c r="W11">
        <v>24</v>
      </c>
      <c r="X11">
        <v>25</v>
      </c>
      <c r="Y11">
        <v>26</v>
      </c>
      <c r="Z11">
        <v>27</v>
      </c>
      <c r="AA11">
        <v>28</v>
      </c>
      <c r="AB11">
        <v>29</v>
      </c>
      <c r="AC11">
        <v>30</v>
      </c>
      <c r="AD11" s="1113" t="s">
        <v>2413</v>
      </c>
      <c r="AE11">
        <v>2</v>
      </c>
      <c r="AF11">
        <v>3</v>
      </c>
      <c r="AG11">
        <v>4</v>
      </c>
      <c r="AH11">
        <v>5</v>
      </c>
      <c r="AI11">
        <v>6</v>
      </c>
      <c r="AJ11">
        <v>7</v>
      </c>
      <c r="AK11">
        <v>8</v>
      </c>
      <c r="AL11">
        <v>9</v>
      </c>
      <c r="AM11">
        <v>10</v>
      </c>
      <c r="AN11">
        <v>11</v>
      </c>
      <c r="AO11">
        <v>12</v>
      </c>
      <c r="AP11">
        <v>13</v>
      </c>
      <c r="AQ11">
        <v>14</v>
      </c>
      <c r="AR11">
        <v>15</v>
      </c>
      <c r="AS11">
        <v>16</v>
      </c>
    </row>
    <row r="12" spans="1:45" ht="14" customHeight="1">
      <c r="B12" s="1138" t="s">
        <v>2424</v>
      </c>
      <c r="C12" s="1104"/>
      <c r="D12" s="1134"/>
      <c r="E12" s="1134"/>
      <c r="F12" s="1134"/>
      <c r="G12" s="198"/>
      <c r="H12" s="198"/>
      <c r="I12" s="198"/>
      <c r="M12" s="1134"/>
      <c r="N12" s="120" t="s">
        <v>2425</v>
      </c>
      <c r="O12" s="120" t="s">
        <v>2426</v>
      </c>
      <c r="R12" t="s">
        <v>2497</v>
      </c>
      <c r="S12">
        <f>'６．エコアップCO2量一覧'!L8</f>
        <v>0</v>
      </c>
      <c r="T12">
        <f>'６．エコアップCO2量一覧'!M8</f>
        <v>0</v>
      </c>
      <c r="U12">
        <f>'６．エコアップCO2量一覧'!N8</f>
        <v>0</v>
      </c>
      <c r="V12">
        <f>'６．エコアップCO2量一覧'!O8</f>
        <v>0</v>
      </c>
      <c r="W12">
        <f>'６．エコアップCO2量一覧'!P8</f>
        <v>0</v>
      </c>
      <c r="X12">
        <f>'６．エコアップCO2量一覧'!Q8</f>
        <v>0</v>
      </c>
      <c r="Y12">
        <f>'６．エコアップCO2量一覧'!R8</f>
        <v>0</v>
      </c>
      <c r="Z12">
        <f>'６．エコアップCO2量一覧'!S8</f>
        <v>0</v>
      </c>
      <c r="AA12">
        <f>'６．エコアップCO2量一覧'!T8</f>
        <v>0</v>
      </c>
      <c r="AB12">
        <f>'６．エコアップCO2量一覧'!U8</f>
        <v>0</v>
      </c>
      <c r="AC12">
        <f>'６．エコアップCO2量一覧'!V8</f>
        <v>0</v>
      </c>
      <c r="AD12">
        <f>'６．エコアップCO2量一覧'!W8</f>
        <v>0</v>
      </c>
      <c r="AE12">
        <f>'６．エコアップCO2量一覧'!X8</f>
        <v>0</v>
      </c>
      <c r="AF12">
        <f>'６．エコアップCO2量一覧'!Y8</f>
        <v>0</v>
      </c>
      <c r="AG12">
        <f>'６．エコアップCO2量一覧'!Z8</f>
        <v>0</v>
      </c>
      <c r="AH12">
        <f>'６．エコアップCO2量一覧'!AA8</f>
        <v>0</v>
      </c>
      <c r="AI12">
        <f>'６．エコアップCO2量一覧'!AB8</f>
        <v>0</v>
      </c>
      <c r="AJ12">
        <f>'６．エコアップCO2量一覧'!AC8</f>
        <v>0</v>
      </c>
      <c r="AK12">
        <f>'６．エコアップCO2量一覧'!AD8</f>
        <v>0</v>
      </c>
      <c r="AL12">
        <f>'６．エコアップCO2量一覧'!AE8</f>
        <v>0</v>
      </c>
      <c r="AM12">
        <f>'６．エコアップCO2量一覧'!AF8</f>
        <v>0</v>
      </c>
      <c r="AN12">
        <f>'６．エコアップCO2量一覧'!AG8</f>
        <v>0</v>
      </c>
      <c r="AO12">
        <f>'６．エコアップCO2量一覧'!AH8</f>
        <v>0</v>
      </c>
      <c r="AP12">
        <f>'６．エコアップCO2量一覧'!AI8</f>
        <v>0</v>
      </c>
      <c r="AQ12">
        <f>'６．エコアップCO2量一覧'!AJ8</f>
        <v>0</v>
      </c>
      <c r="AR12">
        <f>'６．エコアップCO2量一覧'!AK8</f>
        <v>0</v>
      </c>
      <c r="AS12">
        <f>'６．エコアップCO2量一覧'!AL8</f>
        <v>0</v>
      </c>
    </row>
    <row r="13" spans="1:45" ht="14" customHeight="1">
      <c r="B13" s="1648" t="s">
        <v>2414</v>
      </c>
      <c r="C13" s="1649"/>
      <c r="D13" s="1648" t="s">
        <v>2415</v>
      </c>
      <c r="E13" s="1649"/>
      <c r="F13" s="1117">
        <f>IF(F6="","",F6)</f>
        <v>4</v>
      </c>
      <c r="G13" s="1117">
        <f t="shared" ref="G13:H13" si="7">G6</f>
        <v>5</v>
      </c>
      <c r="H13" s="1117">
        <f t="shared" si="7"/>
        <v>6</v>
      </c>
      <c r="I13" s="1139">
        <f>IF(I6="","",I6)</f>
        <v>7</v>
      </c>
      <c r="M13" s="1134"/>
      <c r="N13" s="120" t="s">
        <v>2427</v>
      </c>
      <c r="O13" s="120" t="s">
        <v>2426</v>
      </c>
      <c r="R13" t="s">
        <v>2498</v>
      </c>
      <c r="S13">
        <f>'６．エコアップCO2量一覧'!L9</f>
        <v>0</v>
      </c>
      <c r="T13">
        <f>'６．エコアップCO2量一覧'!M9</f>
        <v>0</v>
      </c>
      <c r="U13">
        <f>'６．エコアップCO2量一覧'!N9</f>
        <v>0</v>
      </c>
      <c r="V13">
        <f>'６．エコアップCO2量一覧'!O9</f>
        <v>0</v>
      </c>
      <c r="W13">
        <f>'６．エコアップCO2量一覧'!P9</f>
        <v>0</v>
      </c>
      <c r="X13">
        <f>'６．エコアップCO2量一覧'!Q9</f>
        <v>0</v>
      </c>
      <c r="Y13">
        <f>'６．エコアップCO2量一覧'!R9</f>
        <v>0</v>
      </c>
      <c r="Z13">
        <f>'６．エコアップCO2量一覧'!S9</f>
        <v>0</v>
      </c>
      <c r="AA13">
        <f>'６．エコアップCO2量一覧'!T9</f>
        <v>0</v>
      </c>
      <c r="AB13">
        <f>'６．エコアップCO2量一覧'!U9</f>
        <v>0</v>
      </c>
      <c r="AC13">
        <f>'６．エコアップCO2量一覧'!V9</f>
        <v>0</v>
      </c>
      <c r="AD13">
        <f>'６．エコアップCO2量一覧'!W9</f>
        <v>0</v>
      </c>
      <c r="AE13">
        <f>'６．エコアップCO2量一覧'!X9</f>
        <v>0</v>
      </c>
      <c r="AF13">
        <f>'６．エコアップCO2量一覧'!Y9</f>
        <v>0</v>
      </c>
      <c r="AG13">
        <f>'６．エコアップCO2量一覧'!Z9</f>
        <v>0</v>
      </c>
      <c r="AH13">
        <f>'６．エコアップCO2量一覧'!AA9</f>
        <v>0</v>
      </c>
      <c r="AI13">
        <f>'６．エコアップCO2量一覧'!AB9</f>
        <v>0</v>
      </c>
      <c r="AJ13">
        <f>'６．エコアップCO2量一覧'!AC9</f>
        <v>0</v>
      </c>
      <c r="AK13">
        <f>'６．エコアップCO2量一覧'!AD9</f>
        <v>0</v>
      </c>
      <c r="AL13">
        <f>'６．エコアップCO2量一覧'!AE9</f>
        <v>0</v>
      </c>
      <c r="AM13">
        <f>'６．エコアップCO2量一覧'!AF9</f>
        <v>0</v>
      </c>
      <c r="AN13">
        <f>'６．エコアップCO2量一覧'!AG9</f>
        <v>0</v>
      </c>
      <c r="AO13">
        <f>'６．エコアップCO2量一覧'!AH9</f>
        <v>0</v>
      </c>
      <c r="AP13">
        <f>'６．エコアップCO2量一覧'!AI9</f>
        <v>0</v>
      </c>
      <c r="AQ13">
        <f>'６．エコアップCO2量一覧'!AJ9</f>
        <v>0</v>
      </c>
      <c r="AR13">
        <f>'６．エコアップCO2量一覧'!AK9</f>
        <v>0</v>
      </c>
      <c r="AS13">
        <f>'６．エコアップCO2量一覧'!AL9</f>
        <v>0</v>
      </c>
    </row>
    <row r="14" spans="1:45" ht="14" customHeight="1">
      <c r="B14" s="1645"/>
      <c r="C14" s="1647"/>
      <c r="D14" s="1645"/>
      <c r="E14" s="1647"/>
      <c r="F14" s="1120" t="s">
        <v>1658</v>
      </c>
      <c r="G14" s="1120" t="s">
        <v>1658</v>
      </c>
      <c r="H14" s="1120" t="s">
        <v>1658</v>
      </c>
      <c r="I14" s="1121" t="s">
        <v>1658</v>
      </c>
      <c r="M14" s="1134"/>
      <c r="N14" s="120" t="s">
        <v>2428</v>
      </c>
      <c r="O14" s="120" t="s">
        <v>2429</v>
      </c>
      <c r="R14" t="s">
        <v>2499</v>
      </c>
      <c r="S14">
        <f>'６．エコアップCO2量一覧'!L10</f>
        <v>0</v>
      </c>
      <c r="T14">
        <f>'６．エコアップCO2量一覧'!M10</f>
        <v>0</v>
      </c>
      <c r="U14">
        <f>'６．エコアップCO2量一覧'!N10</f>
        <v>0</v>
      </c>
      <c r="V14">
        <f>'６．エコアップCO2量一覧'!O10</f>
        <v>0</v>
      </c>
      <c r="W14">
        <f>'６．エコアップCO2量一覧'!P10</f>
        <v>0</v>
      </c>
      <c r="X14">
        <f>'６．エコアップCO2量一覧'!Q10</f>
        <v>0</v>
      </c>
      <c r="Y14">
        <f>'６．エコアップCO2量一覧'!R10</f>
        <v>0</v>
      </c>
      <c r="Z14">
        <f>'６．エコアップCO2量一覧'!S10</f>
        <v>0</v>
      </c>
      <c r="AA14">
        <f>'６．エコアップCO2量一覧'!T10</f>
        <v>0</v>
      </c>
      <c r="AB14">
        <f>'６．エコアップCO2量一覧'!U10</f>
        <v>0</v>
      </c>
      <c r="AC14">
        <f>'６．エコアップCO2量一覧'!V10</f>
        <v>0</v>
      </c>
      <c r="AD14">
        <f>'６．エコアップCO2量一覧'!W10</f>
        <v>0</v>
      </c>
      <c r="AE14">
        <f>'６．エコアップCO2量一覧'!X10</f>
        <v>0</v>
      </c>
      <c r="AF14">
        <f>'６．エコアップCO2量一覧'!Y10</f>
        <v>0</v>
      </c>
      <c r="AG14">
        <f>'６．エコアップCO2量一覧'!Z10</f>
        <v>0</v>
      </c>
      <c r="AH14">
        <f>'６．エコアップCO2量一覧'!AA10</f>
        <v>0</v>
      </c>
      <c r="AI14">
        <f>'６．エコアップCO2量一覧'!AB10</f>
        <v>0</v>
      </c>
      <c r="AJ14">
        <f>'６．エコアップCO2量一覧'!AC10</f>
        <v>0</v>
      </c>
      <c r="AK14">
        <f>'６．エコアップCO2量一覧'!AD10</f>
        <v>0</v>
      </c>
      <c r="AL14">
        <f>'６．エコアップCO2量一覧'!AE10</f>
        <v>0</v>
      </c>
      <c r="AM14">
        <f>'６．エコアップCO2量一覧'!AF10</f>
        <v>0</v>
      </c>
      <c r="AN14">
        <f>'６．エコアップCO2量一覧'!AG10</f>
        <v>0</v>
      </c>
      <c r="AO14">
        <f>'６．エコアップCO2量一覧'!AH10</f>
        <v>0</v>
      </c>
      <c r="AP14">
        <f>'６．エコアップCO2量一覧'!AI10</f>
        <v>0</v>
      </c>
      <c r="AQ14">
        <f>'６．エコアップCO2量一覧'!AJ10</f>
        <v>0</v>
      </c>
      <c r="AR14">
        <f>'６．エコアップCO2量一覧'!AK10</f>
        <v>0</v>
      </c>
      <c r="AS14">
        <f>'６．エコアップCO2量一覧'!AL10</f>
        <v>0</v>
      </c>
    </row>
    <row r="15" spans="1:45" ht="14" customHeight="1">
      <c r="B15" s="1122" t="s">
        <v>2416</v>
      </c>
      <c r="C15" s="1123"/>
      <c r="D15" s="1640" t="s">
        <v>2417</v>
      </c>
      <c r="E15" s="1641"/>
      <c r="F15" s="1124">
        <f>IFERROR(ROUND(HLOOKUP(F6,$S$11:$AS$14,3,FALSE),1),"")</f>
        <v>0</v>
      </c>
      <c r="G15" s="1124">
        <f t="shared" ref="G15:I15" si="8">IFERROR(ROUND(HLOOKUP(G6,$S$11:$AS$14,3,FALSE),1),"")</f>
        <v>0</v>
      </c>
      <c r="H15" s="1124">
        <f t="shared" si="8"/>
        <v>0</v>
      </c>
      <c r="I15" s="1124">
        <f t="shared" si="8"/>
        <v>0</v>
      </c>
      <c r="M15" s="1134"/>
      <c r="N15" s="120" t="s">
        <v>2430</v>
      </c>
      <c r="O15" s="120" t="s">
        <v>2429</v>
      </c>
      <c r="R15" s="1166" t="s">
        <v>171</v>
      </c>
      <c r="S15">
        <f>'６．エコアップCO2量一覧'!L17</f>
        <v>0</v>
      </c>
      <c r="T15">
        <f>'６．エコアップCO2量一覧'!M17</f>
        <v>0</v>
      </c>
      <c r="U15">
        <f>'６．エコアップCO2量一覧'!N17</f>
        <v>0</v>
      </c>
      <c r="V15">
        <f>'６．エコアップCO2量一覧'!O17</f>
        <v>0</v>
      </c>
      <c r="W15">
        <f>'６．エコアップCO2量一覧'!P17</f>
        <v>0</v>
      </c>
      <c r="X15">
        <f>'６．エコアップCO2量一覧'!Q17</f>
        <v>0</v>
      </c>
      <c r="Y15">
        <f>'６．エコアップCO2量一覧'!R17</f>
        <v>0</v>
      </c>
      <c r="Z15">
        <f>'６．エコアップCO2量一覧'!S17</f>
        <v>0</v>
      </c>
      <c r="AA15">
        <f>'６．エコアップCO2量一覧'!T17</f>
        <v>0</v>
      </c>
      <c r="AB15">
        <f>'６．エコアップCO2量一覧'!U17</f>
        <v>0</v>
      </c>
      <c r="AC15">
        <f>'６．エコアップCO2量一覧'!V17</f>
        <v>0</v>
      </c>
      <c r="AD15">
        <f>'６．エコアップCO2量一覧'!W17</f>
        <v>0</v>
      </c>
      <c r="AE15">
        <f>'６．エコアップCO2量一覧'!X17</f>
        <v>0</v>
      </c>
      <c r="AF15">
        <f>'６．エコアップCO2量一覧'!Y17</f>
        <v>0</v>
      </c>
      <c r="AG15">
        <f>'６．エコアップCO2量一覧'!Z17</f>
        <v>0</v>
      </c>
      <c r="AH15">
        <f>'６．エコアップCO2量一覧'!AA17</f>
        <v>0</v>
      </c>
      <c r="AI15">
        <f>'６．エコアップCO2量一覧'!AB17</f>
        <v>0</v>
      </c>
      <c r="AJ15" s="1333">
        <f>IF($I$6&lt;AJ5,"",'６．エコアップCO2量一覧'!AC18)</f>
        <v>0</v>
      </c>
      <c r="AK15" s="1333" t="str">
        <f>IF($I$6&lt;AK5,"",'６．エコアップCO2量一覧'!AD18)</f>
        <v/>
      </c>
      <c r="AL15" s="1333" t="str">
        <f>IF($I$6&lt;AL5,"",'６．エコアップCO2量一覧'!AE18)</f>
        <v/>
      </c>
      <c r="AM15" s="1145">
        <f>'６．エコアップCO2量一覧'!AF18</f>
        <v>0</v>
      </c>
      <c r="AN15">
        <f>'６．エコアップCO2量一覧'!AG18</f>
        <v>0</v>
      </c>
      <c r="AO15">
        <f>'６．エコアップCO2量一覧'!AH18</f>
        <v>0</v>
      </c>
      <c r="AP15">
        <f>'６．エコアップCO2量一覧'!AI18</f>
        <v>0</v>
      </c>
      <c r="AQ15">
        <f>'６．エコアップCO2量一覧'!AJ18</f>
        <v>0</v>
      </c>
      <c r="AR15">
        <f>'６．エコアップCO2量一覧'!AK18</f>
        <v>0</v>
      </c>
      <c r="AS15">
        <f>'６．エコアップCO2量一覧'!AL18</f>
        <v>0</v>
      </c>
    </row>
    <row r="16" spans="1:45" ht="14" customHeight="1">
      <c r="B16" s="1125" t="s">
        <v>2418</v>
      </c>
      <c r="C16" s="1126"/>
      <c r="D16" s="1127" t="s">
        <v>2419</v>
      </c>
      <c r="E16" s="1128" t="str">
        <f>IFERROR(E17,"")</f>
        <v/>
      </c>
      <c r="F16" s="1129" t="str">
        <f>IFERROR(ROUND(F15/F17,4),"")</f>
        <v/>
      </c>
      <c r="G16" s="1129" t="str">
        <f t="shared" ref="G16:I16" si="9">IFERROR(ROUND(G15/G17,4),"")</f>
        <v/>
      </c>
      <c r="H16" s="1129" t="str">
        <f t="shared" si="9"/>
        <v/>
      </c>
      <c r="I16" s="1129" t="str">
        <f t="shared" si="9"/>
        <v/>
      </c>
      <c r="L16" s="1130" t="e">
        <f>MATCH(D17,$N$12:$N$21,0)</f>
        <v>#N/A</v>
      </c>
      <c r="M16" s="1134"/>
      <c r="N16" s="120" t="s">
        <v>2431</v>
      </c>
      <c r="O16" s="120" t="s">
        <v>2432</v>
      </c>
      <c r="R16" s="1166" t="s">
        <v>2525</v>
      </c>
      <c r="S16" t="str">
        <f>'６．エコアップCO2量一覧'!L26</f>
        <v/>
      </c>
      <c r="T16" t="str">
        <f>'６．エコアップCO2量一覧'!M26</f>
        <v/>
      </c>
      <c r="U16" t="str">
        <f>'６．エコアップCO2量一覧'!N26</f>
        <v/>
      </c>
      <c r="V16" t="str">
        <f>'６．エコアップCO2量一覧'!O26</f>
        <v/>
      </c>
      <c r="W16" t="str">
        <f>'６．エコアップCO2量一覧'!P26</f>
        <v/>
      </c>
      <c r="X16" t="str">
        <f>'６．エコアップCO2量一覧'!Q26</f>
        <v/>
      </c>
      <c r="Y16" t="str">
        <f>'６．エコアップCO2量一覧'!R26</f>
        <v/>
      </c>
      <c r="Z16" t="str">
        <f>'６．エコアップCO2量一覧'!S26</f>
        <v/>
      </c>
      <c r="AA16" t="str">
        <f>'６．エコアップCO2量一覧'!T26</f>
        <v/>
      </c>
      <c r="AB16" t="str">
        <f>'６．エコアップCO2量一覧'!U26</f>
        <v/>
      </c>
      <c r="AC16" t="str">
        <f>'６．エコアップCO2量一覧'!V26</f>
        <v/>
      </c>
      <c r="AD16" t="str">
        <f>'６．エコアップCO2量一覧'!W26</f>
        <v/>
      </c>
      <c r="AE16" t="str">
        <f>'６．エコアップCO2量一覧'!X26</f>
        <v/>
      </c>
      <c r="AF16" t="str">
        <f>'６．エコアップCO2量一覧'!Y26</f>
        <v/>
      </c>
      <c r="AG16" t="str">
        <f>'６．エコアップCO2量一覧'!Z26</f>
        <v/>
      </c>
      <c r="AH16" t="str">
        <f>'６．エコアップCO2量一覧'!AA26</f>
        <v/>
      </c>
      <c r="AI16" t="str">
        <f>'６．エコアップCO2量一覧'!AB26</f>
        <v/>
      </c>
      <c r="AJ16" s="1333" t="str">
        <f>IF($I$6&lt;AJ5,"",'６．エコアップCO2量一覧'!AC26)</f>
        <v/>
      </c>
      <c r="AK16" s="1333" t="str">
        <f>IF($I$6&lt;AK5,"",'６．エコアップCO2量一覧'!AD26)</f>
        <v/>
      </c>
      <c r="AL16" s="1333" t="str">
        <f>IF($I$6&lt;AL5,"",'６．エコアップCO2量一覧'!AE26)</f>
        <v/>
      </c>
      <c r="AM16" s="1145" t="str">
        <f>'６．エコアップCO2量一覧'!AF27</f>
        <v/>
      </c>
      <c r="AN16" t="str">
        <f>'６．エコアップCO2量一覧'!AG27</f>
        <v/>
      </c>
      <c r="AO16" t="str">
        <f>'６．エコアップCO2量一覧'!AH27</f>
        <v/>
      </c>
      <c r="AP16" t="str">
        <f>'６．エコアップCO2量一覧'!AI27</f>
        <v/>
      </c>
      <c r="AQ16" t="str">
        <f>'６．エコアップCO2量一覧'!AJ27</f>
        <v/>
      </c>
      <c r="AR16" t="str">
        <f>'６．エコアップCO2量一覧'!AK27</f>
        <v/>
      </c>
      <c r="AS16" t="str">
        <f>'６．エコアップCO2量一覧'!AL27</f>
        <v/>
      </c>
    </row>
    <row r="17" spans="2:45" ht="14" customHeight="1">
      <c r="B17" s="1125" t="s">
        <v>2420</v>
      </c>
      <c r="C17" s="1116"/>
      <c r="D17" s="1131"/>
      <c r="E17" s="169" t="str">
        <f>IFERROR(INDEX($O$12:$O$21,L16),"")</f>
        <v/>
      </c>
      <c r="F17" s="1133"/>
      <c r="G17" s="1133"/>
      <c r="H17" s="1133"/>
      <c r="I17" s="1133"/>
      <c r="M17" s="1134"/>
      <c r="N17" s="120" t="s">
        <v>2434</v>
      </c>
      <c r="O17" s="120" t="s">
        <v>2435</v>
      </c>
      <c r="R17" s="1166"/>
    </row>
    <row r="18" spans="2:45" ht="14" customHeight="1">
      <c r="C18" s="1104"/>
      <c r="D18" s="1134"/>
      <c r="E18" s="1134"/>
      <c r="F18" s="1134"/>
      <c r="G18" s="198"/>
      <c r="H18" s="198"/>
      <c r="I18" s="198"/>
      <c r="M18" s="1134"/>
      <c r="N18" s="120" t="s">
        <v>2436</v>
      </c>
      <c r="O18" s="120" t="s">
        <v>2437</v>
      </c>
      <c r="R18" s="1166"/>
    </row>
    <row r="19" spans="2:45" ht="14" customHeight="1">
      <c r="B19" t="s">
        <v>2438</v>
      </c>
      <c r="C19" s="1104"/>
      <c r="D19" s="1134"/>
      <c r="E19" s="1134"/>
      <c r="F19" s="1134"/>
      <c r="G19" s="198"/>
      <c r="H19" s="198"/>
      <c r="I19" s="198"/>
      <c r="M19" s="1134"/>
      <c r="N19" s="120" t="s">
        <v>2439</v>
      </c>
      <c r="O19" s="120" t="s">
        <v>2440</v>
      </c>
      <c r="R19" t="s">
        <v>2433</v>
      </c>
      <c r="AD19" s="1113"/>
    </row>
    <row r="20" spans="2:45" ht="14" customHeight="1">
      <c r="B20" s="1648" t="s">
        <v>2414</v>
      </c>
      <c r="C20" s="1649"/>
      <c r="D20" s="1648" t="s">
        <v>2415</v>
      </c>
      <c r="E20" s="1649"/>
      <c r="F20" s="1117">
        <f>IF(F13="","",F13)</f>
        <v>4</v>
      </c>
      <c r="G20" s="1117">
        <f t="shared" ref="G20:I20" si="10">G13</f>
        <v>5</v>
      </c>
      <c r="H20" s="1117">
        <f t="shared" si="10"/>
        <v>6</v>
      </c>
      <c r="I20" s="1139">
        <f t="shared" si="10"/>
        <v>7</v>
      </c>
      <c r="M20" s="1134"/>
      <c r="N20" s="1254"/>
      <c r="O20" s="1254"/>
      <c r="R20" t="s">
        <v>1658</v>
      </c>
      <c r="S20">
        <v>20</v>
      </c>
      <c r="T20">
        <v>21</v>
      </c>
      <c r="U20">
        <v>22</v>
      </c>
      <c r="V20">
        <v>23</v>
      </c>
      <c r="W20">
        <v>24</v>
      </c>
      <c r="X20">
        <v>25</v>
      </c>
      <c r="Y20">
        <v>26</v>
      </c>
      <c r="Z20">
        <v>27</v>
      </c>
      <c r="AA20">
        <v>28</v>
      </c>
      <c r="AB20">
        <v>29</v>
      </c>
      <c r="AC20">
        <v>30</v>
      </c>
      <c r="AD20" s="1113" t="s">
        <v>2413</v>
      </c>
      <c r="AE20">
        <v>2</v>
      </c>
      <c r="AF20">
        <v>3</v>
      </c>
      <c r="AG20">
        <v>4</v>
      </c>
      <c r="AH20">
        <v>5</v>
      </c>
      <c r="AI20">
        <v>6</v>
      </c>
      <c r="AJ20">
        <v>7</v>
      </c>
      <c r="AK20">
        <v>8</v>
      </c>
      <c r="AL20">
        <v>9</v>
      </c>
      <c r="AM20">
        <v>10</v>
      </c>
      <c r="AN20">
        <v>11</v>
      </c>
      <c r="AO20">
        <v>12</v>
      </c>
      <c r="AP20">
        <v>13</v>
      </c>
      <c r="AQ20">
        <v>14</v>
      </c>
      <c r="AR20">
        <v>15</v>
      </c>
      <c r="AS20">
        <v>16</v>
      </c>
    </row>
    <row r="21" spans="2:45" ht="14" customHeight="1">
      <c r="B21" s="1645"/>
      <c r="C21" s="1647"/>
      <c r="D21" s="1645"/>
      <c r="E21" s="1647"/>
      <c r="F21" s="1120" t="s">
        <v>1658</v>
      </c>
      <c r="G21" s="1120" t="s">
        <v>1658</v>
      </c>
      <c r="H21" s="1120" t="s">
        <v>1658</v>
      </c>
      <c r="I21" s="1121" t="s">
        <v>1658</v>
      </c>
      <c r="M21" s="1134"/>
      <c r="N21" s="1254"/>
      <c r="O21" s="1254"/>
      <c r="R21" t="s">
        <v>2497</v>
      </c>
      <c r="S21">
        <f>'６．エコアップCO2量一覧'!L13</f>
        <v>0</v>
      </c>
      <c r="T21">
        <f>'６．エコアップCO2量一覧'!M13</f>
        <v>0</v>
      </c>
      <c r="U21">
        <f>'６．エコアップCO2量一覧'!N13</f>
        <v>0</v>
      </c>
      <c r="V21">
        <f>'６．エコアップCO2量一覧'!O13</f>
        <v>0</v>
      </c>
      <c r="W21">
        <f>'６．エコアップCO2量一覧'!P13</f>
        <v>0</v>
      </c>
      <c r="X21">
        <f>'６．エコアップCO2量一覧'!Q13</f>
        <v>0</v>
      </c>
      <c r="Y21">
        <f>'６．エコアップCO2量一覧'!R13</f>
        <v>0</v>
      </c>
      <c r="Z21">
        <f>'６．エコアップCO2量一覧'!S13</f>
        <v>0</v>
      </c>
      <c r="AA21">
        <f>'６．エコアップCO2量一覧'!T13</f>
        <v>0</v>
      </c>
      <c r="AB21">
        <f>'６．エコアップCO2量一覧'!U13</f>
        <v>0</v>
      </c>
      <c r="AC21">
        <f>'６．エコアップCO2量一覧'!V13</f>
        <v>0</v>
      </c>
      <c r="AD21">
        <f>'６．エコアップCO2量一覧'!W13</f>
        <v>0</v>
      </c>
      <c r="AE21">
        <f>'６．エコアップCO2量一覧'!X13</f>
        <v>0</v>
      </c>
      <c r="AF21">
        <f>'６．エコアップCO2量一覧'!Y13</f>
        <v>0</v>
      </c>
      <c r="AG21">
        <f>'６．エコアップCO2量一覧'!Z13</f>
        <v>0</v>
      </c>
      <c r="AH21">
        <f>'６．エコアップCO2量一覧'!AA13</f>
        <v>0</v>
      </c>
      <c r="AI21">
        <f>'６．エコアップCO2量一覧'!AB13</f>
        <v>0</v>
      </c>
      <c r="AJ21">
        <f>'６．エコアップCO2量一覧'!AC13</f>
        <v>0</v>
      </c>
      <c r="AK21">
        <f>'６．エコアップCO2量一覧'!AD13</f>
        <v>0</v>
      </c>
      <c r="AL21">
        <f>'６．エコアップCO2量一覧'!AE13</f>
        <v>0</v>
      </c>
      <c r="AM21">
        <f>'６．エコアップCO2量一覧'!AF13</f>
        <v>0</v>
      </c>
      <c r="AN21">
        <f>'６．エコアップCO2量一覧'!AG13</f>
        <v>0</v>
      </c>
      <c r="AO21">
        <f>'６．エコアップCO2量一覧'!AH13</f>
        <v>0</v>
      </c>
      <c r="AP21">
        <f>'６．エコアップCO2量一覧'!AI13</f>
        <v>0</v>
      </c>
      <c r="AQ21">
        <f>'６．エコアップCO2量一覧'!AJ13</f>
        <v>0</v>
      </c>
      <c r="AR21">
        <f>'６．エコアップCO2量一覧'!AK13</f>
        <v>0</v>
      </c>
      <c r="AS21">
        <f>'６．エコアップCO2量一覧'!AL13</f>
        <v>0</v>
      </c>
    </row>
    <row r="22" spans="2:45" ht="14" customHeight="1">
      <c r="B22" s="1122" t="s">
        <v>2416</v>
      </c>
      <c r="C22" s="1123"/>
      <c r="D22" s="1640" t="s">
        <v>2417</v>
      </c>
      <c r="E22" s="1641"/>
      <c r="F22" s="1124">
        <f>IFERROR(ROUND(HLOOKUP(F6,$S$11:$AS$14,4,FALSE),1),"")</f>
        <v>0</v>
      </c>
      <c r="G22" s="1124">
        <f t="shared" ref="G22:I22" si="11">IFERROR(ROUND(HLOOKUP(G6,$S$11:$AS$14,4,FALSE),1),"")</f>
        <v>0</v>
      </c>
      <c r="H22" s="1124">
        <f t="shared" si="11"/>
        <v>0</v>
      </c>
      <c r="I22" s="1124">
        <f t="shared" si="11"/>
        <v>0</v>
      </c>
      <c r="M22" s="1134"/>
      <c r="R22" t="s">
        <v>2498</v>
      </c>
      <c r="S22">
        <f>'６．エコアップCO2量一覧'!L14</f>
        <v>0</v>
      </c>
      <c r="T22">
        <f>'６．エコアップCO2量一覧'!M14</f>
        <v>0</v>
      </c>
      <c r="U22">
        <f>'６．エコアップCO2量一覧'!N14</f>
        <v>0</v>
      </c>
      <c r="V22">
        <f>'６．エコアップCO2量一覧'!O14</f>
        <v>0</v>
      </c>
      <c r="W22">
        <f>'６．エコアップCO2量一覧'!P14</f>
        <v>0</v>
      </c>
      <c r="X22">
        <f>'６．エコアップCO2量一覧'!Q14</f>
        <v>0</v>
      </c>
      <c r="Y22">
        <f>'６．エコアップCO2量一覧'!R14</f>
        <v>0</v>
      </c>
      <c r="Z22">
        <f>'６．エコアップCO2量一覧'!S14</f>
        <v>0</v>
      </c>
      <c r="AA22">
        <f>'６．エコアップCO2量一覧'!T14</f>
        <v>0</v>
      </c>
      <c r="AB22">
        <f>'６．エコアップCO2量一覧'!U14</f>
        <v>0</v>
      </c>
      <c r="AC22">
        <f>'６．エコアップCO2量一覧'!V14</f>
        <v>0</v>
      </c>
      <c r="AD22">
        <f>'６．エコアップCO2量一覧'!W14</f>
        <v>0</v>
      </c>
      <c r="AE22">
        <f>'６．エコアップCO2量一覧'!X14</f>
        <v>0</v>
      </c>
      <c r="AF22">
        <f>'６．エコアップCO2量一覧'!Y14</f>
        <v>0</v>
      </c>
      <c r="AG22">
        <f>'６．エコアップCO2量一覧'!Z14</f>
        <v>0</v>
      </c>
      <c r="AH22">
        <f>'６．エコアップCO2量一覧'!AA14</f>
        <v>0</v>
      </c>
      <c r="AI22">
        <f>'６．エコアップCO2量一覧'!AB14</f>
        <v>0</v>
      </c>
      <c r="AJ22">
        <f>'６．エコアップCO2量一覧'!AC14</f>
        <v>0</v>
      </c>
      <c r="AK22">
        <f>'６．エコアップCO2量一覧'!AD14</f>
        <v>0</v>
      </c>
      <c r="AL22">
        <f>'６．エコアップCO2量一覧'!AE14</f>
        <v>0</v>
      </c>
      <c r="AM22">
        <f>'６．エコアップCO2量一覧'!AF14</f>
        <v>0</v>
      </c>
      <c r="AN22">
        <f>'６．エコアップCO2量一覧'!AG14</f>
        <v>0</v>
      </c>
      <c r="AO22">
        <f>'６．エコアップCO2量一覧'!AH14</f>
        <v>0</v>
      </c>
      <c r="AP22">
        <f>'６．エコアップCO2量一覧'!AI14</f>
        <v>0</v>
      </c>
      <c r="AQ22">
        <f>'６．エコアップCO2量一覧'!AJ14</f>
        <v>0</v>
      </c>
      <c r="AR22">
        <f>'６．エコアップCO2量一覧'!AK14</f>
        <v>0</v>
      </c>
      <c r="AS22">
        <f>'６．エコアップCO2量一覧'!AL14</f>
        <v>0</v>
      </c>
    </row>
    <row r="23" spans="2:45" ht="14" customHeight="1">
      <c r="B23" s="1125" t="s">
        <v>2418</v>
      </c>
      <c r="C23" s="1126"/>
      <c r="D23" s="1127" t="s">
        <v>2419</v>
      </c>
      <c r="E23" s="1128" t="str">
        <f>IFERROR(E24,"")</f>
        <v/>
      </c>
      <c r="F23" s="1129" t="str">
        <f>IFERROR(ROUND(F22/F24,4),"")</f>
        <v/>
      </c>
      <c r="G23" s="1129" t="str">
        <f t="shared" ref="G23:I23" si="12">IFERROR(ROUND(G22/G24,4),"")</f>
        <v/>
      </c>
      <c r="H23" s="1129" t="str">
        <f t="shared" si="12"/>
        <v/>
      </c>
      <c r="I23" s="1129" t="str">
        <f t="shared" si="12"/>
        <v/>
      </c>
      <c r="L23" s="1130" t="e">
        <f>MATCH(D24,$N$12:$N$21,0)</f>
        <v>#N/A</v>
      </c>
      <c r="M23" s="1134"/>
      <c r="R23" t="s">
        <v>2499</v>
      </c>
    </row>
    <row r="24" spans="2:45" ht="14" customHeight="1">
      <c r="B24" s="1125" t="s">
        <v>2420</v>
      </c>
      <c r="C24" s="1140"/>
      <c r="D24" s="1131"/>
      <c r="E24" s="169" t="str">
        <f>IFERROR(INDEX($O$12:$O$21,L23),"")</f>
        <v/>
      </c>
      <c r="F24" s="1133"/>
      <c r="G24" s="1133"/>
      <c r="H24" s="1133"/>
      <c r="I24" s="1133"/>
      <c r="M24" s="1134"/>
    </row>
    <row r="25" spans="2:45" ht="14" customHeight="1">
      <c r="B25" s="1104"/>
      <c r="C25" s="1104"/>
      <c r="D25" s="1134"/>
      <c r="E25" s="1134"/>
      <c r="F25" s="1134"/>
      <c r="G25" s="198"/>
      <c r="H25" s="198"/>
      <c r="I25" s="198"/>
      <c r="M25" s="1134"/>
    </row>
    <row r="26" spans="2:45" ht="14" customHeight="1">
      <c r="B26" s="1138" t="s">
        <v>2441</v>
      </c>
      <c r="C26" s="1104"/>
      <c r="D26" s="1134"/>
      <c r="E26" s="1134"/>
      <c r="F26" s="1134"/>
      <c r="G26" s="198"/>
      <c r="H26" s="198"/>
      <c r="I26" s="198"/>
      <c r="M26" s="1134"/>
    </row>
    <row r="27" spans="2:45" ht="14" customHeight="1">
      <c r="B27" s="1648" t="s">
        <v>2414</v>
      </c>
      <c r="C27" s="1649"/>
      <c r="D27" s="1648" t="s">
        <v>2415</v>
      </c>
      <c r="E27" s="1649"/>
      <c r="F27" s="1117">
        <f>IF(F20="","",F20)</f>
        <v>4</v>
      </c>
      <c r="G27" s="1117">
        <f t="shared" ref="G27:I27" si="13">G20</f>
        <v>5</v>
      </c>
      <c r="H27" s="1117">
        <f t="shared" si="13"/>
        <v>6</v>
      </c>
      <c r="I27" s="1139">
        <f t="shared" si="13"/>
        <v>7</v>
      </c>
      <c r="M27" s="1134"/>
    </row>
    <row r="28" spans="2:45" ht="14" customHeight="1">
      <c r="B28" s="1645"/>
      <c r="C28" s="1647"/>
      <c r="D28" s="1645"/>
      <c r="E28" s="1647"/>
      <c r="F28" s="1120" t="s">
        <v>1658</v>
      </c>
      <c r="G28" s="1120" t="s">
        <v>1658</v>
      </c>
      <c r="H28" s="1120" t="s">
        <v>1658</v>
      </c>
      <c r="I28" s="1121" t="s">
        <v>1658</v>
      </c>
      <c r="M28" s="1134"/>
    </row>
    <row r="29" spans="2:45" ht="14" customHeight="1">
      <c r="B29" s="1122" t="s">
        <v>2416</v>
      </c>
      <c r="C29" s="1123"/>
      <c r="D29" s="1640" t="s">
        <v>2417</v>
      </c>
      <c r="E29" s="1641"/>
      <c r="F29" s="1141">
        <f>IFERROR(F8+F15+F22,"")</f>
        <v>0</v>
      </c>
      <c r="G29" s="1141">
        <f t="shared" ref="G29:I29" si="14">IFERROR(G8+G15+G22,"")</f>
        <v>0</v>
      </c>
      <c r="H29" s="1141">
        <f t="shared" si="14"/>
        <v>0</v>
      </c>
      <c r="I29" s="1124">
        <f t="shared" si="14"/>
        <v>0</v>
      </c>
      <c r="J29" s="507"/>
      <c r="K29" s="507"/>
      <c r="M29" s="1134"/>
    </row>
    <row r="30" spans="2:45" ht="14" customHeight="1">
      <c r="B30" s="1125" t="s">
        <v>2418</v>
      </c>
      <c r="C30" s="1126"/>
      <c r="D30" s="1127" t="s">
        <v>2419</v>
      </c>
      <c r="E30" s="1128" t="str">
        <f>IFERROR(E31,"")</f>
        <v/>
      </c>
      <c r="F30" s="1129" t="str">
        <f>IFERROR(ROUND(F29/F31,4),"")</f>
        <v/>
      </c>
      <c r="G30" s="1129" t="str">
        <f t="shared" ref="G30:I30" si="15">IFERROR(ROUND(G29/G31,4),"")</f>
        <v/>
      </c>
      <c r="H30" s="1129" t="str">
        <f t="shared" si="15"/>
        <v/>
      </c>
      <c r="I30" s="1129" t="str">
        <f t="shared" si="15"/>
        <v/>
      </c>
      <c r="J30" s="507"/>
      <c r="K30" s="507"/>
      <c r="L30" s="1130" t="e">
        <f>MATCH(D31,$N$12:$N$21,0)</f>
        <v>#N/A</v>
      </c>
      <c r="M30" s="1134"/>
    </row>
    <row r="31" spans="2:45" ht="14" customHeight="1">
      <c r="B31" s="1125" t="s">
        <v>2420</v>
      </c>
      <c r="C31" s="1140"/>
      <c r="D31" s="1131"/>
      <c r="E31" s="169" t="str">
        <f>IFERROR(INDEX($O$12:$O$21,L30),"")</f>
        <v/>
      </c>
      <c r="F31" s="1133"/>
      <c r="G31" s="1133"/>
      <c r="H31" s="1133"/>
      <c r="I31" s="1133"/>
      <c r="M31" s="1134"/>
    </row>
    <row r="32" spans="2:45" ht="14" customHeight="1">
      <c r="B32" s="1104"/>
      <c r="C32" s="1104"/>
      <c r="D32" s="1134"/>
      <c r="E32" s="1134"/>
      <c r="F32" s="1134"/>
      <c r="G32" s="198"/>
      <c r="H32" s="198"/>
      <c r="I32" s="198"/>
      <c r="M32" s="1134"/>
    </row>
    <row r="33" spans="2:15" ht="14" customHeight="1">
      <c r="B33" s="1142" t="s">
        <v>2496</v>
      </c>
      <c r="C33" s="1104"/>
      <c r="D33" s="1134"/>
      <c r="E33" s="1134"/>
      <c r="F33" s="1134"/>
      <c r="G33" s="198"/>
      <c r="I33" s="1166" t="s">
        <v>2526</v>
      </c>
      <c r="J33" s="1334" t="str">
        <f>P4</f>
        <v>無し</v>
      </c>
    </row>
    <row r="34" spans="2:15" ht="14" customHeight="1">
      <c r="B34" s="1117" t="s">
        <v>2442</v>
      </c>
      <c r="C34" s="1143"/>
      <c r="D34" s="1648" t="s">
        <v>2443</v>
      </c>
      <c r="E34" s="1649"/>
      <c r="F34" s="1139" t="s">
        <v>2444</v>
      </c>
      <c r="G34" s="1117" t="s">
        <v>2445</v>
      </c>
      <c r="H34" s="1144" t="s">
        <v>2446</v>
      </c>
      <c r="I34" s="1139" t="s">
        <v>2444</v>
      </c>
      <c r="J34" s="1139" t="s">
        <v>2445</v>
      </c>
    </row>
    <row r="35" spans="2:15" ht="14" customHeight="1">
      <c r="B35" s="1145"/>
      <c r="C35" s="1114"/>
      <c r="D35" s="1644" t="s">
        <v>2447</v>
      </c>
      <c r="E35" s="1646"/>
      <c r="F35" s="1642" t="s">
        <v>2447</v>
      </c>
      <c r="G35" s="1644" t="s">
        <v>2448</v>
      </c>
      <c r="H35" s="1146" t="str">
        <f>D31&amp;N11</f>
        <v>当たり</v>
      </c>
      <c r="I35" s="1147" t="str">
        <f>D31&amp;N11</f>
        <v>当たり</v>
      </c>
      <c r="J35" s="1642" t="s">
        <v>2448</v>
      </c>
      <c r="K35" s="198"/>
    </row>
    <row r="36" spans="2:15" ht="14" customHeight="1">
      <c r="B36" s="1148"/>
      <c r="C36" s="1149"/>
      <c r="D36" s="1645"/>
      <c r="E36" s="1647"/>
      <c r="F36" s="1643"/>
      <c r="G36" s="1645"/>
      <c r="H36" s="1150" t="str">
        <f>P27&amp;D30&amp;E30&amp;Q27</f>
        <v>ｔ-ＣＯ₂／</v>
      </c>
      <c r="I36" s="1151" t="str">
        <f>P27&amp;D30&amp;E30&amp;Q27</f>
        <v>ｔ-ＣＯ₂／</v>
      </c>
      <c r="J36" s="1643"/>
      <c r="K36" s="198"/>
    </row>
    <row r="37" spans="2:15" ht="14" customHeight="1">
      <c r="B37" s="1640" t="s">
        <v>2449</v>
      </c>
      <c r="C37" s="1641"/>
      <c r="D37" s="1650"/>
      <c r="E37" s="1651"/>
      <c r="F37" s="1152"/>
      <c r="G37" s="1153"/>
      <c r="H37" s="1154"/>
      <c r="I37" s="1152"/>
      <c r="J37" s="1152"/>
      <c r="K37" s="198"/>
    </row>
    <row r="38" spans="2:15" ht="14" customHeight="1">
      <c r="B38" s="1117" t="str">
        <f>IF(H2="","",H2)</f>
        <v/>
      </c>
      <c r="C38" s="1116" t="s">
        <v>1658</v>
      </c>
      <c r="D38" s="1638" t="str">
        <f>IFERROR(IF(AND($H$2&lt;8,$G$4="有り",$P$2=1,B38&lt;=9,B38&gt;=7)=TRUE,INDEX($AJ$9:$AL$9,1,MATCH(B38,$AJ$5:$AL$5,0)),HLOOKUP(B38,F$27:I$31,3,FALSE)),"")</f>
        <v/>
      </c>
      <c r="E38" s="1639"/>
      <c r="F38" s="1155" t="str">
        <f>IF(D38="","",D38-D$37)</f>
        <v/>
      </c>
      <c r="G38" s="1156" t="str">
        <f>IF(F38="","",F38/D$37*100)</f>
        <v/>
      </c>
      <c r="H38" s="1157" t="str">
        <f>IFERROR(IF(AND($H$2&lt;8,$G$4="有り",$P$2=1,B38&lt;=9,B38&gt;=7)=TRUE,INDEX($AJ$16:$AL$16,1,MATCH(B38,$AJ$5:$AL$5,0)),HLOOKUP(B38,F$27:K$31,4,FALSE)),"")</f>
        <v/>
      </c>
      <c r="I38" s="1158" t="str">
        <f>IF(H38="","",H38-H$37)</f>
        <v/>
      </c>
      <c r="J38" s="1159" t="str">
        <f>IF(I38="","",I38/H$37*100)</f>
        <v/>
      </c>
      <c r="K38" s="198"/>
    </row>
    <row r="39" spans="2:15" ht="14" customHeight="1">
      <c r="B39" s="1160" t="str">
        <f>IF(B38="","",B38+1)</f>
        <v/>
      </c>
      <c r="C39" s="1116" t="s">
        <v>1658</v>
      </c>
      <c r="D39" s="1638" t="str">
        <f t="shared" ref="D39:D40" si="16">IFERROR(IF(AND($H$2&lt;8,$G$4="有り",$P$2=1,B39&lt;=9,B39&gt;=7)=TRUE,INDEX($AJ$9:$AL$9,1,MATCH(B39,$AJ$5:$AL$5,0)),HLOOKUP(B39,F$27:I$31,3,FALSE)),"")</f>
        <v/>
      </c>
      <c r="E39" s="1639"/>
      <c r="F39" s="1155" t="str">
        <f>IF(D39="","",D39-D$37)</f>
        <v/>
      </c>
      <c r="G39" s="1156" t="str">
        <f>IF(F39="","",F39/D$37*100)</f>
        <v/>
      </c>
      <c r="H39" s="1157" t="str">
        <f t="shared" ref="H39:H40" si="17">IFERROR(IF(AND($H$2&lt;8,$G$4="有り",$P$2=1,B39&lt;=9,B39&gt;=7)=TRUE,INDEX($AJ$16:$AL$16,1,MATCH(B39,$AJ$5:$AL$5,0)),HLOOKUP(B39,F$27:K$31,4,FALSE)),"")</f>
        <v/>
      </c>
      <c r="I39" s="1158" t="str">
        <f>IF(H39="","",H39-H$37)</f>
        <v/>
      </c>
      <c r="J39" s="1159" t="str">
        <f>IF(I39="","",I39/H$37*100)</f>
        <v/>
      </c>
      <c r="K39" s="1161"/>
    </row>
    <row r="40" spans="2:15" ht="14" customHeight="1" thickBot="1">
      <c r="B40" s="1160" t="str">
        <f>IF(B38="","",B38+2)</f>
        <v/>
      </c>
      <c r="C40" s="1116" t="s">
        <v>1658</v>
      </c>
      <c r="D40" s="1638" t="str">
        <f t="shared" si="16"/>
        <v/>
      </c>
      <c r="E40" s="1639"/>
      <c r="F40" s="1155" t="str">
        <f>IF(D40="","",D40-D$37)</f>
        <v/>
      </c>
      <c r="G40" s="1156" t="str">
        <f>IF(F40="","",F40/D$37*100)</f>
        <v/>
      </c>
      <c r="H40" s="1157" t="str">
        <f t="shared" si="17"/>
        <v/>
      </c>
      <c r="I40" s="1158" t="str">
        <f>IF(H40="","",H40-H$37)</f>
        <v/>
      </c>
      <c r="J40" s="1159" t="str">
        <f>IF(I40="","",I40/H$37*100)</f>
        <v/>
      </c>
      <c r="K40" s="1161"/>
    </row>
    <row r="41" spans="2:15" ht="14" customHeight="1" thickBot="1">
      <c r="B41" s="1640" t="s">
        <v>2450</v>
      </c>
      <c r="C41" s="1641"/>
      <c r="D41" s="1516"/>
      <c r="E41" s="1517"/>
      <c r="F41" s="1162"/>
      <c r="G41" s="1163" t="str">
        <f>IF(G38="","",AVERAGE(G38:G40))</f>
        <v/>
      </c>
      <c r="H41" s="1164"/>
      <c r="I41" s="1162"/>
      <c r="J41" s="1165" t="str">
        <f>IF(J38="","",AVERAGE(J38:J40))</f>
        <v/>
      </c>
      <c r="K41" s="1161"/>
    </row>
    <row r="42" spans="2:15" ht="14" customHeight="1">
      <c r="K42" s="1161"/>
      <c r="M42" s="1134"/>
    </row>
    <row r="43" spans="2:15" ht="14" customHeight="1">
      <c r="B43" t="s">
        <v>2451</v>
      </c>
      <c r="K43" s="1161"/>
      <c r="M43" s="1134"/>
      <c r="O43" s="1113"/>
    </row>
    <row r="44" spans="2:15" ht="14" customHeight="1">
      <c r="B44" s="1142" t="s">
        <v>2452</v>
      </c>
      <c r="C44" s="1104"/>
      <c r="D44" s="1134"/>
      <c r="E44" s="1134"/>
      <c r="F44" s="1134"/>
      <c r="G44" s="198"/>
      <c r="H44" s="198"/>
      <c r="I44" s="198"/>
    </row>
    <row r="45" spans="2:15" ht="14" customHeight="1">
      <c r="B45" s="1117" t="s">
        <v>2442</v>
      </c>
      <c r="C45" s="1143"/>
      <c r="D45" s="1648" t="s">
        <v>2443</v>
      </c>
      <c r="E45" s="1649"/>
      <c r="F45" s="1139" t="s">
        <v>2444</v>
      </c>
      <c r="G45" s="1117" t="s">
        <v>2445</v>
      </c>
      <c r="H45" s="1144" t="s">
        <v>2446</v>
      </c>
      <c r="I45" s="1139" t="s">
        <v>2444</v>
      </c>
      <c r="J45" s="1139" t="s">
        <v>2445</v>
      </c>
    </row>
    <row r="46" spans="2:15" ht="14" customHeight="1">
      <c r="B46" s="1145"/>
      <c r="C46" s="1114"/>
      <c r="D46" s="1644" t="s">
        <v>2447</v>
      </c>
      <c r="E46" s="1646"/>
      <c r="F46" s="1642" t="s">
        <v>2447</v>
      </c>
      <c r="G46" s="1644" t="s">
        <v>2448</v>
      </c>
      <c r="H46" s="1146" t="str">
        <f>D31&amp;N11</f>
        <v>当たり</v>
      </c>
      <c r="I46" s="1147" t="str">
        <f>D31&amp;N11</f>
        <v>当たり</v>
      </c>
      <c r="J46" s="1642" t="s">
        <v>2448</v>
      </c>
    </row>
    <row r="47" spans="2:15" ht="14" customHeight="1">
      <c r="B47" s="1148"/>
      <c r="C47" s="1149"/>
      <c r="D47" s="1645"/>
      <c r="E47" s="1647"/>
      <c r="F47" s="1643"/>
      <c r="G47" s="1645"/>
      <c r="H47" s="1150" t="str">
        <f>P27&amp;D30&amp;E30&amp;Q27</f>
        <v>ｔ-ＣＯ₂／</v>
      </c>
      <c r="I47" s="1151" t="str">
        <f>P27&amp;D30&amp;E30&amp;Q27</f>
        <v>ｔ-ＣＯ₂／</v>
      </c>
      <c r="J47" s="1643"/>
    </row>
    <row r="48" spans="2:15" ht="14" customHeight="1">
      <c r="B48" s="1160">
        <f>F27</f>
        <v>4</v>
      </c>
      <c r="C48" s="1116" t="s">
        <v>1658</v>
      </c>
      <c r="D48" s="1638">
        <f>IFERROR(F29,"")</f>
        <v>0</v>
      </c>
      <c r="E48" s="1639"/>
      <c r="F48" s="1152"/>
      <c r="G48" s="1153"/>
      <c r="H48" s="1154" t="str">
        <f>IFERROR(F30,"")</f>
        <v/>
      </c>
      <c r="I48" s="1152"/>
      <c r="J48" s="1152"/>
    </row>
    <row r="49" spans="2:21" ht="14" customHeight="1">
      <c r="B49" s="1167">
        <f>G27</f>
        <v>5</v>
      </c>
      <c r="C49" s="1116" t="s">
        <v>1658</v>
      </c>
      <c r="D49" s="1638">
        <f>IFERROR(G29,"")</f>
        <v>0</v>
      </c>
      <c r="E49" s="1639"/>
      <c r="F49" s="1155">
        <f>IF(D49="","",D49-D48)</f>
        <v>0</v>
      </c>
      <c r="G49" s="1156" t="e">
        <f>IF(F49="","",F49/D48*100)</f>
        <v>#DIV/0!</v>
      </c>
      <c r="H49" s="1154" t="str">
        <f>IFERROR(G30,"")</f>
        <v/>
      </c>
      <c r="I49" s="1158" t="str">
        <f>IF(H49="","",H49-H48)</f>
        <v/>
      </c>
      <c r="J49" s="1159" t="str">
        <f>IF(I49="","",I49/H48*100)</f>
        <v/>
      </c>
    </row>
    <row r="50" spans="2:21" ht="14" customHeight="1">
      <c r="B50" s="1167">
        <f>H27</f>
        <v>6</v>
      </c>
      <c r="C50" s="1116" t="s">
        <v>1658</v>
      </c>
      <c r="D50" s="1638">
        <f>IFERROR(H29,"")</f>
        <v>0</v>
      </c>
      <c r="E50" s="1639"/>
      <c r="F50" s="1155">
        <f t="shared" ref="F50:F51" si="18">IF(D50="","",D50-D49)</f>
        <v>0</v>
      </c>
      <c r="G50" s="1156" t="e">
        <f t="shared" ref="G50:G51" si="19">IF(F50="","",F50/D49*100)</f>
        <v>#DIV/0!</v>
      </c>
      <c r="H50" s="1154" t="str">
        <f>IFERROR(H30,"")</f>
        <v/>
      </c>
      <c r="I50" s="1158" t="str">
        <f t="shared" ref="I50:I51" si="20">IF(H50="","",H50-H49)</f>
        <v/>
      </c>
      <c r="J50" s="1159" t="str">
        <f t="shared" ref="J50:J51" si="21">IF(I50="","",I50/H49*100)</f>
        <v/>
      </c>
      <c r="T50" s="1166"/>
      <c r="U50" s="1166"/>
    </row>
    <row r="51" spans="2:21" ht="14" customHeight="1" thickBot="1">
      <c r="B51" s="1167">
        <f>I27</f>
        <v>7</v>
      </c>
      <c r="C51" s="1116" t="s">
        <v>1658</v>
      </c>
      <c r="D51" s="1638">
        <f>IFERROR(I29,"")</f>
        <v>0</v>
      </c>
      <c r="E51" s="1639"/>
      <c r="F51" s="1155">
        <f t="shared" si="18"/>
        <v>0</v>
      </c>
      <c r="G51" s="1156" t="e">
        <f t="shared" si="19"/>
        <v>#DIV/0!</v>
      </c>
      <c r="H51" s="1154" t="str">
        <f>IFERROR(I30,"")</f>
        <v/>
      </c>
      <c r="I51" s="1158" t="str">
        <f t="shared" si="20"/>
        <v/>
      </c>
      <c r="J51" s="1159" t="str">
        <f t="shared" si="21"/>
        <v/>
      </c>
      <c r="T51" s="1166"/>
    </row>
    <row r="52" spans="2:21" ht="14" customHeight="1" thickBot="1">
      <c r="B52" s="1640" t="s">
        <v>2450</v>
      </c>
      <c r="C52" s="1641"/>
      <c r="D52" s="1516"/>
      <c r="E52" s="1517"/>
      <c r="F52" s="1162"/>
      <c r="G52" s="1163" t="e">
        <f>IF(G49="","",AVERAGE(G49:G51))</f>
        <v>#DIV/0!</v>
      </c>
      <c r="H52" s="1164"/>
      <c r="I52" s="1162"/>
      <c r="J52" s="1165" t="str">
        <f>IF(J49="","",AVERAGE(J49:J51))</f>
        <v/>
      </c>
    </row>
  </sheetData>
  <sheetProtection algorithmName="SHA-512" hashValue="xX6eURzM+yUxAgO/O5J78Ri18uAyOFPvwh+XaIewx8YviN2pQ4CZycochCLe1Rqu8Y5sQzmsuig4T3c2bPVHRA==" saltValue="ot7aVEA2QN2F8y5COwuW8A==" spinCount="100000" sheet="1" formatCells="0"/>
  <mergeCells count="35">
    <mergeCell ref="D29:E29"/>
    <mergeCell ref="D15:E15"/>
    <mergeCell ref="B6:C7"/>
    <mergeCell ref="D6:E7"/>
    <mergeCell ref="D8:E8"/>
    <mergeCell ref="B13:C14"/>
    <mergeCell ref="D13:E14"/>
    <mergeCell ref="B20:C21"/>
    <mergeCell ref="D20:E21"/>
    <mergeCell ref="D22:E22"/>
    <mergeCell ref="B27:C28"/>
    <mergeCell ref="D27:E28"/>
    <mergeCell ref="D39:E39"/>
    <mergeCell ref="D40:E40"/>
    <mergeCell ref="J35:J36"/>
    <mergeCell ref="B37:C37"/>
    <mergeCell ref="D37:E37"/>
    <mergeCell ref="D34:E34"/>
    <mergeCell ref="D35:E36"/>
    <mergeCell ref="F35:F36"/>
    <mergeCell ref="G35:G36"/>
    <mergeCell ref="D38:E38"/>
    <mergeCell ref="B41:C41"/>
    <mergeCell ref="D41:E41"/>
    <mergeCell ref="F46:F47"/>
    <mergeCell ref="G46:G47"/>
    <mergeCell ref="J46:J47"/>
    <mergeCell ref="D46:E47"/>
    <mergeCell ref="D45:E45"/>
    <mergeCell ref="D48:E48"/>
    <mergeCell ref="D49:E49"/>
    <mergeCell ref="D50:E50"/>
    <mergeCell ref="D51:E51"/>
    <mergeCell ref="B52:C52"/>
    <mergeCell ref="D52:E52"/>
  </mergeCells>
  <phoneticPr fontId="5"/>
  <conditionalFormatting sqref="D37:E37">
    <cfRule type="containsBlanks" dxfId="56" priority="13">
      <formula>LEN(TRIM(D37))=0</formula>
    </cfRule>
  </conditionalFormatting>
  <conditionalFormatting sqref="F4">
    <cfRule type="expression" dxfId="55" priority="3">
      <formula>$P$2=2</formula>
    </cfRule>
  </conditionalFormatting>
  <conditionalFormatting sqref="F10:I10">
    <cfRule type="containsBlanks" dxfId="54" priority="11">
      <formula>LEN(TRIM(F10))=0</formula>
    </cfRule>
  </conditionalFormatting>
  <conditionalFormatting sqref="F17:I17">
    <cfRule type="containsBlanks" dxfId="53" priority="16">
      <formula>LEN(TRIM(F17))=0</formula>
    </cfRule>
  </conditionalFormatting>
  <conditionalFormatting sqref="F24:I24">
    <cfRule type="containsBlanks" dxfId="52" priority="10">
      <formula>LEN(TRIM(F24))=0</formula>
    </cfRule>
  </conditionalFormatting>
  <conditionalFormatting sqref="F31:I31">
    <cfRule type="containsBlanks" dxfId="51" priority="9">
      <formula>LEN(TRIM(F31))=0</formula>
    </cfRule>
  </conditionalFormatting>
  <conditionalFormatting sqref="G2">
    <cfRule type="expression" dxfId="50" priority="7">
      <formula>$P$2=2</formula>
    </cfRule>
  </conditionalFormatting>
  <conditionalFormatting sqref="G4">
    <cfRule type="expression" dxfId="49" priority="2">
      <formula>$P$2=2</formula>
    </cfRule>
    <cfRule type="expression" dxfId="48" priority="4">
      <formula>AND($P$2=2,G4="")</formula>
    </cfRule>
  </conditionalFormatting>
  <conditionalFormatting sqref="H2">
    <cfRule type="expression" dxfId="47" priority="5">
      <formula>$P$2=2</formula>
    </cfRule>
  </conditionalFormatting>
  <conditionalFormatting sqref="H37">
    <cfRule type="containsBlanks" dxfId="46" priority="12">
      <formula>LEN(TRIM(H37))=0</formula>
    </cfRule>
  </conditionalFormatting>
  <conditionalFormatting sqref="I2">
    <cfRule type="expression" dxfId="45" priority="6">
      <formula>$P$2=2</formula>
    </cfRule>
  </conditionalFormatting>
  <conditionalFormatting sqref="I6">
    <cfRule type="containsBlanks" dxfId="44" priority="19">
      <formula>LEN(TRIM(I6))=0</formula>
    </cfRule>
  </conditionalFormatting>
  <dataValidations count="4">
    <dataValidation type="list" showInputMessage="1" showErrorMessage="1" sqref="D10 D31 D24 D17" xr:uid="{084E0D92-F5FD-46FC-B5C6-76872A1B4C44}">
      <formula1>$N$12:$N$21</formula1>
    </dataValidation>
    <dataValidation type="whole" allowBlank="1" showErrorMessage="1" error="和歴での半角数字以外で記入したか、_x000a_認証年度にマッチしていません。" sqref="I6" xr:uid="{4F5C134D-045F-4318-8B38-49FDDE3356F2}">
      <formula1>H2-1</formula1>
      <formula2>H2+3</formula2>
    </dataValidation>
    <dataValidation type="list" allowBlank="1" showErrorMessage="1" error="半角数字のみ記入する。" prompt="_x000a_" sqref="H2" xr:uid="{96F6211D-9EA0-49BC-BE2E-0591DE1D4508}">
      <formula1>$AH$5:$AS$5</formula1>
    </dataValidation>
    <dataValidation type="list" allowBlank="1" showInputMessage="1" showErrorMessage="1" sqref="G4" xr:uid="{927F301A-B285-4FF4-AEB3-782B7DFED5CA}">
      <formula1>"有り,無し"</formula1>
    </dataValidation>
  </dataValidations>
  <pageMargins left="0.36" right="0.23622047244094491" top="0.48" bottom="0.31496062992125984" header="0.31496062992125984" footer="0.31496062992125984"/>
  <pageSetup paperSize="9" fitToHeight="0" orientation="portrait" r:id="rId1"/>
  <headerFooter>
    <oddHeader>&amp;R&amp;8ver.4.01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Option Button 1">
              <controlPr defaultSize="0" autoFill="0" autoLine="0" autoPict="0">
                <anchor moveWithCells="1">
                  <from>
                    <xdr:col>0</xdr:col>
                    <xdr:colOff>222250</xdr:colOff>
                    <xdr:row>1</xdr:row>
                    <xdr:rowOff>0</xdr:rowOff>
                  </from>
                  <to>
                    <xdr:col>1</xdr:col>
                    <xdr:colOff>222250</xdr:colOff>
                    <xdr:row>2</xdr:row>
                    <xdr:rowOff>6350</xdr:rowOff>
                  </to>
                </anchor>
              </controlPr>
            </control>
          </mc:Choice>
        </mc:AlternateContent>
        <mc:AlternateContent xmlns:mc="http://schemas.openxmlformats.org/markup-compatibility/2006">
          <mc:Choice Requires="x14">
            <control shapeId="51202" r:id="rId5" name="Option Button 2">
              <controlPr defaultSize="0" autoFill="0" autoLine="0" autoPict="0">
                <anchor moveWithCells="1">
                  <from>
                    <xdr:col>0</xdr:col>
                    <xdr:colOff>222250</xdr:colOff>
                    <xdr:row>2</xdr:row>
                    <xdr:rowOff>0</xdr:rowOff>
                  </from>
                  <to>
                    <xdr:col>1</xdr:col>
                    <xdr:colOff>222250</xdr:colOff>
                    <xdr:row>3</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250</vt:i4>
      </vt:variant>
    </vt:vector>
  </HeadingPairs>
  <TitlesOfParts>
    <vt:vector size="283" baseType="lpstr">
      <vt:lpstr>0.事業所概要</vt:lpstr>
      <vt:lpstr>シート一覧</vt:lpstr>
      <vt:lpstr>１．ガス単位換算_～R6建物系</vt:lpstr>
      <vt:lpstr>２．～R6建物系</vt:lpstr>
      <vt:lpstr>３．自動車_～R6</vt:lpstr>
      <vt:lpstr>４．ガス単位換算_～R6工場現場</vt:lpstr>
      <vt:lpstr>５．～R6工場現場</vt:lpstr>
      <vt:lpstr>６．エコアップCO2量一覧</vt:lpstr>
      <vt:lpstr>７'．エコアップCO₂実績表</vt:lpstr>
      <vt:lpstr>８．エコアップCＯ₂削減目標表</vt:lpstr>
      <vt:lpstr>９建物系エネルギー・CO₂量</vt:lpstr>
      <vt:lpstr>10工場現場_エネルギー・CO₂量</vt:lpstr>
      <vt:lpstr>11自動車_エネルギー・CO₂量</vt:lpstr>
      <vt:lpstr>12燃料</vt:lpstr>
      <vt:lpstr>13電気・熱_都市ガス</vt:lpstr>
      <vt:lpstr>14再エネ電気・熱</vt:lpstr>
      <vt:lpstr>15非化石燃料_建物</vt:lpstr>
      <vt:lpstr>16非化石燃料_工場現場</vt:lpstr>
      <vt:lpstr>17非化石燃料_自動車</vt:lpstr>
      <vt:lpstr>18証書_森林吸収量</vt:lpstr>
      <vt:lpstr>19その他ガス</vt:lpstr>
      <vt:lpstr>参考1</vt:lpstr>
      <vt:lpstr>参考2</vt:lpstr>
      <vt:lpstr>参考3</vt:lpstr>
      <vt:lpstr>非_燃料種類_選択リスト</vt:lpstr>
      <vt:lpstr>非_選択リスト</vt:lpstr>
      <vt:lpstr>非_まとめ表行番号</vt:lpstr>
      <vt:lpstr>非_係数</vt:lpstr>
      <vt:lpstr>非_単位</vt:lpstr>
      <vt:lpstr>非_単位補正換算</vt:lpstr>
      <vt:lpstr>非_電気事業者</vt:lpstr>
      <vt:lpstr>非_都市ガス事業者</vt:lpstr>
      <vt:lpstr>非_熱供給事業者</vt:lpstr>
      <vt:lpstr>A重油_単位</vt:lpstr>
      <vt:lpstr>Ｂ・Ｃ重油_単位</vt:lpstr>
      <vt:lpstr>FIT非化石証書_単位</vt:lpstr>
      <vt:lpstr>H14_LPG使用量</vt:lpstr>
      <vt:lpstr>H14_その他ガス</vt:lpstr>
      <vt:lpstr>H14_換算前</vt:lpstr>
      <vt:lpstr>H14_控除後使用量</vt:lpstr>
      <vt:lpstr>H14_算定外使用量</vt:lpstr>
      <vt:lpstr>H14_事業所内使用量</vt:lpstr>
      <vt:lpstr>H15_LPG使用量</vt:lpstr>
      <vt:lpstr>H15_その他ガス</vt:lpstr>
      <vt:lpstr>H15_換算前</vt:lpstr>
      <vt:lpstr>H15_控除後使用量</vt:lpstr>
      <vt:lpstr>H15_算定外使用量</vt:lpstr>
      <vt:lpstr>H15_事業所内使用量</vt:lpstr>
      <vt:lpstr>H16_LPG使用量</vt:lpstr>
      <vt:lpstr>H16_その他ガス</vt:lpstr>
      <vt:lpstr>H16_換算前</vt:lpstr>
      <vt:lpstr>H16_控除後使用量</vt:lpstr>
      <vt:lpstr>H16_算定外使用量</vt:lpstr>
      <vt:lpstr>H16_事業所内使用量</vt:lpstr>
      <vt:lpstr>H17_LPG使用量</vt:lpstr>
      <vt:lpstr>H17_その他ガス</vt:lpstr>
      <vt:lpstr>H17_換算前</vt:lpstr>
      <vt:lpstr>H17_控除後使用量</vt:lpstr>
      <vt:lpstr>H17_算定外使用量</vt:lpstr>
      <vt:lpstr>H17_事業所内使用量</vt:lpstr>
      <vt:lpstr>H18_LPG使用量</vt:lpstr>
      <vt:lpstr>H18_その他ガス</vt:lpstr>
      <vt:lpstr>H18_換算前</vt:lpstr>
      <vt:lpstr>H18_控除後使用量</vt:lpstr>
      <vt:lpstr>H18_算定外使用量</vt:lpstr>
      <vt:lpstr>H18_事業所内使用量</vt:lpstr>
      <vt:lpstr>H19_LPG使用量</vt:lpstr>
      <vt:lpstr>H19_その他ガス</vt:lpstr>
      <vt:lpstr>H19_換算前</vt:lpstr>
      <vt:lpstr>H19_控除後使用量</vt:lpstr>
      <vt:lpstr>H19_算定外使用量</vt:lpstr>
      <vt:lpstr>H19_事業所内使用量</vt:lpstr>
      <vt:lpstr>H20_LPG使用量</vt:lpstr>
      <vt:lpstr>H20_その他ガス</vt:lpstr>
      <vt:lpstr>H20_換算前</vt:lpstr>
      <vt:lpstr>H20_控除後使用量</vt:lpstr>
      <vt:lpstr>H20_算定外使用量</vt:lpstr>
      <vt:lpstr>H20_事業所内使用量</vt:lpstr>
      <vt:lpstr>H21_LPG使用量</vt:lpstr>
      <vt:lpstr>H21_その他ガス</vt:lpstr>
      <vt:lpstr>H21_換算前</vt:lpstr>
      <vt:lpstr>H21_控除後使用量</vt:lpstr>
      <vt:lpstr>H21_算定外使用量</vt:lpstr>
      <vt:lpstr>H21_事業所内使用量</vt:lpstr>
      <vt:lpstr>H22_LPG使用量</vt:lpstr>
      <vt:lpstr>H22_その他ガス</vt:lpstr>
      <vt:lpstr>H22_換算前</vt:lpstr>
      <vt:lpstr>H22_控除後使用量</vt:lpstr>
      <vt:lpstr>H22_算定外使用量</vt:lpstr>
      <vt:lpstr>H22_事業所内使用量</vt:lpstr>
      <vt:lpstr>H23_LPG使用量</vt:lpstr>
      <vt:lpstr>H23_その他ガス</vt:lpstr>
      <vt:lpstr>H23_換算前</vt:lpstr>
      <vt:lpstr>H23_控除後使用量</vt:lpstr>
      <vt:lpstr>H23_算定外使用量</vt:lpstr>
      <vt:lpstr>H23_事業所内使用量</vt:lpstr>
      <vt:lpstr>H24_LPG使用量</vt:lpstr>
      <vt:lpstr>H24_その他ガス</vt:lpstr>
      <vt:lpstr>H24_換算前</vt:lpstr>
      <vt:lpstr>H24_控除後使用量</vt:lpstr>
      <vt:lpstr>H24_算定外使用量</vt:lpstr>
      <vt:lpstr>H24_事業所内使用量</vt:lpstr>
      <vt:lpstr>H25_LPG使用量</vt:lpstr>
      <vt:lpstr>H25_その他ガス</vt:lpstr>
      <vt:lpstr>H25_換算前</vt:lpstr>
      <vt:lpstr>H25_控除後使用量</vt:lpstr>
      <vt:lpstr>H25_算定外使用量</vt:lpstr>
      <vt:lpstr>H25_事業所内使用量</vt:lpstr>
      <vt:lpstr>H26_LPG使用量</vt:lpstr>
      <vt:lpstr>H26_その他ガス</vt:lpstr>
      <vt:lpstr>H26_換算前</vt:lpstr>
      <vt:lpstr>H26_控除後使用量</vt:lpstr>
      <vt:lpstr>H26_算定外使用量</vt:lpstr>
      <vt:lpstr>H26_事業所内使用量</vt:lpstr>
      <vt:lpstr>H27_LPG使用量</vt:lpstr>
      <vt:lpstr>H27_その他ガス</vt:lpstr>
      <vt:lpstr>H27_換算前</vt:lpstr>
      <vt:lpstr>H27_控除後使用量</vt:lpstr>
      <vt:lpstr>H27_算定外使用量</vt:lpstr>
      <vt:lpstr>H27_事業所内使用量</vt:lpstr>
      <vt:lpstr>H28_LPG使用量</vt:lpstr>
      <vt:lpstr>H28_その他ガス</vt:lpstr>
      <vt:lpstr>H28_換算前</vt:lpstr>
      <vt:lpstr>H28_控除後使用量</vt:lpstr>
      <vt:lpstr>H28_算定外使用量</vt:lpstr>
      <vt:lpstr>H28_事業所内使用量</vt:lpstr>
      <vt:lpstr>H29_LPG使用量</vt:lpstr>
      <vt:lpstr>H29_その他ガス</vt:lpstr>
      <vt:lpstr>H29_換算前</vt:lpstr>
      <vt:lpstr>H29_控除後使用量</vt:lpstr>
      <vt:lpstr>H29_算定外使用量</vt:lpstr>
      <vt:lpstr>H29_事業所内使用量</vt:lpstr>
      <vt:lpstr>H30_LPG使用量</vt:lpstr>
      <vt:lpstr>H30_その他ガス</vt:lpstr>
      <vt:lpstr>H30_換算前</vt:lpstr>
      <vt:lpstr>H30_控除後使用量</vt:lpstr>
      <vt:lpstr>H30_算定外使用量</vt:lpstr>
      <vt:lpstr>H30_事業所内使用量</vt:lpstr>
      <vt:lpstr>H31_LPG使用量</vt:lpstr>
      <vt:lpstr>H31_その他ガス</vt:lpstr>
      <vt:lpstr>H31_換算前</vt:lpstr>
      <vt:lpstr>H31_控除後使用量</vt:lpstr>
      <vt:lpstr>H31_算定外使用量</vt:lpstr>
      <vt:lpstr>H31_事業所内使用量</vt:lpstr>
      <vt:lpstr>LPG単位補正</vt:lpstr>
      <vt:lpstr>'0.事業所概要'!Print_Area</vt:lpstr>
      <vt:lpstr>'１．ガス単位換算_～R6建物系'!Print_Area</vt:lpstr>
      <vt:lpstr>'10工場現場_エネルギー・CO₂量'!Print_Area</vt:lpstr>
      <vt:lpstr>'11自動車_エネルギー・CO₂量'!Print_Area</vt:lpstr>
      <vt:lpstr>'12燃料'!Print_Area</vt:lpstr>
      <vt:lpstr>'13電気・熱_都市ガス'!Print_Area</vt:lpstr>
      <vt:lpstr>'14再エネ電気・熱'!Print_Area</vt:lpstr>
      <vt:lpstr>'15非化石燃料_建物'!Print_Area</vt:lpstr>
      <vt:lpstr>'16非化石燃料_工場現場'!Print_Area</vt:lpstr>
      <vt:lpstr>'17非化石燃料_自動車'!Print_Area</vt:lpstr>
      <vt:lpstr>'18証書_森林吸収量'!Print_Area</vt:lpstr>
      <vt:lpstr>'19その他ガス'!Print_Area</vt:lpstr>
      <vt:lpstr>'２．～R6建物系'!Print_Area</vt:lpstr>
      <vt:lpstr>'３．自動車_～R6'!Print_Area</vt:lpstr>
      <vt:lpstr>'４．ガス単位換算_～R6工場現場'!Print_Area</vt:lpstr>
      <vt:lpstr>'５．～R6工場現場'!Print_Area</vt:lpstr>
      <vt:lpstr>'６．エコアップCO2量一覧'!Print_Area</vt:lpstr>
      <vt:lpstr>'７''．エコアップCO₂実績表'!Print_Area</vt:lpstr>
      <vt:lpstr>'８．エコアップCＯ₂削減目標表'!Print_Area</vt:lpstr>
      <vt:lpstr>'９建物系エネルギー・CO₂量'!Print_Area</vt:lpstr>
      <vt:lpstr>シート一覧!Print_Area</vt:lpstr>
      <vt:lpstr>参考1!Print_Area</vt:lpstr>
      <vt:lpstr>参考2!Print_Area</vt:lpstr>
      <vt:lpstr>参考3!Print_Area</vt:lpstr>
      <vt:lpstr>'13電気・熱_都市ガス'!Print_Titles</vt:lpstr>
      <vt:lpstr>グリーン電力証書_単位</vt:lpstr>
      <vt:lpstr>グリーン熱証書_単位</vt:lpstr>
      <vt:lpstr>コークス炉ガス_単位</vt:lpstr>
      <vt:lpstr>コールタール_単位</vt:lpstr>
      <vt:lpstr>ジェット燃料油_単位</vt:lpstr>
      <vt:lpstr>その他の燃料①_単位</vt:lpstr>
      <vt:lpstr>その他の燃料②_単位</vt:lpstr>
      <vt:lpstr>その他可燃性天然ガス_単位</vt:lpstr>
      <vt:lpstr>ナフサ_単位</vt:lpstr>
      <vt:lpstr>バイオマス_種類_選択</vt:lpstr>
      <vt:lpstr>バイオマス燃料_持続可能性_選択</vt:lpstr>
      <vt:lpstr>圧力補正</vt:lpstr>
      <vt:lpstr>一般送配電_種類</vt:lpstr>
      <vt:lpstr>一般送配電以外_種類</vt:lpstr>
      <vt:lpstr>一般炭_国産一般炭_単位</vt:lpstr>
      <vt:lpstr>一般炭_輸入一般炭_単位</vt:lpstr>
      <vt:lpstr>液化石油ガス_LPG_その他_単位</vt:lpstr>
      <vt:lpstr>液化石油ガス_LPG_ブタン_単位</vt:lpstr>
      <vt:lpstr>液化石油ガス_LPG_プロパン_単位</vt:lpstr>
      <vt:lpstr>液化石油ガス_LPG_プロパン・ブタン混合_単位</vt:lpstr>
      <vt:lpstr>液化天然ガス_ＬＮＧ_単位</vt:lpstr>
      <vt:lpstr>外部供給_種類</vt:lpstr>
      <vt:lpstr>外部供給以外_種類</vt:lpstr>
      <vt:lpstr>換算後単位</vt:lpstr>
      <vt:lpstr>環境価値_バイオマス持続可能性無_選択</vt:lpstr>
      <vt:lpstr>環境価値_仮想電力購入契約_選択</vt:lpstr>
      <vt:lpstr>環境価値_選択</vt:lpstr>
      <vt:lpstr>監視点用燃料種類_選択</vt:lpstr>
      <vt:lpstr>揮発油_ガソリン_単位</vt:lpstr>
      <vt:lpstr>気化率</vt:lpstr>
      <vt:lpstr>計量器_検定有無_選択</vt:lpstr>
      <vt:lpstr>軽油_単位</vt:lpstr>
      <vt:lpstr>原油_コンデンセート_ＮＧＬ_単位</vt:lpstr>
      <vt:lpstr>原油_コンデンセートを除く_単位</vt:lpstr>
      <vt:lpstr>原料炭_コークス炉用原料炭_単位</vt:lpstr>
      <vt:lpstr>原料炭_吹込用原料炭_単位</vt:lpstr>
      <vt:lpstr>原料炭_輸入原料炭_単位</vt:lpstr>
      <vt:lpstr>高炉ガス_発電用_単位</vt:lpstr>
      <vt:lpstr>高炉ガス_発電用以外_単位</vt:lpstr>
      <vt:lpstr>再エネ_係数根拠_仮想電力購入契約</vt:lpstr>
      <vt:lpstr>再エネ_係数根拠_環境価値無</vt:lpstr>
      <vt:lpstr>再エネ_係数根拠_環境価値有</vt:lpstr>
      <vt:lpstr>再エネ_係数根拠_持続可能性無</vt:lpstr>
      <vt:lpstr>再エネ_事業所外_電気_種類</vt:lpstr>
      <vt:lpstr>再エネ_事業所外_熱_種類</vt:lpstr>
      <vt:lpstr>再エネ_事業所内_電気_種類</vt:lpstr>
      <vt:lpstr>再エネ_事業所内_熱_種類</vt:lpstr>
      <vt:lpstr>再エネ_自家消費_対象外_種類</vt:lpstr>
      <vt:lpstr>再エネ_自家消費以外_対象外_種類</vt:lpstr>
      <vt:lpstr>再エネ_種類_選択</vt:lpstr>
      <vt:lpstr>再エネ_把握方法_選択_事業所外</vt:lpstr>
      <vt:lpstr>再エネ_把握方法_選択_事業所内</vt:lpstr>
      <vt:lpstr>再エネ電気熱_排出活動①</vt:lpstr>
      <vt:lpstr>再エネ電気熱_排出活動②</vt:lpstr>
      <vt:lpstr>再エネ電気熱_排出活動③</vt:lpstr>
      <vt:lpstr>使用量把握方法_選択</vt:lpstr>
      <vt:lpstr>事業所種別_選択</vt:lpstr>
      <vt:lpstr>自己電気熱_係数根拠_選択</vt:lpstr>
      <vt:lpstr>実績検証状況_選択</vt:lpstr>
      <vt:lpstr>床面積_把握方法_選択</vt:lpstr>
      <vt:lpstr>床面積_変更の有無_選択</vt:lpstr>
      <vt:lpstr>証書等_種類</vt:lpstr>
      <vt:lpstr>証書等_種類_森林吸収量のみ</vt:lpstr>
      <vt:lpstr>証書等_種類_電気なし</vt:lpstr>
      <vt:lpstr>証書等_種類_熱なし</vt:lpstr>
      <vt:lpstr>乗率_除外する排出量</vt:lpstr>
      <vt:lpstr>乗率_排出量</vt:lpstr>
      <vt:lpstr>石炭コークス_単位</vt:lpstr>
      <vt:lpstr>石油アスファルト_単位</vt:lpstr>
      <vt:lpstr>石油コークス_単位</vt:lpstr>
      <vt:lpstr>石油系炭化水素ガス_単位</vt:lpstr>
      <vt:lpstr>単位換算</vt:lpstr>
      <vt:lpstr>単位補正２</vt:lpstr>
      <vt:lpstr>単位補正５</vt:lpstr>
      <vt:lpstr>単位補正係数</vt:lpstr>
      <vt:lpstr>転炉ガス_単位</vt:lpstr>
      <vt:lpstr>電気_「オンサイト型PPA_自家発電_非燃料由来の非化石電気」以外からの買電_単位</vt:lpstr>
      <vt:lpstr>電気_オフサイト型PPA_単位</vt:lpstr>
      <vt:lpstr>電気_オンサイト型PPA_単位</vt:lpstr>
      <vt:lpstr>電気_メニュー_選択</vt:lpstr>
      <vt:lpstr>電気_仮想電力購入契約_単位</vt:lpstr>
      <vt:lpstr>電気_供給事業者_選択</vt:lpstr>
      <vt:lpstr>電気_自ら生成した電気_単位</vt:lpstr>
      <vt:lpstr>電気_自家発電_単位</vt:lpstr>
      <vt:lpstr>電気_自己託送_非燃料由来の非化石電気_単位</vt:lpstr>
      <vt:lpstr>電気_自己託送_非燃料由来の非化石電気以外_単位</vt:lpstr>
      <vt:lpstr>電気_電気事業者からの買電_単位</vt:lpstr>
      <vt:lpstr>電気_非燃料由来の非化石電気_単位</vt:lpstr>
      <vt:lpstr>電気熱_係数根拠_選択</vt:lpstr>
      <vt:lpstr>電気熱ガス_契約メニュー有無_選択</vt:lpstr>
      <vt:lpstr>電気熱ガス_排出活動①</vt:lpstr>
      <vt:lpstr>電気熱ガス_排出活動②</vt:lpstr>
      <vt:lpstr>都市ガス_メーター種_選択</vt:lpstr>
      <vt:lpstr>都市ガス_メニュー_選択</vt:lpstr>
      <vt:lpstr>都市ガス_供給事業者_選択</vt:lpstr>
      <vt:lpstr>都市ガス_係数根拠_選択</vt:lpstr>
      <vt:lpstr>都市ガス_種類</vt:lpstr>
      <vt:lpstr>都市ガス_単位</vt:lpstr>
      <vt:lpstr>灯油_単位</vt:lpstr>
      <vt:lpstr>熱_メニュー_選択</vt:lpstr>
      <vt:lpstr>熱_温水_単位</vt:lpstr>
      <vt:lpstr>熱_供給事業者_選択</vt:lpstr>
      <vt:lpstr>熱_産業用以外の蒸気_単位</vt:lpstr>
      <vt:lpstr>熱_産業用蒸気_単位</vt:lpstr>
      <vt:lpstr>熱_自ら生成した熱_単位</vt:lpstr>
      <vt:lpstr>熱_種類</vt:lpstr>
      <vt:lpstr>熱_冷水_単位</vt:lpstr>
      <vt:lpstr>燃料_排出活動①</vt:lpstr>
      <vt:lpstr>燃料_排出活動②</vt:lpstr>
      <vt:lpstr>燃料種選択</vt:lpstr>
      <vt:lpstr>非FIT非化石証書_再生可能エネルギー指定_単位</vt:lpstr>
      <vt:lpstr>無煙炭_輸入無煙炭_単位</vt:lpstr>
      <vt:lpstr>和暦年度_選択</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平山隆久</dc:creator>
  <cp:keywords>ver4.02</cp:keywords>
  <cp:lastModifiedBy>宮田 朋佳（温暖化対策課）</cp:lastModifiedBy>
  <cp:lastPrinted>2026-03-04T02:41:00Z</cp:lastPrinted>
  <dcterms:created xsi:type="dcterms:W3CDTF">2025-08-26T04:19:21Z</dcterms:created>
  <dcterms:modified xsi:type="dcterms:W3CDTF">2026-05-18T07:06:14Z</dcterms:modified>
  <cp:category>20260518</cp:category>
</cp:coreProperties>
</file>